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8B86340E-C3F4-40CB-9D03-FF37C11FAC5A}"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Database!$B$7:$CX$360</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Database!$B$8:$CQ$360</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5" i="1" l="1"/>
  <c r="CT15" i="1"/>
  <c r="CV15" i="1" s="1"/>
  <c r="CS15" i="1"/>
  <c r="CM15" i="1"/>
  <c r="BN15" i="1"/>
  <c r="BM15" i="1"/>
  <c r="BL15" i="1"/>
  <c r="BK15" i="1"/>
  <c r="BJ15" i="1"/>
  <c r="BI15" i="1"/>
  <c r="BH15" i="1"/>
  <c r="BG15" i="1"/>
  <c r="BF15" i="1"/>
  <c r="CU14" i="1"/>
  <c r="CT14" i="1"/>
  <c r="CS14" i="1"/>
  <c r="CM14" i="1"/>
  <c r="BJ14" i="1"/>
  <c r="BI14" i="1"/>
  <c r="BH14" i="1"/>
  <c r="BG14" i="1"/>
  <c r="BF14" i="1"/>
  <c r="BK14" i="1" s="1"/>
  <c r="CU13" i="1"/>
  <c r="CT13" i="1"/>
  <c r="CS13" i="1"/>
  <c r="CM13" i="1"/>
  <c r="BJ13" i="1"/>
  <c r="BI13" i="1"/>
  <c r="BH13" i="1"/>
  <c r="BG13" i="1"/>
  <c r="BF13" i="1"/>
  <c r="CU12" i="1"/>
  <c r="CT12" i="1"/>
  <c r="CS12" i="1"/>
  <c r="CM12" i="1"/>
  <c r="BM12" i="1"/>
  <c r="BK12" i="1"/>
  <c r="BJ12" i="1"/>
  <c r="BI12" i="1"/>
  <c r="BH12" i="1"/>
  <c r="BG12" i="1"/>
  <c r="BF12" i="1"/>
  <c r="CU11" i="1"/>
  <c r="CT11" i="1"/>
  <c r="CV11" i="1" s="1"/>
  <c r="CS11" i="1"/>
  <c r="CM11" i="1"/>
  <c r="BJ11" i="1"/>
  <c r="BI11" i="1"/>
  <c r="BH11" i="1"/>
  <c r="BG11" i="1"/>
  <c r="BK11" i="1" s="1"/>
  <c r="BF11" i="1"/>
  <c r="CU10" i="1"/>
  <c r="CT10" i="1"/>
  <c r="CV10" i="1" s="1"/>
  <c r="CS10" i="1"/>
  <c r="CM10" i="1"/>
  <c r="BJ10" i="1"/>
  <c r="BI10" i="1"/>
  <c r="BH10" i="1"/>
  <c r="BG10" i="1"/>
  <c r="BF10" i="1"/>
  <c r="CU17" i="1"/>
  <c r="CT17" i="1"/>
  <c r="CS17" i="1"/>
  <c r="CM17" i="1"/>
  <c r="BJ17" i="1"/>
  <c r="BH17" i="1"/>
  <c r="CU16" i="1"/>
  <c r="CT16" i="1"/>
  <c r="CV16" i="1" s="1"/>
  <c r="CS16" i="1"/>
  <c r="CM16" i="1"/>
  <c r="BJ16" i="1"/>
  <c r="BH16" i="1"/>
  <c r="CU18" i="1"/>
  <c r="CT18" i="1"/>
  <c r="CV18" i="1" s="1"/>
  <c r="CS18" i="1"/>
  <c r="CM18" i="1"/>
  <c r="BJ18" i="1"/>
  <c r="BH18" i="1"/>
  <c r="CU21" i="1"/>
  <c r="CT21" i="1"/>
  <c r="CS21" i="1"/>
  <c r="CM21" i="1"/>
  <c r="BJ21" i="1"/>
  <c r="BH21" i="1"/>
  <c r="CU20" i="1"/>
  <c r="CT20" i="1"/>
  <c r="CV20" i="1" s="1"/>
  <c r="CX20" i="1" s="1"/>
  <c r="CS20" i="1"/>
  <c r="CM20" i="1"/>
  <c r="BJ20" i="1"/>
  <c r="BH20" i="1"/>
  <c r="CU19" i="1"/>
  <c r="CT19" i="1"/>
  <c r="CS19" i="1"/>
  <c r="CM19" i="1"/>
  <c r="BJ19" i="1"/>
  <c r="BH19"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7" i="1"/>
  <c r="CT27" i="1"/>
  <c r="CS27" i="1"/>
  <c r="CM27" i="1"/>
  <c r="BJ27" i="1"/>
  <c r="BH27"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2" i="1"/>
  <c r="CT52" i="1"/>
  <c r="CS52" i="1"/>
  <c r="CM52" i="1"/>
  <c r="BJ52" i="1"/>
  <c r="BH52" i="1"/>
  <c r="CU51" i="1"/>
  <c r="CT51" i="1"/>
  <c r="CS51" i="1"/>
  <c r="CM51" i="1"/>
  <c r="BJ51" i="1"/>
  <c r="BH51" i="1"/>
  <c r="CU50" i="1"/>
  <c r="CT50" i="1"/>
  <c r="CS50" i="1"/>
  <c r="CM50" i="1"/>
  <c r="BJ50" i="1"/>
  <c r="BH50" i="1"/>
  <c r="CU54" i="1"/>
  <c r="CT54" i="1"/>
  <c r="CS54" i="1"/>
  <c r="CM54" i="1"/>
  <c r="BJ54" i="1"/>
  <c r="BH54" i="1"/>
  <c r="CU53" i="1"/>
  <c r="CT53" i="1"/>
  <c r="CS53" i="1"/>
  <c r="CM53" i="1"/>
  <c r="BJ53" i="1"/>
  <c r="BH53" i="1"/>
  <c r="CU56" i="1"/>
  <c r="CT56" i="1"/>
  <c r="CS56" i="1"/>
  <c r="CM56" i="1"/>
  <c r="BJ56" i="1"/>
  <c r="BH56" i="1"/>
  <c r="CU55" i="1"/>
  <c r="CT55" i="1"/>
  <c r="CS55" i="1"/>
  <c r="CM55" i="1"/>
  <c r="BJ55" i="1"/>
  <c r="BH55"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96" i="1"/>
  <c r="CT196" i="1"/>
  <c r="CS196" i="1"/>
  <c r="CM196" i="1"/>
  <c r="BJ196" i="1"/>
  <c r="BH196" i="1"/>
  <c r="CU195" i="1"/>
  <c r="CT195" i="1"/>
  <c r="CS195" i="1"/>
  <c r="CM195" i="1"/>
  <c r="BJ195" i="1"/>
  <c r="BH195"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02" i="1"/>
  <c r="CT202" i="1"/>
  <c r="CS202" i="1"/>
  <c r="CM202" i="1"/>
  <c r="BJ202" i="1"/>
  <c r="BH202" i="1"/>
  <c r="CU201" i="1"/>
  <c r="CT201" i="1"/>
  <c r="CS201" i="1"/>
  <c r="CM201" i="1"/>
  <c r="BJ201" i="1"/>
  <c r="BH201"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26" i="1"/>
  <c r="CT226" i="1"/>
  <c r="CS226" i="1"/>
  <c r="CM226" i="1"/>
  <c r="BJ226" i="1"/>
  <c r="BH226" i="1"/>
  <c r="CU225" i="1"/>
  <c r="CT225" i="1"/>
  <c r="CS225" i="1"/>
  <c r="CM225" i="1"/>
  <c r="BJ225" i="1"/>
  <c r="BH225"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7" i="1"/>
  <c r="CT227" i="1"/>
  <c r="CS227" i="1"/>
  <c r="CM227" i="1"/>
  <c r="BJ227" i="1"/>
  <c r="BH227" i="1"/>
  <c r="CU228" i="1"/>
  <c r="CT228" i="1"/>
  <c r="CS228" i="1"/>
  <c r="CM228" i="1"/>
  <c r="BJ228" i="1"/>
  <c r="BH228" i="1"/>
  <c r="CU230" i="1"/>
  <c r="CT230" i="1"/>
  <c r="CS230" i="1"/>
  <c r="CM230" i="1"/>
  <c r="BJ230" i="1"/>
  <c r="BH230" i="1"/>
  <c r="CU229" i="1"/>
  <c r="CT229" i="1"/>
  <c r="CS229" i="1"/>
  <c r="CM229" i="1"/>
  <c r="BJ229" i="1"/>
  <c r="BH229" i="1"/>
  <c r="CU231" i="1"/>
  <c r="CT231" i="1"/>
  <c r="CS231" i="1"/>
  <c r="CM231" i="1"/>
  <c r="BJ231" i="1"/>
  <c r="BH231" i="1"/>
  <c r="CU232" i="1"/>
  <c r="CT232" i="1"/>
  <c r="CS232" i="1"/>
  <c r="CM232" i="1"/>
  <c r="BJ232" i="1"/>
  <c r="BH232" i="1"/>
  <c r="CU235" i="1"/>
  <c r="CT235" i="1"/>
  <c r="CS235" i="1"/>
  <c r="CM235" i="1"/>
  <c r="BJ235" i="1"/>
  <c r="BH235" i="1"/>
  <c r="CU234" i="1"/>
  <c r="CT234" i="1"/>
  <c r="CS234" i="1"/>
  <c r="CM234" i="1"/>
  <c r="BJ234" i="1"/>
  <c r="BH234" i="1"/>
  <c r="CU233" i="1"/>
  <c r="CT233" i="1"/>
  <c r="CS233" i="1"/>
  <c r="CM233" i="1"/>
  <c r="BJ233" i="1"/>
  <c r="BH233" i="1"/>
  <c r="CU236" i="1"/>
  <c r="CT236" i="1"/>
  <c r="CS236" i="1"/>
  <c r="CM236" i="1"/>
  <c r="BJ236" i="1"/>
  <c r="BH236"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75" i="1"/>
  <c r="CT275" i="1"/>
  <c r="CS275" i="1"/>
  <c r="CM275" i="1"/>
  <c r="BJ275" i="1"/>
  <c r="BH275"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T360"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7" i="1"/>
  <c r="CT296" i="1"/>
  <c r="CT295" i="1"/>
  <c r="CT294" i="1"/>
  <c r="CT293" i="1"/>
  <c r="CT292" i="1"/>
  <c r="CT291" i="1"/>
  <c r="CT290" i="1"/>
  <c r="CT289" i="1"/>
  <c r="CT288" i="1"/>
  <c r="CT287" i="1"/>
  <c r="CT286" i="1"/>
  <c r="CT285" i="1"/>
  <c r="CT284" i="1"/>
  <c r="CT283" i="1"/>
  <c r="CT282" i="1"/>
  <c r="CT281" i="1"/>
  <c r="CT280" i="1"/>
  <c r="CT279" i="1"/>
  <c r="CT278" i="1"/>
  <c r="CT277" i="1"/>
  <c r="CT276" i="1"/>
  <c r="CT9" i="1"/>
  <c r="CT8" i="1"/>
  <c r="CT298" i="1"/>
  <c r="BJ301" i="1"/>
  <c r="CU278" i="1"/>
  <c r="CS278" i="1"/>
  <c r="CM278" i="1"/>
  <c r="BJ278" i="1"/>
  <c r="BH278" i="1"/>
  <c r="CU277" i="1"/>
  <c r="CS277" i="1"/>
  <c r="CM277" i="1"/>
  <c r="BJ277" i="1"/>
  <c r="BH277" i="1"/>
  <c r="CU276" i="1"/>
  <c r="CS276" i="1"/>
  <c r="CM276" i="1"/>
  <c r="BJ276" i="1"/>
  <c r="BH276" i="1"/>
  <c r="CU280" i="1"/>
  <c r="CS280" i="1"/>
  <c r="CM280" i="1"/>
  <c r="BJ280" i="1"/>
  <c r="BH280" i="1"/>
  <c r="CU279" i="1"/>
  <c r="CS279" i="1"/>
  <c r="CM279" i="1"/>
  <c r="BJ279" i="1"/>
  <c r="BH279" i="1"/>
  <c r="CU282" i="1"/>
  <c r="CS282" i="1"/>
  <c r="CM282" i="1"/>
  <c r="BJ282" i="1"/>
  <c r="BH282" i="1"/>
  <c r="CU281" i="1"/>
  <c r="CS281" i="1"/>
  <c r="CM281" i="1"/>
  <c r="BJ281" i="1"/>
  <c r="BH28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7" i="1"/>
  <c r="CS297" i="1"/>
  <c r="CM297" i="1"/>
  <c r="BJ297" i="1"/>
  <c r="BH297"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H301" i="1"/>
  <c r="CU300" i="1"/>
  <c r="CS300" i="1"/>
  <c r="CM300" i="1"/>
  <c r="BJ300" i="1"/>
  <c r="BH300" i="1"/>
  <c r="CU299" i="1"/>
  <c r="CS299" i="1"/>
  <c r="CM299" i="1"/>
  <c r="BJ299" i="1"/>
  <c r="BH299" i="1"/>
  <c r="CU298" i="1"/>
  <c r="CS298" i="1"/>
  <c r="CM298" i="1"/>
  <c r="BJ298" i="1"/>
  <c r="BH298"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7" i="1"/>
  <c r="CS317" i="1"/>
  <c r="CM317" i="1"/>
  <c r="BJ317" i="1"/>
  <c r="BH317" i="1"/>
  <c r="CU316" i="1"/>
  <c r="CS316" i="1"/>
  <c r="CM316" i="1"/>
  <c r="BJ316" i="1"/>
  <c r="BH316"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31" i="1"/>
  <c r="CS331" i="1"/>
  <c r="CM331" i="1"/>
  <c r="BJ331" i="1"/>
  <c r="BH331" i="1"/>
  <c r="CU330" i="1"/>
  <c r="CS330" i="1"/>
  <c r="CM330" i="1"/>
  <c r="BJ330" i="1"/>
  <c r="BH330" i="1"/>
  <c r="CU329" i="1"/>
  <c r="CS329" i="1"/>
  <c r="CM329" i="1"/>
  <c r="BJ329" i="1"/>
  <c r="BH329" i="1"/>
  <c r="CU333" i="1"/>
  <c r="CS333" i="1"/>
  <c r="CM333" i="1"/>
  <c r="BJ333" i="1"/>
  <c r="BH333" i="1"/>
  <c r="CU332" i="1"/>
  <c r="CS332" i="1"/>
  <c r="CM332" i="1"/>
  <c r="BJ332" i="1"/>
  <c r="BH332" i="1"/>
  <c r="CU337" i="1"/>
  <c r="CS337" i="1"/>
  <c r="CM337" i="1"/>
  <c r="BJ337" i="1"/>
  <c r="BH337" i="1"/>
  <c r="CU336" i="1"/>
  <c r="CS336" i="1"/>
  <c r="CM336" i="1"/>
  <c r="BJ336" i="1"/>
  <c r="BH336" i="1"/>
  <c r="CU335" i="1"/>
  <c r="CS335" i="1"/>
  <c r="CM335" i="1"/>
  <c r="BJ335" i="1"/>
  <c r="BH335" i="1"/>
  <c r="CU334" i="1"/>
  <c r="CS334" i="1"/>
  <c r="CM334" i="1"/>
  <c r="BJ334" i="1"/>
  <c r="BH334" i="1"/>
  <c r="CU339" i="1"/>
  <c r="CS339" i="1"/>
  <c r="CM339" i="1"/>
  <c r="BJ339" i="1"/>
  <c r="BH339" i="1"/>
  <c r="CU338" i="1"/>
  <c r="CS338" i="1"/>
  <c r="CM338" i="1"/>
  <c r="BJ338" i="1"/>
  <c r="BH338"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8" i="1"/>
  <c r="CS348" i="1"/>
  <c r="CM348" i="1"/>
  <c r="BJ348" i="1"/>
  <c r="BH348" i="1"/>
  <c r="CU347" i="1"/>
  <c r="CS347" i="1"/>
  <c r="CM347" i="1"/>
  <c r="BJ347" i="1"/>
  <c r="BH347" i="1"/>
  <c r="CU350" i="1"/>
  <c r="CS350" i="1"/>
  <c r="CM350" i="1"/>
  <c r="BJ350" i="1"/>
  <c r="BH350" i="1"/>
  <c r="CU349" i="1"/>
  <c r="CS349" i="1"/>
  <c r="CM349" i="1"/>
  <c r="BJ349" i="1"/>
  <c r="BH349" i="1"/>
  <c r="CU352" i="1"/>
  <c r="CS352" i="1"/>
  <c r="CM352" i="1"/>
  <c r="BJ352" i="1"/>
  <c r="BH352" i="1"/>
  <c r="CU351" i="1"/>
  <c r="CS351" i="1"/>
  <c r="CM351" i="1"/>
  <c r="BJ351" i="1"/>
  <c r="BH351" i="1"/>
  <c r="CU353" i="1"/>
  <c r="CS353" i="1"/>
  <c r="CM353" i="1"/>
  <c r="BJ353" i="1"/>
  <c r="BH353" i="1"/>
  <c r="CU360" i="1"/>
  <c r="CS360" i="1"/>
  <c r="CM360" i="1"/>
  <c r="BJ360" i="1"/>
  <c r="BH360"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2" i="1" l="1"/>
  <c r="CV14" i="1"/>
  <c r="CV17" i="1"/>
  <c r="CV13" i="1"/>
  <c r="CX10" i="1"/>
  <c r="BL14" i="1"/>
  <c r="BM14" i="1"/>
  <c r="BN14" i="1"/>
  <c r="BK13" i="1"/>
  <c r="BM13" i="1"/>
  <c r="BN13" i="1"/>
  <c r="BL13" i="1"/>
  <c r="BL12" i="1"/>
  <c r="BN12" i="1"/>
  <c r="BL11" i="1"/>
  <c r="BM11" i="1"/>
  <c r="BN11" i="1"/>
  <c r="BN10" i="1"/>
  <c r="BM10" i="1"/>
  <c r="BK10" i="1"/>
  <c r="BL10" i="1"/>
  <c r="CX15" i="1"/>
  <c r="CX14" i="1"/>
  <c r="CX13" i="1"/>
  <c r="CX12" i="1"/>
  <c r="CX11" i="1"/>
  <c r="CX16" i="1"/>
  <c r="CX17" i="1"/>
  <c r="CX18" i="1"/>
  <c r="CV21" i="1"/>
  <c r="CV19" i="1"/>
  <c r="CX19" i="1"/>
  <c r="CX21" i="1"/>
  <c r="CV25" i="1"/>
  <c r="CX25" i="1" s="1"/>
  <c r="CV24" i="1"/>
  <c r="CX24" i="1" s="1"/>
  <c r="CV23" i="1"/>
  <c r="CX23" i="1" s="1"/>
  <c r="CV26" i="1"/>
  <c r="CX26" i="1" s="1"/>
  <c r="CV22" i="1"/>
  <c r="CX22" i="1" s="1"/>
  <c r="CV27" i="1"/>
  <c r="CX27" i="1" s="1"/>
  <c r="AM3518" i="31"/>
  <c r="AL3518" i="31"/>
  <c r="T3518" i="31" a="1"/>
  <c r="B3519" i="31"/>
  <c r="AS3518" i="31"/>
  <c r="CV28" i="1"/>
  <c r="CX28" i="1" s="1"/>
  <c r="CV38" i="1"/>
  <c r="CX38" i="1" s="1"/>
  <c r="CV30" i="1"/>
  <c r="CX30" i="1" s="1"/>
  <c r="CV36" i="1"/>
  <c r="CX36" i="1" s="1"/>
  <c r="CV31" i="1"/>
  <c r="CX31" i="1" s="1"/>
  <c r="CV37" i="1"/>
  <c r="CX37" i="1" s="1"/>
  <c r="CV35" i="1"/>
  <c r="CX35" i="1" s="1"/>
  <c r="CV34" i="1"/>
  <c r="CX34" i="1" s="1"/>
  <c r="CV33" i="1"/>
  <c r="CX33" i="1" s="1"/>
  <c r="CV32" i="1"/>
  <c r="CX32" i="1" s="1"/>
  <c r="CV29" i="1"/>
  <c r="CV48" i="1"/>
  <c r="CX48" i="1" s="1"/>
  <c r="CV46" i="1"/>
  <c r="CX46" i="1" s="1"/>
  <c r="CV42" i="1"/>
  <c r="CX42" i="1" s="1"/>
  <c r="CV49" i="1"/>
  <c r="CX49" i="1" s="1"/>
  <c r="CV44" i="1"/>
  <c r="CX44" i="1" s="1"/>
  <c r="CV43" i="1"/>
  <c r="CX43" i="1" s="1"/>
  <c r="CV39" i="1"/>
  <c r="CX39" i="1" s="1"/>
  <c r="CV40" i="1"/>
  <c r="CX40" i="1" s="1"/>
  <c r="CV47" i="1"/>
  <c r="CX47" i="1" s="1"/>
  <c r="CV45" i="1"/>
  <c r="CX45" i="1" s="1"/>
  <c r="CV41" i="1"/>
  <c r="CV51" i="1"/>
  <c r="CX51" i="1" s="1"/>
  <c r="CV52" i="1"/>
  <c r="CX52" i="1" s="1"/>
  <c r="CV50" i="1"/>
  <c r="CX50" i="1" s="1"/>
  <c r="CV54" i="1"/>
  <c r="CX54" i="1" s="1"/>
  <c r="CV53" i="1"/>
  <c r="CX53" i="1" s="1"/>
  <c r="CV55" i="1"/>
  <c r="CX55" i="1" s="1"/>
  <c r="CV56" i="1"/>
  <c r="CX56" i="1" s="1"/>
  <c r="CV60" i="1"/>
  <c r="CX60" i="1" s="1"/>
  <c r="CV57" i="1"/>
  <c r="CX57" i="1" s="1"/>
  <c r="CV61" i="1"/>
  <c r="CX61" i="1" s="1"/>
  <c r="CV67" i="1"/>
  <c r="CX67" i="1" s="1"/>
  <c r="CV58" i="1"/>
  <c r="CX58" i="1" s="1"/>
  <c r="CV66" i="1"/>
  <c r="CX66" i="1" s="1"/>
  <c r="CV64" i="1"/>
  <c r="CX64" i="1" s="1"/>
  <c r="CV59" i="1"/>
  <c r="CX59" i="1" s="1"/>
  <c r="CV62" i="1"/>
  <c r="CX62" i="1" s="1"/>
  <c r="CV63" i="1"/>
  <c r="CX63" i="1" s="1"/>
  <c r="CV65" i="1"/>
  <c r="CX65" i="1" s="1"/>
  <c r="CV68" i="1"/>
  <c r="CX68" i="1" s="1"/>
  <c r="CV76" i="1"/>
  <c r="CX76" i="1" s="1"/>
  <c r="CV72" i="1"/>
  <c r="CX72" i="1" s="1"/>
  <c r="CV80" i="1"/>
  <c r="CX80" i="1" s="1"/>
  <c r="CV71" i="1"/>
  <c r="CX71" i="1" s="1"/>
  <c r="CV79" i="1"/>
  <c r="CX79" i="1" s="1"/>
  <c r="CV87" i="1"/>
  <c r="CX87" i="1" s="1"/>
  <c r="CV95" i="1"/>
  <c r="CX95" i="1" s="1"/>
  <c r="CV106" i="1"/>
  <c r="CX106" i="1" s="1"/>
  <c r="CV114" i="1"/>
  <c r="CX114" i="1" s="1"/>
  <c r="CV122" i="1"/>
  <c r="CX122" i="1" s="1"/>
  <c r="CV154" i="1"/>
  <c r="CX154" i="1" s="1"/>
  <c r="CV162" i="1"/>
  <c r="CX162" i="1" s="1"/>
  <c r="CV74" i="1"/>
  <c r="CX74" i="1" s="1"/>
  <c r="CV82" i="1"/>
  <c r="CX82" i="1" s="1"/>
  <c r="CV90" i="1"/>
  <c r="CX90" i="1" s="1"/>
  <c r="CV141" i="1"/>
  <c r="CX141" i="1" s="1"/>
  <c r="CV149" i="1"/>
  <c r="CX149" i="1" s="1"/>
  <c r="CV69" i="1"/>
  <c r="CX69" i="1" s="1"/>
  <c r="CV77" i="1"/>
  <c r="CX77" i="1" s="1"/>
  <c r="CV93" i="1"/>
  <c r="CX93" i="1" s="1"/>
  <c r="CV101" i="1"/>
  <c r="CX101" i="1" s="1"/>
  <c r="CV160" i="1"/>
  <c r="CX160" i="1" s="1"/>
  <c r="CV96" i="1"/>
  <c r="CX96" i="1" s="1"/>
  <c r="CV107" i="1"/>
  <c r="CX107" i="1" s="1"/>
  <c r="CV123" i="1"/>
  <c r="CX123" i="1" s="1"/>
  <c r="CV139" i="1"/>
  <c r="CX139" i="1" s="1"/>
  <c r="CV147" i="1"/>
  <c r="CX147" i="1" s="1"/>
  <c r="CV155" i="1"/>
  <c r="CX155" i="1" s="1"/>
  <c r="CV83" i="1"/>
  <c r="CX83" i="1" s="1"/>
  <c r="CV91" i="1"/>
  <c r="CX91" i="1" s="1"/>
  <c r="CV99" i="1"/>
  <c r="CX99" i="1" s="1"/>
  <c r="CV113" i="1"/>
  <c r="CX113" i="1" s="1"/>
  <c r="CV121" i="1"/>
  <c r="CX121" i="1" s="1"/>
  <c r="CV129" i="1"/>
  <c r="CX129" i="1" s="1"/>
  <c r="CV145" i="1"/>
  <c r="CX145" i="1" s="1"/>
  <c r="CV161" i="1"/>
  <c r="CX161" i="1" s="1"/>
  <c r="CV73" i="1"/>
  <c r="CX73" i="1" s="1"/>
  <c r="CV89" i="1"/>
  <c r="CX89" i="1" s="1"/>
  <c r="CV97" i="1"/>
  <c r="CX97" i="1" s="1"/>
  <c r="CV140" i="1"/>
  <c r="CX140" i="1" s="1"/>
  <c r="CV148" i="1"/>
  <c r="CX148" i="1" s="1"/>
  <c r="CV156" i="1"/>
  <c r="CX156" i="1" s="1"/>
  <c r="CV84" i="1"/>
  <c r="CX84" i="1" s="1"/>
  <c r="CV100" i="1"/>
  <c r="CX100" i="1" s="1"/>
  <c r="CV126" i="1"/>
  <c r="CX126" i="1" s="1"/>
  <c r="CV142" i="1"/>
  <c r="CX142" i="1" s="1"/>
  <c r="CV150" i="1"/>
  <c r="CX150" i="1" s="1"/>
  <c r="CV158" i="1"/>
  <c r="CX158" i="1" s="1"/>
  <c r="CV78" i="1"/>
  <c r="CX78" i="1" s="1"/>
  <c r="CV86" i="1"/>
  <c r="CX86" i="1" s="1"/>
  <c r="CV94" i="1"/>
  <c r="CX94" i="1" s="1"/>
  <c r="CV102" i="1"/>
  <c r="CX102" i="1" s="1"/>
  <c r="CV108" i="1"/>
  <c r="CX108" i="1" s="1"/>
  <c r="CV116" i="1"/>
  <c r="CX116" i="1" s="1"/>
  <c r="CV124" i="1"/>
  <c r="CX124" i="1" s="1"/>
  <c r="CV132" i="1"/>
  <c r="CX132" i="1" s="1"/>
  <c r="CV111" i="1"/>
  <c r="CX111" i="1" s="1"/>
  <c r="CV127" i="1"/>
  <c r="CX127" i="1" s="1"/>
  <c r="CV135" i="1"/>
  <c r="CX135" i="1" s="1"/>
  <c r="CV143" i="1"/>
  <c r="CX143" i="1" s="1"/>
  <c r="CV151" i="1"/>
  <c r="CX151" i="1" s="1"/>
  <c r="CV109" i="1"/>
  <c r="CX109" i="1" s="1"/>
  <c r="CV125" i="1"/>
  <c r="CX125" i="1" s="1"/>
  <c r="CV104" i="1"/>
  <c r="CX104" i="1" s="1"/>
  <c r="CV112" i="1"/>
  <c r="CX112" i="1" s="1"/>
  <c r="CV120" i="1"/>
  <c r="CX120" i="1" s="1"/>
  <c r="CV136" i="1"/>
  <c r="CX136" i="1" s="1"/>
  <c r="CV144" i="1"/>
  <c r="CX144" i="1" s="1"/>
  <c r="CV81" i="1"/>
  <c r="CX81" i="1" s="1"/>
  <c r="CV119" i="1"/>
  <c r="CX119" i="1" s="1"/>
  <c r="CV98" i="1"/>
  <c r="CX98" i="1" s="1"/>
  <c r="CV92" i="1"/>
  <c r="CX92" i="1" s="1"/>
  <c r="CV85" i="1"/>
  <c r="CX85" i="1" s="1"/>
  <c r="CV138" i="1"/>
  <c r="CX138" i="1" s="1"/>
  <c r="CV134" i="1"/>
  <c r="CX134" i="1" s="1"/>
  <c r="CV118" i="1"/>
  <c r="CX118" i="1" s="1"/>
  <c r="CV157" i="1"/>
  <c r="CX157" i="1" s="1"/>
  <c r="CV152" i="1"/>
  <c r="CX152" i="1" s="1"/>
  <c r="CV128" i="1"/>
  <c r="CX128" i="1" s="1"/>
  <c r="CV75" i="1"/>
  <c r="CX75" i="1" s="1"/>
  <c r="CV137" i="1"/>
  <c r="CX137" i="1" s="1"/>
  <c r="CV88" i="1"/>
  <c r="CX88" i="1" s="1"/>
  <c r="CV70" i="1"/>
  <c r="CX70" i="1" s="1"/>
  <c r="CV146" i="1"/>
  <c r="CX146" i="1" s="1"/>
  <c r="CV133" i="1"/>
  <c r="CX133" i="1" s="1"/>
  <c r="CV130" i="1"/>
  <c r="CX130" i="1" s="1"/>
  <c r="CV110" i="1"/>
  <c r="CX110" i="1" s="1"/>
  <c r="CV115" i="1"/>
  <c r="CX115" i="1" s="1"/>
  <c r="CV105" i="1"/>
  <c r="CX105" i="1" s="1"/>
  <c r="CV103" i="1"/>
  <c r="CX103" i="1" s="1"/>
  <c r="CV153" i="1"/>
  <c r="CX153" i="1" s="1"/>
  <c r="CV131" i="1"/>
  <c r="CX131" i="1" s="1"/>
  <c r="CV159" i="1"/>
  <c r="CX159" i="1" s="1"/>
  <c r="CV117" i="1"/>
  <c r="CX117" i="1" s="1"/>
  <c r="CV170" i="1"/>
  <c r="CX170" i="1" s="1"/>
  <c r="CV163" i="1"/>
  <c r="CX163" i="1" s="1"/>
  <c r="CV169" i="1"/>
  <c r="CX169" i="1" s="1"/>
  <c r="CV165" i="1"/>
  <c r="CX165" i="1" s="1"/>
  <c r="CV164" i="1"/>
  <c r="CX164" i="1" s="1"/>
  <c r="CV168" i="1"/>
  <c r="CX168" i="1" s="1"/>
  <c r="CV167" i="1"/>
  <c r="CX167" i="1" s="1"/>
  <c r="CV166" i="1"/>
  <c r="CV182" i="1"/>
  <c r="CX182" i="1" s="1"/>
  <c r="CV174" i="1"/>
  <c r="CX174" i="1" s="1"/>
  <c r="CV179" i="1"/>
  <c r="CX179" i="1" s="1"/>
  <c r="CV176" i="1"/>
  <c r="CX176" i="1" s="1"/>
  <c r="CV180" i="1"/>
  <c r="CX180" i="1" s="1"/>
  <c r="CV177" i="1"/>
  <c r="CX177" i="1" s="1"/>
  <c r="CV173" i="1"/>
  <c r="CX173" i="1" s="1"/>
  <c r="CV171" i="1"/>
  <c r="CX171" i="1" s="1"/>
  <c r="CV178" i="1"/>
  <c r="CX178" i="1" s="1"/>
  <c r="CV172" i="1"/>
  <c r="CV181" i="1"/>
  <c r="CV175" i="1"/>
  <c r="CV188" i="1"/>
  <c r="CX188" i="1" s="1"/>
  <c r="CV184" i="1"/>
  <c r="CX184" i="1" s="1"/>
  <c r="CV194" i="1"/>
  <c r="CX194" i="1" s="1"/>
  <c r="CV183" i="1"/>
  <c r="CX183" i="1" s="1"/>
  <c r="CV185" i="1"/>
  <c r="CX185" i="1" s="1"/>
  <c r="CV187" i="1"/>
  <c r="CX187" i="1" s="1"/>
  <c r="CV186" i="1"/>
  <c r="CV200" i="1"/>
  <c r="CX200" i="1" s="1"/>
  <c r="CV189" i="1"/>
  <c r="CX189" i="1" s="1"/>
  <c r="CV195" i="1"/>
  <c r="CX195" i="1" s="1"/>
  <c r="CV193" i="1"/>
  <c r="CX193" i="1" s="1"/>
  <c r="CV191" i="1"/>
  <c r="CX191" i="1" s="1"/>
  <c r="CV196" i="1"/>
  <c r="CX196" i="1" s="1"/>
  <c r="CV190" i="1"/>
  <c r="CX190" i="1" s="1"/>
  <c r="CV192" i="1"/>
  <c r="CV199" i="1"/>
  <c r="CX199" i="1" s="1"/>
  <c r="CV201" i="1"/>
  <c r="CX201" i="1" s="1"/>
  <c r="CV198" i="1"/>
  <c r="CX198" i="1" s="1"/>
  <c r="CV202" i="1"/>
  <c r="CX202" i="1" s="1"/>
  <c r="CV197" i="1"/>
  <c r="CX197" i="1" s="1"/>
  <c r="CV214" i="1"/>
  <c r="CX214" i="1" s="1"/>
  <c r="CV213" i="1"/>
  <c r="CX213" i="1" s="1"/>
  <c r="CV204" i="1"/>
  <c r="CX204" i="1" s="1"/>
  <c r="CV223" i="1"/>
  <c r="CX223" i="1" s="1"/>
  <c r="CV205" i="1"/>
  <c r="CX205" i="1" s="1"/>
  <c r="CV219" i="1"/>
  <c r="CX219" i="1" s="1"/>
  <c r="CV218" i="1"/>
  <c r="CX218" i="1" s="1"/>
  <c r="CV211" i="1"/>
  <c r="CX211" i="1" s="1"/>
  <c r="CV206" i="1"/>
  <c r="CX206" i="1" s="1"/>
  <c r="CV220" i="1"/>
  <c r="CX220" i="1" s="1"/>
  <c r="CV224" i="1"/>
  <c r="CX224" i="1" s="1"/>
  <c r="CV216" i="1"/>
  <c r="CX216" i="1" s="1"/>
  <c r="CV215" i="1"/>
  <c r="CX215" i="1" s="1"/>
  <c r="CV203" i="1"/>
  <c r="CX203" i="1" s="1"/>
  <c r="CV207" i="1"/>
  <c r="CX207" i="1" s="1"/>
  <c r="CV212" i="1"/>
  <c r="CX212" i="1" s="1"/>
  <c r="CV208" i="1"/>
  <c r="CX208" i="1" s="1"/>
  <c r="CV210" i="1"/>
  <c r="CV209" i="1"/>
  <c r="CV217" i="1"/>
  <c r="CV226" i="1"/>
  <c r="CX226" i="1" s="1"/>
  <c r="CV221" i="1"/>
  <c r="CX221" i="1" s="1"/>
  <c r="CV222" i="1"/>
  <c r="CX222" i="1" s="1"/>
  <c r="CV225" i="1"/>
  <c r="CX225" i="1" s="1"/>
  <c r="CV227" i="1"/>
  <c r="CX227" i="1" s="1"/>
  <c r="CV230" i="1"/>
  <c r="CX230" i="1" s="1"/>
  <c r="CV228" i="1"/>
  <c r="CX228" i="1" s="1"/>
  <c r="CV229" i="1"/>
  <c r="CX229" i="1" s="1"/>
  <c r="CV231" i="1"/>
  <c r="CX231" i="1" s="1"/>
  <c r="CV235" i="1"/>
  <c r="CX235" i="1" s="1"/>
  <c r="CV232" i="1"/>
  <c r="CX232" i="1" s="1"/>
  <c r="CV234" i="1"/>
  <c r="CX234" i="1" s="1"/>
  <c r="CV233" i="1"/>
  <c r="CV244" i="1"/>
  <c r="CX244" i="1" s="1"/>
  <c r="CV236" i="1"/>
  <c r="CX236" i="1" s="1"/>
  <c r="CV243" i="1"/>
  <c r="CX243" i="1" s="1"/>
  <c r="CV239" i="1"/>
  <c r="CX239" i="1" s="1"/>
  <c r="CV248" i="1"/>
  <c r="CX248" i="1" s="1"/>
  <c r="CV240" i="1"/>
  <c r="CX240" i="1" s="1"/>
  <c r="CV237" i="1"/>
  <c r="CX237" i="1" s="1"/>
  <c r="CV238" i="1"/>
  <c r="CX238" i="1" s="1"/>
  <c r="CV247" i="1"/>
  <c r="CX247" i="1" s="1"/>
  <c r="CV241" i="1"/>
  <c r="CX241" i="1" s="1"/>
  <c r="CV242" i="1"/>
  <c r="CV264" i="1"/>
  <c r="CX264" i="1" s="1"/>
  <c r="CV245" i="1"/>
  <c r="CX245" i="1" s="1"/>
  <c r="CV246" i="1"/>
  <c r="CV263" i="1"/>
  <c r="CX263" i="1" s="1"/>
  <c r="CV256" i="1"/>
  <c r="CX256" i="1" s="1"/>
  <c r="CV259" i="1"/>
  <c r="CX259" i="1" s="1"/>
  <c r="CV252" i="1"/>
  <c r="CX252" i="1" s="1"/>
  <c r="CV265" i="1"/>
  <c r="CX265" i="1" s="1"/>
  <c r="CV255" i="1"/>
  <c r="CX255" i="1" s="1"/>
  <c r="CV257" i="1"/>
  <c r="CX257" i="1" s="1"/>
  <c r="CV254" i="1"/>
  <c r="CV275" i="1"/>
  <c r="CX275" i="1" s="1"/>
  <c r="CV250" i="1"/>
  <c r="CX250" i="1" s="1"/>
  <c r="CV262" i="1"/>
  <c r="CX262" i="1" s="1"/>
  <c r="CV253" i="1"/>
  <c r="CX253" i="1" s="1"/>
  <c r="CV260" i="1"/>
  <c r="CV251" i="1"/>
  <c r="CX251" i="1" s="1"/>
  <c r="CV258" i="1"/>
  <c r="CV249" i="1"/>
  <c r="CV261" i="1"/>
  <c r="CX261" i="1" s="1"/>
  <c r="CV272" i="1"/>
  <c r="CX272" i="1" s="1"/>
  <c r="CV273" i="1"/>
  <c r="CX273" i="1" s="1"/>
  <c r="CV269" i="1"/>
  <c r="CV271" i="1"/>
  <c r="CV267" i="1"/>
  <c r="CX267" i="1" s="1"/>
  <c r="CV270" i="1"/>
  <c r="CX270" i="1" s="1"/>
  <c r="CV266" i="1"/>
  <c r="CV274" i="1"/>
  <c r="CV268" i="1"/>
  <c r="CX268" i="1" s="1"/>
  <c r="CV277" i="1"/>
  <c r="CX277" i="1" s="1"/>
  <c r="CV278" i="1"/>
  <c r="CX278" i="1" s="1"/>
  <c r="CV279" i="1"/>
  <c r="CX279" i="1" s="1"/>
  <c r="CV276" i="1"/>
  <c r="CV280" i="1"/>
  <c r="CX280" i="1" s="1"/>
  <c r="CV282" i="1"/>
  <c r="CX282" i="1" s="1"/>
  <c r="CV281" i="1"/>
  <c r="CX281" i="1" s="1"/>
  <c r="CV290" i="1"/>
  <c r="CX290" i="1" s="1"/>
  <c r="CV289" i="1"/>
  <c r="CX289" i="1" s="1"/>
  <c r="CV286" i="1"/>
  <c r="CX286" i="1" s="1"/>
  <c r="CV287" i="1"/>
  <c r="CX287" i="1" s="1"/>
  <c r="CV284" i="1"/>
  <c r="CX284" i="1" s="1"/>
  <c r="CV295" i="1"/>
  <c r="CX295" i="1" s="1"/>
  <c r="CV285" i="1"/>
  <c r="CX285" i="1" s="1"/>
  <c r="CV283" i="1"/>
  <c r="CX283" i="1" s="1"/>
  <c r="CV296" i="1"/>
  <c r="CX296" i="1" s="1"/>
  <c r="CV288" i="1"/>
  <c r="CX288" i="1" s="1"/>
  <c r="CV291" i="1"/>
  <c r="CX291" i="1" s="1"/>
  <c r="CV315" i="1"/>
  <c r="CX315" i="1" s="1"/>
  <c r="CV292" i="1"/>
  <c r="CX292" i="1" s="1"/>
  <c r="CV293" i="1"/>
  <c r="CV294" i="1"/>
  <c r="CV297" i="1"/>
  <c r="CX297" i="1" s="1"/>
  <c r="CV298" i="1"/>
  <c r="CX298" i="1" s="1"/>
  <c r="CV314" i="1"/>
  <c r="CX314" i="1" s="1"/>
  <c r="CV299" i="1"/>
  <c r="CX299" i="1" s="1"/>
  <c r="CV303" i="1"/>
  <c r="CX303" i="1" s="1"/>
  <c r="CV300" i="1"/>
  <c r="CX300" i="1" s="1"/>
  <c r="CV302" i="1"/>
  <c r="CX302" i="1" s="1"/>
  <c r="CV310" i="1"/>
  <c r="CX310" i="1" s="1"/>
  <c r="CV309" i="1"/>
  <c r="CX309" i="1" s="1"/>
  <c r="CV308" i="1"/>
  <c r="CX308" i="1" s="1"/>
  <c r="CV307" i="1"/>
  <c r="CX307" i="1" s="1"/>
  <c r="CV306" i="1"/>
  <c r="CX306" i="1" s="1"/>
  <c r="CV301" i="1"/>
  <c r="CV312" i="1"/>
  <c r="CX312" i="1" s="1"/>
  <c r="CV304" i="1"/>
  <c r="CX304" i="1" s="1"/>
  <c r="CV311" i="1"/>
  <c r="CX311" i="1" s="1"/>
  <c r="CV305" i="1"/>
  <c r="CV313" i="1"/>
  <c r="CV320" i="1"/>
  <c r="CX320" i="1" s="1"/>
  <c r="CV328" i="1"/>
  <c r="CX328" i="1" s="1"/>
  <c r="CV327" i="1"/>
  <c r="CX327" i="1" s="1"/>
  <c r="CV317" i="1"/>
  <c r="CX317" i="1" s="1"/>
  <c r="CV316" i="1"/>
  <c r="CX316" i="1" s="1"/>
  <c r="CV325" i="1"/>
  <c r="CX325" i="1" s="1"/>
  <c r="CV323" i="1"/>
  <c r="CX323" i="1" s="1"/>
  <c r="CV330" i="1"/>
  <c r="CX330" i="1" s="1"/>
  <c r="CV319" i="1"/>
  <c r="CX319" i="1" s="1"/>
  <c r="CV322" i="1"/>
  <c r="CX322" i="1" s="1"/>
  <c r="CV329" i="1"/>
  <c r="CX329" i="1" s="1"/>
  <c r="CV331" i="1"/>
  <c r="CX331" i="1" s="1"/>
  <c r="CV321" i="1"/>
  <c r="CX321" i="1" s="1"/>
  <c r="CV324" i="1"/>
  <c r="CV318" i="1"/>
  <c r="CX318" i="1" s="1"/>
  <c r="CV326" i="1"/>
  <c r="CV333" i="1"/>
  <c r="CX333" i="1" s="1"/>
  <c r="CV337" i="1"/>
  <c r="CX337" i="1" s="1"/>
  <c r="CV332" i="1"/>
  <c r="CX332" i="1" s="1"/>
  <c r="CV334" i="1"/>
  <c r="CX334" i="1" s="1"/>
  <c r="CV336" i="1"/>
  <c r="CX336" i="1" s="1"/>
  <c r="CV335" i="1"/>
  <c r="CV345" i="1"/>
  <c r="CX345" i="1" s="1"/>
  <c r="CV338" i="1"/>
  <c r="CX338" i="1" s="1"/>
  <c r="CV339" i="1"/>
  <c r="CV340" i="1"/>
  <c r="CX340" i="1" s="1"/>
  <c r="CV343" i="1"/>
  <c r="CX343" i="1" s="1"/>
  <c r="CV346" i="1"/>
  <c r="CX346" i="1" s="1"/>
  <c r="CV341" i="1"/>
  <c r="CX341" i="1" s="1"/>
  <c r="CV342" i="1"/>
  <c r="CV344" i="1"/>
  <c r="CV347" i="1"/>
  <c r="CX347" i="1" s="1"/>
  <c r="CV348" i="1"/>
  <c r="CX348" i="1" s="1"/>
  <c r="CV350" i="1"/>
  <c r="CX350" i="1" s="1"/>
  <c r="CV349" i="1"/>
  <c r="CX349" i="1" s="1"/>
  <c r="CV352" i="1"/>
  <c r="CX352" i="1" s="1"/>
  <c r="CV351" i="1"/>
  <c r="CX351" i="1" s="1"/>
  <c r="CV353" i="1"/>
  <c r="CX353" i="1" s="1"/>
  <c r="CV358" i="1"/>
  <c r="CX358" i="1" s="1"/>
  <c r="CV354" i="1"/>
  <c r="CX354" i="1" s="1"/>
  <c r="CV359" i="1"/>
  <c r="CX359" i="1" s="1"/>
  <c r="CV357" i="1"/>
  <c r="CX357" i="1" s="1"/>
  <c r="CV360" i="1"/>
  <c r="CX360" i="1" s="1"/>
  <c r="CV355" i="1"/>
  <c r="CX355" i="1" s="1"/>
  <c r="CV356" i="1"/>
  <c r="CX356"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9" i="1"/>
  <c r="CX41" i="1"/>
  <c r="CX166" i="1"/>
  <c r="CX175" i="1"/>
  <c r="CX181" i="1"/>
  <c r="CX172" i="1"/>
  <c r="CX186" i="1"/>
  <c r="CX192" i="1"/>
  <c r="CX210" i="1"/>
  <c r="CX217" i="1"/>
  <c r="CX209" i="1"/>
  <c r="CX233" i="1"/>
  <c r="CX242" i="1"/>
  <c r="CX246" i="1"/>
  <c r="CX249" i="1"/>
  <c r="CX260" i="1"/>
  <c r="CX258" i="1"/>
  <c r="CX254" i="1"/>
  <c r="CX266" i="1"/>
  <c r="CX274" i="1"/>
  <c r="CX269" i="1"/>
  <c r="CX271" i="1"/>
  <c r="CX276" i="1"/>
  <c r="CX293" i="1"/>
  <c r="CX294" i="1"/>
  <c r="CX305" i="1"/>
  <c r="CX301" i="1"/>
  <c r="CX313" i="1"/>
  <c r="CX324" i="1"/>
  <c r="CX326" i="1"/>
  <c r="CX335" i="1"/>
  <c r="CX339" i="1"/>
  <c r="CX342" i="1"/>
  <c r="CX344"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4" i="1" l="1"/>
  <c r="CP15" i="1"/>
  <c r="CP13" i="1"/>
  <c r="CP11" i="1"/>
  <c r="CP12" i="1"/>
  <c r="CP10" i="1"/>
  <c r="CL14" i="1"/>
  <c r="CL12" i="1"/>
  <c r="CL15" i="1"/>
  <c r="CL13" i="1"/>
  <c r="CL11" i="1"/>
  <c r="CL10" i="1"/>
  <c r="CK15" i="1"/>
  <c r="CK14" i="1"/>
  <c r="CK11" i="1"/>
  <c r="CK13" i="1"/>
  <c r="CK12" i="1"/>
  <c r="CK10" i="1"/>
  <c r="BF18" i="1"/>
  <c r="BF16" i="1"/>
  <c r="BF17" i="1"/>
  <c r="BG18" i="1"/>
  <c r="BN18" i="1" s="1"/>
  <c r="BG17" i="1"/>
  <c r="BG16" i="1"/>
  <c r="BI18" i="1"/>
  <c r="BI17" i="1"/>
  <c r="BI16" i="1"/>
  <c r="CO14" i="1"/>
  <c r="CO13" i="1"/>
  <c r="CO15" i="1"/>
  <c r="CO11" i="1"/>
  <c r="CO12" i="1"/>
  <c r="CO10" i="1"/>
  <c r="CP18" i="1"/>
  <c r="CP17" i="1"/>
  <c r="CP16" i="1"/>
  <c r="CL18" i="1"/>
  <c r="CL16" i="1"/>
  <c r="CL17" i="1"/>
  <c r="CK18" i="1"/>
  <c r="CK17" i="1"/>
  <c r="CK16" i="1"/>
  <c r="BL18" i="1"/>
  <c r="BK18" i="1"/>
  <c r="BM18" i="1"/>
  <c r="CO18" i="1"/>
  <c r="CO16" i="1"/>
  <c r="CO17" i="1"/>
  <c r="BG20" i="1"/>
  <c r="BF20" i="1"/>
  <c r="BL20" i="1"/>
  <c r="BM20" i="1"/>
  <c r="BK20" i="1"/>
  <c r="BG19" i="1"/>
  <c r="BG21" i="1"/>
  <c r="BF19" i="1"/>
  <c r="BF21" i="1"/>
  <c r="BI19" i="1"/>
  <c r="BI20" i="1"/>
  <c r="BI21" i="1"/>
  <c r="CO19" i="1"/>
  <c r="CO20" i="1"/>
  <c r="CO21" i="1"/>
  <c r="CK19" i="1"/>
  <c r="CK20" i="1"/>
  <c r="CK21" i="1"/>
  <c r="CL19" i="1"/>
  <c r="CL20" i="1"/>
  <c r="CL21" i="1"/>
  <c r="CP19" i="1"/>
  <c r="CP20" i="1"/>
  <c r="CP21" i="1"/>
  <c r="BG25" i="1"/>
  <c r="BG23" i="1"/>
  <c r="BF25" i="1"/>
  <c r="BF23" i="1"/>
  <c r="BI25" i="1"/>
  <c r="BI26" i="1"/>
  <c r="BI22" i="1"/>
  <c r="BI23" i="1"/>
  <c r="BI24" i="1"/>
  <c r="BG24" i="1"/>
  <c r="BG26" i="1"/>
  <c r="BG22" i="1"/>
  <c r="BF24" i="1"/>
  <c r="BF26" i="1"/>
  <c r="BF22" i="1"/>
  <c r="CK26" i="1"/>
  <c r="CK22" i="1"/>
  <c r="CK23" i="1"/>
  <c r="CK24" i="1"/>
  <c r="CK25" i="1"/>
  <c r="CL26" i="1"/>
  <c r="CL22" i="1"/>
  <c r="CL23" i="1"/>
  <c r="CL24" i="1"/>
  <c r="CL25" i="1"/>
  <c r="CP24" i="1"/>
  <c r="CP25" i="1"/>
  <c r="CP26" i="1"/>
  <c r="CP22" i="1"/>
  <c r="CP23" i="1"/>
  <c r="CO23" i="1"/>
  <c r="CO24" i="1"/>
  <c r="CO25" i="1"/>
  <c r="CO26" i="1"/>
  <c r="CO22" i="1"/>
  <c r="BG27" i="1"/>
  <c r="BF27" i="1"/>
  <c r="BI27" i="1"/>
  <c r="CK27" i="1"/>
  <c r="CL27" i="1"/>
  <c r="CP27" i="1"/>
  <c r="CO27" i="1"/>
  <c r="AV3543" i="31"/>
  <c r="AU3543" i="31"/>
  <c r="AT3543" i="31" s="1"/>
  <c r="T3544" i="31" a="1"/>
  <c r="B3545" i="31"/>
  <c r="AS3544" i="31"/>
  <c r="AL3544" i="31"/>
  <c r="AM3544" i="31"/>
  <c r="BI37" i="1"/>
  <c r="BI30" i="1"/>
  <c r="BI35" i="1"/>
  <c r="BI28" i="1"/>
  <c r="BI33" i="1"/>
  <c r="BI32" i="1"/>
  <c r="BI38" i="1"/>
  <c r="BI31" i="1"/>
  <c r="BI36" i="1"/>
  <c r="BI29" i="1"/>
  <c r="BI34" i="1"/>
  <c r="BF37" i="1"/>
  <c r="BF32" i="1"/>
  <c r="BF35" i="1"/>
  <c r="BF30" i="1"/>
  <c r="BF28" i="1"/>
  <c r="BG34" i="1"/>
  <c r="BG29" i="1"/>
  <c r="BG38" i="1"/>
  <c r="BG33" i="1"/>
  <c r="BG31" i="1"/>
  <c r="BG36" i="1"/>
  <c r="BF34" i="1"/>
  <c r="BF29" i="1"/>
  <c r="BF38" i="1"/>
  <c r="BF33" i="1"/>
  <c r="BF31" i="1"/>
  <c r="BF36" i="1"/>
  <c r="BG37" i="1"/>
  <c r="BG32" i="1"/>
  <c r="BG35" i="1"/>
  <c r="BG30" i="1"/>
  <c r="BG28" i="1"/>
  <c r="CO35" i="1"/>
  <c r="CO30" i="1"/>
  <c r="CO36" i="1"/>
  <c r="CO31" i="1"/>
  <c r="CO37" i="1"/>
  <c r="CO32" i="1"/>
  <c r="CO38" i="1"/>
  <c r="CO33" i="1"/>
  <c r="CO28" i="1"/>
  <c r="CO34" i="1"/>
  <c r="CO29" i="1"/>
  <c r="CK34" i="1"/>
  <c r="CK29" i="1"/>
  <c r="CK35" i="1"/>
  <c r="CK30" i="1"/>
  <c r="CK36" i="1"/>
  <c r="CK31" i="1"/>
  <c r="CK37" i="1"/>
  <c r="CK32" i="1"/>
  <c r="CK38" i="1"/>
  <c r="CK33" i="1"/>
  <c r="CK28" i="1"/>
  <c r="CL34" i="1"/>
  <c r="CL29" i="1"/>
  <c r="CL35" i="1"/>
  <c r="CL30" i="1"/>
  <c r="CL36" i="1"/>
  <c r="CL31" i="1"/>
  <c r="CL37" i="1"/>
  <c r="CL32" i="1"/>
  <c r="CL38" i="1"/>
  <c r="CL33" i="1"/>
  <c r="CL28" i="1"/>
  <c r="CP30" i="1"/>
  <c r="CP36" i="1"/>
  <c r="CP31" i="1"/>
  <c r="CP37" i="1"/>
  <c r="CP32" i="1"/>
  <c r="CP38" i="1"/>
  <c r="CP33" i="1"/>
  <c r="CP28" i="1"/>
  <c r="CP34" i="1"/>
  <c r="CP29" i="1"/>
  <c r="CP35" i="1"/>
  <c r="C5" i="21" a="1"/>
  <c r="C6" i="21" s="1"/>
  <c r="B5" i="21" a="1"/>
  <c r="B6" i="21" s="1"/>
  <c r="I5" i="21" a="1"/>
  <c r="H5" i="21" a="1"/>
  <c r="G5" i="21" a="1"/>
  <c r="G6" i="21" s="1"/>
  <c r="F5" i="21" a="1"/>
  <c r="E5" i="21" a="1"/>
  <c r="E6" i="21" s="1"/>
  <c r="D5" i="21" a="1"/>
  <c r="E8" i="10"/>
  <c r="BG46" i="1"/>
  <c r="BG48" i="1"/>
  <c r="BG41" i="1"/>
  <c r="BG43" i="1"/>
  <c r="BG44" i="1"/>
  <c r="BG39" i="1"/>
  <c r="BF39" i="1"/>
  <c r="BF46" i="1"/>
  <c r="BF48" i="1"/>
  <c r="BF41" i="1"/>
  <c r="BF43" i="1"/>
  <c r="BF44" i="1"/>
  <c r="BI48" i="1"/>
  <c r="BI41" i="1"/>
  <c r="BI40" i="1"/>
  <c r="BI49" i="1"/>
  <c r="BI42" i="1"/>
  <c r="BI43" i="1"/>
  <c r="BI44" i="1"/>
  <c r="BI39" i="1"/>
  <c r="BI47" i="1"/>
  <c r="BI46" i="1"/>
  <c r="BI45" i="1"/>
  <c r="BG47" i="1"/>
  <c r="BG45" i="1"/>
  <c r="BG40" i="1"/>
  <c r="BG49" i="1"/>
  <c r="BG42" i="1"/>
  <c r="BF47" i="1"/>
  <c r="BF45" i="1"/>
  <c r="BF40" i="1"/>
  <c r="BF49" i="1"/>
  <c r="BF42" i="1"/>
  <c r="CO46" i="1"/>
  <c r="CO41" i="1"/>
  <c r="CO47" i="1"/>
  <c r="CO42" i="1"/>
  <c r="CO48" i="1"/>
  <c r="CO39" i="1"/>
  <c r="CO43" i="1"/>
  <c r="CO49" i="1"/>
  <c r="CO44" i="1"/>
  <c r="CO45" i="1"/>
  <c r="CO40" i="1"/>
  <c r="CK45" i="1"/>
  <c r="CK40" i="1"/>
  <c r="CK43" i="1"/>
  <c r="CK46" i="1"/>
  <c r="CK41" i="1"/>
  <c r="CK47" i="1"/>
  <c r="CK42" i="1"/>
  <c r="CK48" i="1"/>
  <c r="CK49" i="1"/>
  <c r="CK39" i="1"/>
  <c r="CK44" i="1"/>
  <c r="CL45" i="1"/>
  <c r="CL40" i="1"/>
  <c r="CL46" i="1"/>
  <c r="CL41" i="1"/>
  <c r="CL47" i="1"/>
  <c r="CL42" i="1"/>
  <c r="CL48" i="1"/>
  <c r="CL43" i="1"/>
  <c r="CL49" i="1"/>
  <c r="CL44" i="1"/>
  <c r="CL39" i="1"/>
  <c r="CP41" i="1"/>
  <c r="CP47" i="1"/>
  <c r="CP42" i="1"/>
  <c r="CP48" i="1"/>
  <c r="CP43" i="1"/>
  <c r="CP49" i="1"/>
  <c r="CP44" i="1"/>
  <c r="CP39" i="1"/>
  <c r="CP45" i="1"/>
  <c r="CP40" i="1"/>
  <c r="CP46" i="1"/>
  <c r="BF50" i="1"/>
  <c r="BF52" i="1"/>
  <c r="BI51" i="1"/>
  <c r="BI52" i="1"/>
  <c r="BI50" i="1"/>
  <c r="BG51" i="1"/>
  <c r="BF51" i="1"/>
  <c r="BG50" i="1"/>
  <c r="BG52" i="1"/>
  <c r="CK52" i="1"/>
  <c r="CK50" i="1"/>
  <c r="CK51" i="1"/>
  <c r="CL52" i="1"/>
  <c r="CL50" i="1"/>
  <c r="CL51" i="1"/>
  <c r="CP50" i="1"/>
  <c r="CP51" i="1"/>
  <c r="CP52" i="1"/>
  <c r="CO50" i="1"/>
  <c r="CO51" i="1"/>
  <c r="CO52" i="1"/>
  <c r="BG56" i="1"/>
  <c r="BG54" i="1"/>
  <c r="BF56" i="1"/>
  <c r="BF54" i="1"/>
  <c r="BF55" i="1"/>
  <c r="BF53" i="1"/>
  <c r="BI53" i="1"/>
  <c r="BI54" i="1"/>
  <c r="BG55" i="1"/>
  <c r="BG53" i="1"/>
  <c r="CK54" i="1"/>
  <c r="CK53" i="1"/>
  <c r="CL54" i="1"/>
  <c r="CL53" i="1"/>
  <c r="CP53" i="1"/>
  <c r="CP54" i="1"/>
  <c r="CO53" i="1"/>
  <c r="CO54" i="1"/>
  <c r="BI56" i="1"/>
  <c r="BI55" i="1"/>
  <c r="CK56" i="1"/>
  <c r="CK55" i="1"/>
  <c r="CL56" i="1"/>
  <c r="CL55" i="1"/>
  <c r="CP55" i="1"/>
  <c r="CP56" i="1"/>
  <c r="CO55" i="1"/>
  <c r="CO56" i="1"/>
  <c r="BF66" i="1"/>
  <c r="BF59" i="1"/>
  <c r="BF57" i="1"/>
  <c r="BF63" i="1"/>
  <c r="BF61" i="1"/>
  <c r="BF65" i="1"/>
  <c r="BG67" i="1"/>
  <c r="BG58" i="1"/>
  <c r="BG64" i="1"/>
  <c r="BG62" i="1"/>
  <c r="BG60" i="1"/>
  <c r="BF67" i="1"/>
  <c r="BF58" i="1"/>
  <c r="BF64" i="1"/>
  <c r="BF62" i="1"/>
  <c r="BF60" i="1"/>
  <c r="BI58" i="1"/>
  <c r="BI64" i="1"/>
  <c r="BI59" i="1"/>
  <c r="BI57" i="1"/>
  <c r="BI63" i="1"/>
  <c r="BI62" i="1"/>
  <c r="BI61" i="1"/>
  <c r="BI60" i="1"/>
  <c r="BI65" i="1"/>
  <c r="BI66" i="1"/>
  <c r="BI67" i="1"/>
  <c r="BG59" i="1"/>
  <c r="BG57" i="1"/>
  <c r="BG63" i="1"/>
  <c r="BG61" i="1"/>
  <c r="BG65" i="1"/>
  <c r="BG66" i="1"/>
  <c r="CP65" i="1"/>
  <c r="CP61" i="1"/>
  <c r="CP57" i="1"/>
  <c r="CP66" i="1"/>
  <c r="CP62" i="1"/>
  <c r="CP58" i="1"/>
  <c r="CP67" i="1"/>
  <c r="CP63" i="1"/>
  <c r="CP59" i="1"/>
  <c r="CP64" i="1"/>
  <c r="CP60" i="1"/>
  <c r="CO64" i="1"/>
  <c r="CO60" i="1"/>
  <c r="CO65" i="1"/>
  <c r="CO61" i="1"/>
  <c r="CO57" i="1"/>
  <c r="CO66" i="1"/>
  <c r="CO62" i="1"/>
  <c r="CO58" i="1"/>
  <c r="CO67" i="1"/>
  <c r="CO63" i="1"/>
  <c r="CO59" i="1"/>
  <c r="CK67" i="1"/>
  <c r="CK63" i="1"/>
  <c r="CK59" i="1"/>
  <c r="CK64" i="1"/>
  <c r="CK60" i="1"/>
  <c r="CK65" i="1"/>
  <c r="CK61" i="1"/>
  <c r="CK57" i="1"/>
  <c r="CK66" i="1"/>
  <c r="CK62" i="1"/>
  <c r="CK58" i="1"/>
  <c r="CL67" i="1"/>
  <c r="CL63" i="1"/>
  <c r="CL59" i="1"/>
  <c r="CL64" i="1"/>
  <c r="CL60" i="1"/>
  <c r="CL65" i="1"/>
  <c r="CL61" i="1"/>
  <c r="CL57" i="1"/>
  <c r="CL66" i="1"/>
  <c r="CL62" i="1"/>
  <c r="CL58" i="1"/>
  <c r="BF91" i="1"/>
  <c r="BF90" i="1"/>
  <c r="BF78" i="1"/>
  <c r="BF88" i="1"/>
  <c r="BF94" i="1"/>
  <c r="BF98" i="1"/>
  <c r="BF85" i="1"/>
  <c r="BF81" i="1"/>
  <c r="BF101" i="1"/>
  <c r="BF68" i="1"/>
  <c r="BF69" i="1"/>
  <c r="BF95" i="1"/>
  <c r="BF97" i="1"/>
  <c r="BF80" i="1"/>
  <c r="BF76" i="1"/>
  <c r="BF72" i="1"/>
  <c r="BF74" i="1"/>
  <c r="BF83" i="1"/>
  <c r="BG97" i="1"/>
  <c r="BG74" i="1"/>
  <c r="BG69" i="1"/>
  <c r="BG81" i="1"/>
  <c r="BG94" i="1"/>
  <c r="BG90" i="1"/>
  <c r="BG85" i="1"/>
  <c r="BG78" i="1"/>
  <c r="BG98" i="1"/>
  <c r="BG91" i="1"/>
  <c r="BG80" i="1"/>
  <c r="BG76" i="1"/>
  <c r="BG72" i="1"/>
  <c r="BG83" i="1"/>
  <c r="BG68" i="1"/>
  <c r="BG101" i="1"/>
  <c r="BG95" i="1"/>
  <c r="BG88" i="1"/>
  <c r="BI96" i="1"/>
  <c r="BI74" i="1"/>
  <c r="BI85" i="1"/>
  <c r="BI68" i="1"/>
  <c r="BI94" i="1"/>
  <c r="BI89" i="1"/>
  <c r="BI87" i="1"/>
  <c r="BI97" i="1"/>
  <c r="BI72" i="1"/>
  <c r="BI81" i="1"/>
  <c r="BI90" i="1"/>
  <c r="BI92" i="1"/>
  <c r="BI98" i="1"/>
  <c r="BI88" i="1"/>
  <c r="BI91" i="1"/>
  <c r="BI84" i="1"/>
  <c r="BI83" i="1"/>
  <c r="BI73" i="1"/>
  <c r="BI69" i="1"/>
  <c r="BI101" i="1"/>
  <c r="BI78" i="1"/>
  <c r="BI76" i="1"/>
  <c r="BI102" i="1"/>
  <c r="BI100" i="1"/>
  <c r="BI99" i="1"/>
  <c r="BI71" i="1"/>
  <c r="BI77" i="1"/>
  <c r="BI93" i="1"/>
  <c r="BI86" i="1"/>
  <c r="BI95" i="1"/>
  <c r="BI82" i="1"/>
  <c r="BI80" i="1"/>
  <c r="BI79" i="1"/>
  <c r="BI70" i="1"/>
  <c r="BI75" i="1"/>
  <c r="BF86" i="1"/>
  <c r="BF100" i="1"/>
  <c r="BF99" i="1"/>
  <c r="BF77" i="1"/>
  <c r="BF71" i="1"/>
  <c r="BF93" i="1"/>
  <c r="BF70" i="1"/>
  <c r="BF89" i="1"/>
  <c r="BF84" i="1"/>
  <c r="BF82" i="1"/>
  <c r="BF79" i="1"/>
  <c r="BF102" i="1"/>
  <c r="BF96" i="1"/>
  <c r="BF73" i="1"/>
  <c r="BF75" i="1"/>
  <c r="BF87" i="1"/>
  <c r="BF92" i="1"/>
  <c r="BG92" i="1"/>
  <c r="BG100" i="1"/>
  <c r="BG102" i="1"/>
  <c r="BG77" i="1"/>
  <c r="BG86" i="1"/>
  <c r="BG82" i="1"/>
  <c r="BG96" i="1"/>
  <c r="BG93" i="1"/>
  <c r="BG89" i="1"/>
  <c r="BG75" i="1"/>
  <c r="BG79" i="1"/>
  <c r="BG73" i="1"/>
  <c r="BG84" i="1"/>
  <c r="BG70" i="1"/>
  <c r="BG87" i="1"/>
  <c r="BG99" i="1"/>
  <c r="BG71" i="1"/>
  <c r="CP92" i="1"/>
  <c r="CP97" i="1"/>
  <c r="CP87" i="1"/>
  <c r="CP96" i="1"/>
  <c r="CP101" i="1"/>
  <c r="CP94" i="1"/>
  <c r="CP85" i="1"/>
  <c r="CP95" i="1"/>
  <c r="CP83" i="1"/>
  <c r="CP80" i="1"/>
  <c r="CP78" i="1"/>
  <c r="CP84" i="1"/>
  <c r="CP72" i="1"/>
  <c r="CP77" i="1"/>
  <c r="CP79" i="1"/>
  <c r="CP81" i="1"/>
  <c r="CP73" i="1"/>
  <c r="CP88" i="1"/>
  <c r="CP70" i="1"/>
  <c r="CP98" i="1"/>
  <c r="CP75" i="1"/>
  <c r="CP90" i="1"/>
  <c r="CP82" i="1"/>
  <c r="CP71" i="1"/>
  <c r="CP100" i="1"/>
  <c r="CP74" i="1"/>
  <c r="CP93" i="1"/>
  <c r="CP91" i="1"/>
  <c r="CP102" i="1"/>
  <c r="CP76" i="1"/>
  <c r="CP89" i="1"/>
  <c r="CP99" i="1"/>
  <c r="CP68" i="1"/>
  <c r="CP86" i="1"/>
  <c r="CP69" i="1"/>
  <c r="CL102" i="1"/>
  <c r="CL97" i="1"/>
  <c r="CL94" i="1"/>
  <c r="CL74" i="1"/>
  <c r="CL96" i="1"/>
  <c r="CL75" i="1"/>
  <c r="CL82" i="1"/>
  <c r="CL70" i="1"/>
  <c r="CL87" i="1"/>
  <c r="CL93" i="1"/>
  <c r="CL98" i="1"/>
  <c r="CL92" i="1"/>
  <c r="CL77" i="1"/>
  <c r="CL72" i="1"/>
  <c r="CL69" i="1"/>
  <c r="CL91" i="1"/>
  <c r="CL90" i="1"/>
  <c r="CL89" i="1"/>
  <c r="CL86" i="1"/>
  <c r="CL99" i="1"/>
  <c r="CL85" i="1"/>
  <c r="CL84" i="1"/>
  <c r="CL95" i="1"/>
  <c r="CL83" i="1"/>
  <c r="CL81" i="1"/>
  <c r="CL79" i="1"/>
  <c r="CL80" i="1"/>
  <c r="CL78" i="1"/>
  <c r="CL71" i="1"/>
  <c r="CL100" i="1"/>
  <c r="CL73" i="1"/>
  <c r="CL88" i="1"/>
  <c r="CL101" i="1"/>
  <c r="CL68" i="1"/>
  <c r="CL76" i="1"/>
  <c r="CK99" i="1"/>
  <c r="CK68" i="1"/>
  <c r="CK94" i="1"/>
  <c r="CK86" i="1"/>
  <c r="CK92" i="1"/>
  <c r="CK88" i="1"/>
  <c r="CK95" i="1"/>
  <c r="CK70" i="1"/>
  <c r="CK84" i="1"/>
  <c r="CK83" i="1"/>
  <c r="CK82" i="1"/>
  <c r="CK77" i="1"/>
  <c r="CK69" i="1"/>
  <c r="CK72" i="1"/>
  <c r="CK79" i="1"/>
  <c r="CK85" i="1"/>
  <c r="CK73" i="1"/>
  <c r="CK93" i="1"/>
  <c r="CK96" i="1"/>
  <c r="CK75" i="1"/>
  <c r="CK76" i="1"/>
  <c r="CK89" i="1"/>
  <c r="CK102" i="1"/>
  <c r="CK97" i="1"/>
  <c r="CK71" i="1"/>
  <c r="CK91" i="1"/>
  <c r="CK98" i="1"/>
  <c r="CK87" i="1"/>
  <c r="CK101" i="1"/>
  <c r="CK90" i="1"/>
  <c r="CK80" i="1"/>
  <c r="CK81" i="1"/>
  <c r="CK74" i="1"/>
  <c r="CK78" i="1"/>
  <c r="CK100" i="1"/>
  <c r="BF157" i="1"/>
  <c r="BF158" i="1"/>
  <c r="BF138" i="1"/>
  <c r="BF127" i="1"/>
  <c r="BF105" i="1"/>
  <c r="BF116" i="1"/>
  <c r="BF113" i="1"/>
  <c r="BF122" i="1"/>
  <c r="BF161" i="1"/>
  <c r="BF124" i="1"/>
  <c r="BF118" i="1"/>
  <c r="BF107" i="1"/>
  <c r="BF112" i="1"/>
  <c r="BF134" i="1"/>
  <c r="BF135" i="1"/>
  <c r="BF145" i="1"/>
  <c r="BF147" i="1"/>
  <c r="BF125" i="1"/>
  <c r="BF110" i="1"/>
  <c r="BF120" i="1"/>
  <c r="BF142" i="1"/>
  <c r="BF160" i="1"/>
  <c r="BF141" i="1"/>
  <c r="BF148" i="1"/>
  <c r="BF156" i="1"/>
  <c r="BF132" i="1"/>
  <c r="BF103" i="1"/>
  <c r="BF149" i="1"/>
  <c r="BF139" i="1"/>
  <c r="BF150" i="1"/>
  <c r="BF129" i="1"/>
  <c r="BG127" i="1"/>
  <c r="BG125" i="1"/>
  <c r="BG116" i="1"/>
  <c r="BG124" i="1"/>
  <c r="BG138" i="1"/>
  <c r="BG150" i="1"/>
  <c r="BG145" i="1"/>
  <c r="BG156" i="1"/>
  <c r="BG129" i="1"/>
  <c r="BG103" i="1"/>
  <c r="BG110" i="1"/>
  <c r="BG147" i="1"/>
  <c r="BG160" i="1"/>
  <c r="BG135" i="1"/>
  <c r="BG139" i="1"/>
  <c r="BG141" i="1"/>
  <c r="BG120" i="1"/>
  <c r="BG157" i="1"/>
  <c r="BG118" i="1"/>
  <c r="BG158" i="1"/>
  <c r="BG107" i="1"/>
  <c r="BG142" i="1"/>
  <c r="BG149" i="1"/>
  <c r="BG148" i="1"/>
  <c r="BG122" i="1"/>
  <c r="BG105" i="1"/>
  <c r="BG134" i="1"/>
  <c r="BG112" i="1"/>
  <c r="BG132" i="1"/>
  <c r="BG161" i="1"/>
  <c r="BG113" i="1"/>
  <c r="BI147" i="1"/>
  <c r="BI130" i="1"/>
  <c r="BI105" i="1"/>
  <c r="BI150" i="1"/>
  <c r="BI139" i="1"/>
  <c r="BI137" i="1"/>
  <c r="BI122" i="1"/>
  <c r="BI119" i="1"/>
  <c r="BI161" i="1"/>
  <c r="BI145" i="1"/>
  <c r="BI131" i="1"/>
  <c r="BI107" i="1"/>
  <c r="BI154" i="1"/>
  <c r="BI142" i="1"/>
  <c r="BI127" i="1"/>
  <c r="BI113" i="1"/>
  <c r="BI112" i="1"/>
  <c r="BI108" i="1"/>
  <c r="BI151" i="1"/>
  <c r="BI129" i="1"/>
  <c r="BI126" i="1"/>
  <c r="BI135" i="1"/>
  <c r="BI120" i="1"/>
  <c r="BI116" i="1"/>
  <c r="BI115" i="1"/>
  <c r="BI111" i="1"/>
  <c r="BI109" i="1"/>
  <c r="BI104" i="1"/>
  <c r="BI156" i="1"/>
  <c r="BI162" i="1"/>
  <c r="BI155" i="1"/>
  <c r="BI140" i="1"/>
  <c r="BI125" i="1"/>
  <c r="BI124" i="1"/>
  <c r="BI110" i="1"/>
  <c r="BI159" i="1"/>
  <c r="BI146" i="1"/>
  <c r="BI133" i="1"/>
  <c r="BI160" i="1"/>
  <c r="BI158" i="1"/>
  <c r="BI153" i="1"/>
  <c r="BI152" i="1"/>
  <c r="BI136" i="1"/>
  <c r="BI134" i="1"/>
  <c r="BI128" i="1"/>
  <c r="BI114" i="1"/>
  <c r="BI106" i="1"/>
  <c r="BI103" i="1"/>
  <c r="BI117" i="1"/>
  <c r="BI148" i="1"/>
  <c r="BI141" i="1"/>
  <c r="BI118" i="1"/>
  <c r="BI138" i="1"/>
  <c r="BI157" i="1"/>
  <c r="BI149" i="1"/>
  <c r="BI144" i="1"/>
  <c r="BI143" i="1"/>
  <c r="BI132" i="1"/>
  <c r="BI123" i="1"/>
  <c r="BI121" i="1"/>
  <c r="BF106" i="1"/>
  <c r="BF117" i="1"/>
  <c r="BF151" i="1"/>
  <c r="BF131" i="1"/>
  <c r="BF104" i="1"/>
  <c r="BF133" i="1"/>
  <c r="BF130" i="1"/>
  <c r="BF109" i="1"/>
  <c r="BF126" i="1"/>
  <c r="BF108" i="1"/>
  <c r="BF143" i="1"/>
  <c r="BF136" i="1"/>
  <c r="BF140" i="1"/>
  <c r="BF123" i="1"/>
  <c r="BF111" i="1"/>
  <c r="BF114" i="1"/>
  <c r="BF154" i="1"/>
  <c r="BF144" i="1"/>
  <c r="BF153" i="1"/>
  <c r="BF162" i="1"/>
  <c r="BF128" i="1"/>
  <c r="BF146" i="1"/>
  <c r="BF137" i="1"/>
  <c r="BF159" i="1"/>
  <c r="BF121" i="1"/>
  <c r="BF119" i="1"/>
  <c r="BF152" i="1"/>
  <c r="BF115" i="1"/>
  <c r="BF155" i="1"/>
  <c r="BG154" i="1"/>
  <c r="BG146" i="1"/>
  <c r="BG143" i="1"/>
  <c r="BG126" i="1"/>
  <c r="BG151" i="1"/>
  <c r="BG130" i="1"/>
  <c r="BG159" i="1"/>
  <c r="BG131" i="1"/>
  <c r="BG109" i="1"/>
  <c r="BG137" i="1"/>
  <c r="BG144" i="1"/>
  <c r="BG153" i="1"/>
  <c r="BG133" i="1"/>
  <c r="BG128" i="1"/>
  <c r="BG108" i="1"/>
  <c r="BG104" i="1"/>
  <c r="BG155" i="1"/>
  <c r="BG123" i="1"/>
  <c r="BG152" i="1"/>
  <c r="BG140" i="1"/>
  <c r="BG162" i="1"/>
  <c r="BG136" i="1"/>
  <c r="BG106" i="1"/>
  <c r="BG119" i="1"/>
  <c r="BG111" i="1"/>
  <c r="BG117" i="1"/>
  <c r="BG114" i="1"/>
  <c r="BG115" i="1"/>
  <c r="BG121" i="1"/>
  <c r="CO84" i="1"/>
  <c r="CO77" i="1"/>
  <c r="CO98" i="1"/>
  <c r="CO102" i="1"/>
  <c r="CO88" i="1"/>
  <c r="CO82" i="1"/>
  <c r="CO72" i="1"/>
  <c r="CO74" i="1"/>
  <c r="CO101" i="1"/>
  <c r="CO93" i="1"/>
  <c r="CO68" i="1"/>
  <c r="CO75" i="1"/>
  <c r="CO99" i="1"/>
  <c r="CO83" i="1"/>
  <c r="CO69" i="1"/>
  <c r="CO86" i="1"/>
  <c r="CO71" i="1"/>
  <c r="CO81" i="1"/>
  <c r="CO73" i="1"/>
  <c r="CO80" i="1"/>
  <c r="CO97" i="1"/>
  <c r="CO79" i="1"/>
  <c r="CO85" i="1"/>
  <c r="CO96" i="1"/>
  <c r="CO87" i="1"/>
  <c r="CO89" i="1"/>
  <c r="CO78" i="1"/>
  <c r="CO70" i="1"/>
  <c r="CO76" i="1"/>
  <c r="CO91" i="1"/>
  <c r="CO92" i="1"/>
  <c r="CO90" i="1"/>
  <c r="CO100" i="1"/>
  <c r="CO95" i="1"/>
  <c r="CO94" i="1"/>
  <c r="CP114" i="1"/>
  <c r="CP156" i="1"/>
  <c r="CP158" i="1"/>
  <c r="CP128" i="1"/>
  <c r="CP136" i="1"/>
  <c r="CP150" i="1"/>
  <c r="CP147" i="1"/>
  <c r="CP132" i="1"/>
  <c r="CP141" i="1"/>
  <c r="CP155" i="1"/>
  <c r="CP139" i="1"/>
  <c r="CP129" i="1"/>
  <c r="CP106" i="1"/>
  <c r="CP148" i="1"/>
  <c r="CP123" i="1"/>
  <c r="CP134" i="1"/>
  <c r="CP131" i="1"/>
  <c r="CP125" i="1"/>
  <c r="CP161" i="1"/>
  <c r="CP152" i="1"/>
  <c r="CP157" i="1"/>
  <c r="CP117" i="1"/>
  <c r="CP143" i="1"/>
  <c r="CP115" i="1"/>
  <c r="CP127" i="1"/>
  <c r="CP151" i="1"/>
  <c r="CP130" i="1"/>
  <c r="CP133" i="1"/>
  <c r="CP119" i="1"/>
  <c r="CP126" i="1"/>
  <c r="CP159" i="1"/>
  <c r="CP121" i="1"/>
  <c r="CP105" i="1"/>
  <c r="CP122" i="1"/>
  <c r="CP103" i="1"/>
  <c r="CP153" i="1"/>
  <c r="CP154" i="1"/>
  <c r="CP137" i="1"/>
  <c r="CP160" i="1"/>
  <c r="CP135" i="1"/>
  <c r="CP142" i="1"/>
  <c r="CP145" i="1"/>
  <c r="CP144" i="1"/>
  <c r="CP140" i="1"/>
  <c r="CP138" i="1"/>
  <c r="CP120" i="1"/>
  <c r="CP124" i="1"/>
  <c r="CP162" i="1"/>
  <c r="CP149" i="1"/>
  <c r="CP108" i="1"/>
  <c r="CP104" i="1"/>
  <c r="CP146" i="1"/>
  <c r="CP118" i="1"/>
  <c r="CP111" i="1"/>
  <c r="CP107" i="1"/>
  <c r="CP116" i="1"/>
  <c r="CP113" i="1"/>
  <c r="CP109" i="1"/>
  <c r="CP112" i="1"/>
  <c r="CP110" i="1"/>
  <c r="CL115" i="1"/>
  <c r="CL120" i="1"/>
  <c r="CL156" i="1"/>
  <c r="CL119" i="1"/>
  <c r="CL146" i="1"/>
  <c r="CL152" i="1"/>
  <c r="CL121" i="1"/>
  <c r="CL143" i="1"/>
  <c r="CL123" i="1"/>
  <c r="CL141" i="1"/>
  <c r="CL124" i="1"/>
  <c r="CL139" i="1"/>
  <c r="CL104" i="1"/>
  <c r="CL122" i="1"/>
  <c r="CL151" i="1"/>
  <c r="CL137" i="1"/>
  <c r="CL103" i="1"/>
  <c r="CL134" i="1"/>
  <c r="CL118" i="1"/>
  <c r="CL160" i="1"/>
  <c r="CL153" i="1"/>
  <c r="CL154" i="1"/>
  <c r="CL150" i="1"/>
  <c r="CL155" i="1"/>
  <c r="CL133" i="1"/>
  <c r="CL145" i="1"/>
  <c r="CL148" i="1"/>
  <c r="CL132" i="1"/>
  <c r="CL147" i="1"/>
  <c r="CL131" i="1"/>
  <c r="CL159" i="1"/>
  <c r="CL111" i="1"/>
  <c r="CL130" i="1"/>
  <c r="CL162" i="1"/>
  <c r="CL158" i="1"/>
  <c r="CL144" i="1"/>
  <c r="CL149" i="1"/>
  <c r="CL142" i="1"/>
  <c r="CL136" i="1"/>
  <c r="CL117" i="1"/>
  <c r="CL105" i="1"/>
  <c r="CL129" i="1"/>
  <c r="CL161" i="1"/>
  <c r="CL138" i="1"/>
  <c r="CL125" i="1"/>
  <c r="CL112" i="1"/>
  <c r="CL128" i="1"/>
  <c r="CL113" i="1"/>
  <c r="CL157" i="1"/>
  <c r="CL127" i="1"/>
  <c r="CL116" i="1"/>
  <c r="CL140" i="1"/>
  <c r="CL126" i="1"/>
  <c r="CL109" i="1"/>
  <c r="CL114" i="1"/>
  <c r="CL135" i="1"/>
  <c r="CL110" i="1"/>
  <c r="CL108" i="1"/>
  <c r="CL107" i="1"/>
  <c r="CL106" i="1"/>
  <c r="CK137" i="1"/>
  <c r="CK159" i="1"/>
  <c r="CK154" i="1"/>
  <c r="CK148" i="1"/>
  <c r="CK143" i="1"/>
  <c r="CK134" i="1"/>
  <c r="CK123" i="1"/>
  <c r="CK155" i="1"/>
  <c r="CK133" i="1"/>
  <c r="CK150" i="1"/>
  <c r="CK139" i="1"/>
  <c r="CK142" i="1"/>
  <c r="CK141" i="1"/>
  <c r="CK136" i="1"/>
  <c r="CK138" i="1"/>
  <c r="CK122" i="1"/>
  <c r="CK135" i="1"/>
  <c r="CK121" i="1"/>
  <c r="CK120" i="1"/>
  <c r="CK117" i="1"/>
  <c r="CK109" i="1"/>
  <c r="CK115" i="1"/>
  <c r="CK112" i="1"/>
  <c r="CK162" i="1"/>
  <c r="CK160" i="1"/>
  <c r="CK152" i="1"/>
  <c r="CK132" i="1"/>
  <c r="CK131" i="1"/>
  <c r="CK130" i="1"/>
  <c r="CK129" i="1"/>
  <c r="CK128" i="1"/>
  <c r="CK127" i="1"/>
  <c r="CK126" i="1"/>
  <c r="CK157" i="1"/>
  <c r="CK124" i="1"/>
  <c r="CK146" i="1"/>
  <c r="CK119" i="1"/>
  <c r="CK113" i="1"/>
  <c r="CK107" i="1"/>
  <c r="CK105" i="1"/>
  <c r="CK104" i="1"/>
  <c r="CK158" i="1"/>
  <c r="CK103" i="1"/>
  <c r="CK156" i="1"/>
  <c r="CK151" i="1"/>
  <c r="CK140" i="1"/>
  <c r="CK153" i="1"/>
  <c r="CK149" i="1"/>
  <c r="CK145" i="1"/>
  <c r="CK114" i="1"/>
  <c r="CK111" i="1"/>
  <c r="CK118" i="1"/>
  <c r="CK108" i="1"/>
  <c r="CK147" i="1"/>
  <c r="CK144" i="1"/>
  <c r="CK110" i="1"/>
  <c r="CK125" i="1"/>
  <c r="CK116" i="1"/>
  <c r="CK161" i="1"/>
  <c r="CK106" i="1"/>
  <c r="CO143" i="1"/>
  <c r="CO134" i="1"/>
  <c r="CO126" i="1"/>
  <c r="CO113" i="1"/>
  <c r="CO160" i="1"/>
  <c r="CO123" i="1"/>
  <c r="CO122" i="1"/>
  <c r="CO111" i="1"/>
  <c r="CO114" i="1"/>
  <c r="CO139" i="1"/>
  <c r="CO145" i="1"/>
  <c r="CO103" i="1"/>
  <c r="CO116" i="1"/>
  <c r="CO124" i="1"/>
  <c r="CO105" i="1"/>
  <c r="CO154" i="1"/>
  <c r="CO109" i="1"/>
  <c r="CO142" i="1"/>
  <c r="CO110" i="1"/>
  <c r="CO120" i="1"/>
  <c r="CO117" i="1"/>
  <c r="CO119" i="1"/>
  <c r="CO112" i="1"/>
  <c r="CO121" i="1"/>
  <c r="CO125" i="1"/>
  <c r="CO158" i="1"/>
  <c r="CO127" i="1"/>
  <c r="CO128" i="1"/>
  <c r="CO129" i="1"/>
  <c r="CO162" i="1"/>
  <c r="CO130" i="1"/>
  <c r="CO131" i="1"/>
  <c r="CO157" i="1"/>
  <c r="CO132" i="1"/>
  <c r="CO133" i="1"/>
  <c r="CO106" i="1"/>
  <c r="CO159" i="1"/>
  <c r="CO107" i="1"/>
  <c r="CO156" i="1"/>
  <c r="CO149" i="1"/>
  <c r="CO153" i="1"/>
  <c r="CO136" i="1"/>
  <c r="CO140" i="1"/>
  <c r="CO150" i="1"/>
  <c r="CO135" i="1"/>
  <c r="CO147" i="1"/>
  <c r="CO152" i="1"/>
  <c r="CO115" i="1"/>
  <c r="CO118" i="1"/>
  <c r="CO155" i="1"/>
  <c r="CO104" i="1"/>
  <c r="CO144" i="1"/>
  <c r="CO151" i="1"/>
  <c r="CO141" i="1"/>
  <c r="CO108" i="1"/>
  <c r="CO148" i="1"/>
  <c r="CO138" i="1"/>
  <c r="CO161" i="1"/>
  <c r="CO137" i="1"/>
  <c r="CO146" i="1"/>
  <c r="BF166" i="1"/>
  <c r="BF167" i="1"/>
  <c r="BF163" i="1"/>
  <c r="BF169" i="1"/>
  <c r="BI167" i="1"/>
  <c r="BI164" i="1"/>
  <c r="BI163" i="1"/>
  <c r="BI168" i="1"/>
  <c r="BI170" i="1"/>
  <c r="BI169" i="1"/>
  <c r="BI166" i="1"/>
  <c r="BI165" i="1"/>
  <c r="BG164" i="1"/>
  <c r="BG170" i="1"/>
  <c r="BG168" i="1"/>
  <c r="BG165" i="1"/>
  <c r="CO166" i="1"/>
  <c r="CO163" i="1"/>
  <c r="CO167" i="1"/>
  <c r="CO164" i="1"/>
  <c r="CO170" i="1"/>
  <c r="CO169" i="1"/>
  <c r="CO168" i="1"/>
  <c r="CO165" i="1"/>
  <c r="BF165" i="1"/>
  <c r="BF164" i="1"/>
  <c r="BF168" i="1"/>
  <c r="BF170" i="1"/>
  <c r="CK164" i="1"/>
  <c r="CK165" i="1"/>
  <c r="CK166" i="1"/>
  <c r="CK163" i="1"/>
  <c r="CK167" i="1"/>
  <c r="CK170" i="1"/>
  <c r="CK169" i="1"/>
  <c r="CK168" i="1"/>
  <c r="CL164" i="1"/>
  <c r="CL168" i="1"/>
  <c r="CL167" i="1"/>
  <c r="CL163" i="1"/>
  <c r="CL170" i="1"/>
  <c r="CL166" i="1"/>
  <c r="CL165" i="1"/>
  <c r="CL169" i="1"/>
  <c r="BG166" i="1"/>
  <c r="BG167" i="1"/>
  <c r="BG163" i="1"/>
  <c r="BG169" i="1"/>
  <c r="CP166" i="1"/>
  <c r="CP163" i="1"/>
  <c r="CP167" i="1"/>
  <c r="CP165" i="1"/>
  <c r="CP170" i="1"/>
  <c r="CP169" i="1"/>
  <c r="CP168" i="1"/>
  <c r="CP164" i="1"/>
  <c r="BF177" i="1"/>
  <c r="BF172" i="1"/>
  <c r="BF176" i="1"/>
  <c r="BF179" i="1"/>
  <c r="BF181" i="1"/>
  <c r="BF173" i="1"/>
  <c r="BI180" i="1"/>
  <c r="BI179" i="1"/>
  <c r="BI171" i="1"/>
  <c r="BI181" i="1"/>
  <c r="BI175" i="1"/>
  <c r="BI173" i="1"/>
  <c r="BI182" i="1"/>
  <c r="BI176" i="1"/>
  <c r="BI174" i="1"/>
  <c r="BI177" i="1"/>
  <c r="BI178" i="1"/>
  <c r="BI172" i="1"/>
  <c r="BG171" i="1"/>
  <c r="BG178" i="1"/>
  <c r="BG180" i="1"/>
  <c r="BG175" i="1"/>
  <c r="BG182" i="1"/>
  <c r="BG174" i="1"/>
  <c r="CO177" i="1"/>
  <c r="CO171" i="1"/>
  <c r="CO179" i="1"/>
  <c r="CO178" i="1"/>
  <c r="CO180" i="1"/>
  <c r="CO174" i="1"/>
  <c r="CO172" i="1"/>
  <c r="CO181" i="1"/>
  <c r="CO175" i="1"/>
  <c r="CO173" i="1"/>
  <c r="CO182" i="1"/>
  <c r="CO176" i="1"/>
  <c r="BF174" i="1"/>
  <c r="BF171" i="1"/>
  <c r="BF178" i="1"/>
  <c r="BF180" i="1"/>
  <c r="BF175" i="1"/>
  <c r="BF182" i="1"/>
  <c r="CK176" i="1"/>
  <c r="CK175" i="1"/>
  <c r="CK177" i="1"/>
  <c r="CK171" i="1"/>
  <c r="CK173" i="1"/>
  <c r="CK179" i="1"/>
  <c r="CK178" i="1"/>
  <c r="CK180" i="1"/>
  <c r="CK174" i="1"/>
  <c r="CK172" i="1"/>
  <c r="CK181" i="1"/>
  <c r="CK182" i="1"/>
  <c r="CL179" i="1"/>
  <c r="CL182" i="1"/>
  <c r="CL180" i="1"/>
  <c r="CL172" i="1"/>
  <c r="CL173" i="1"/>
  <c r="CL176" i="1"/>
  <c r="CL178" i="1"/>
  <c r="CL175" i="1"/>
  <c r="CL171" i="1"/>
  <c r="CL181" i="1"/>
  <c r="CL177" i="1"/>
  <c r="CL174" i="1"/>
  <c r="BG172" i="1"/>
  <c r="BG179" i="1"/>
  <c r="BG181" i="1"/>
  <c r="BG173" i="1"/>
  <c r="BG176" i="1"/>
  <c r="BG177" i="1"/>
  <c r="CP179" i="1"/>
  <c r="CP178" i="1"/>
  <c r="CP180" i="1"/>
  <c r="CP174" i="1"/>
  <c r="CP172" i="1"/>
  <c r="CP181" i="1"/>
  <c r="CP175" i="1"/>
  <c r="CP173" i="1"/>
  <c r="CP182" i="1"/>
  <c r="CP176" i="1"/>
  <c r="CP177" i="1"/>
  <c r="CP171" i="1"/>
  <c r="BF187" i="1"/>
  <c r="BF184" i="1"/>
  <c r="BF185" i="1"/>
  <c r="BI187" i="1"/>
  <c r="BI183" i="1"/>
  <c r="BI188" i="1"/>
  <c r="BI184" i="1"/>
  <c r="BI185" i="1"/>
  <c r="BI186" i="1"/>
  <c r="BG186" i="1"/>
  <c r="BG183" i="1"/>
  <c r="BG188" i="1"/>
  <c r="CO186" i="1"/>
  <c r="CO187" i="1"/>
  <c r="CO183" i="1"/>
  <c r="CO188" i="1"/>
  <c r="CO184" i="1"/>
  <c r="CO185" i="1"/>
  <c r="BF186" i="1"/>
  <c r="BF183" i="1"/>
  <c r="BF188" i="1"/>
  <c r="CK185" i="1"/>
  <c r="CK186" i="1"/>
  <c r="CK187" i="1"/>
  <c r="CK183" i="1"/>
  <c r="CK188" i="1"/>
  <c r="CK184" i="1"/>
  <c r="CL183" i="1"/>
  <c r="CL187" i="1"/>
  <c r="CL186" i="1"/>
  <c r="CL185" i="1"/>
  <c r="CL184" i="1"/>
  <c r="CL188" i="1"/>
  <c r="BG187" i="1"/>
  <c r="BG184" i="1"/>
  <c r="BG185" i="1"/>
  <c r="CP186" i="1"/>
  <c r="CP187" i="1"/>
  <c r="CP183" i="1"/>
  <c r="CP188" i="1"/>
  <c r="CP184" i="1"/>
  <c r="CP185" i="1"/>
  <c r="BF196" i="1"/>
  <c r="BF191" i="1"/>
  <c r="BF193" i="1"/>
  <c r="BF190" i="1"/>
  <c r="BI193" i="1"/>
  <c r="BI189" i="1"/>
  <c r="BI194" i="1"/>
  <c r="BI192" i="1"/>
  <c r="BI190" i="1"/>
  <c r="BI191" i="1"/>
  <c r="BG195" i="1"/>
  <c r="BG189" i="1"/>
  <c r="BG194" i="1"/>
  <c r="BG192" i="1"/>
  <c r="CO192" i="1"/>
  <c r="CO193" i="1"/>
  <c r="CO191" i="1"/>
  <c r="CO194" i="1"/>
  <c r="CO189" i="1"/>
  <c r="CO190" i="1"/>
  <c r="BF195" i="1"/>
  <c r="BF189" i="1"/>
  <c r="BF194" i="1"/>
  <c r="BF192" i="1"/>
  <c r="CK190" i="1"/>
  <c r="CK192" i="1"/>
  <c r="CK194" i="1"/>
  <c r="CK189" i="1"/>
  <c r="CK193" i="1"/>
  <c r="CK191" i="1"/>
  <c r="CL190" i="1"/>
  <c r="CL191" i="1"/>
  <c r="CL192" i="1"/>
  <c r="CL194" i="1"/>
  <c r="CL189" i="1"/>
  <c r="CL193" i="1"/>
  <c r="BG196" i="1"/>
  <c r="BG193" i="1"/>
  <c r="BG191" i="1"/>
  <c r="BG190" i="1"/>
  <c r="CP192" i="1"/>
  <c r="CP193" i="1"/>
  <c r="CP191" i="1"/>
  <c r="CP194" i="1"/>
  <c r="CP189" i="1"/>
  <c r="CP190" i="1"/>
  <c r="BI195" i="1"/>
  <c r="BI196" i="1"/>
  <c r="CO195" i="1"/>
  <c r="CO196" i="1"/>
  <c r="CK195" i="1"/>
  <c r="CK196" i="1"/>
  <c r="CL195" i="1"/>
  <c r="CL196" i="1"/>
  <c r="CP195" i="1"/>
  <c r="CP196" i="1"/>
  <c r="BF202" i="1"/>
  <c r="BF198" i="1"/>
  <c r="BF199" i="1"/>
  <c r="BI198" i="1"/>
  <c r="BI199" i="1"/>
  <c r="BI197" i="1"/>
  <c r="BI200" i="1"/>
  <c r="BG201" i="1"/>
  <c r="BG200" i="1"/>
  <c r="BG197" i="1"/>
  <c r="CO200" i="1"/>
  <c r="CO197" i="1"/>
  <c r="CO198" i="1"/>
  <c r="CO199" i="1"/>
  <c r="BF201" i="1"/>
  <c r="BF200" i="1"/>
  <c r="BF197" i="1"/>
  <c r="CK199" i="1"/>
  <c r="CK197" i="1"/>
  <c r="CK198" i="1"/>
  <c r="CK200" i="1"/>
  <c r="CL198" i="1"/>
  <c r="CL200" i="1"/>
  <c r="CL197" i="1"/>
  <c r="CL199" i="1"/>
  <c r="BG202" i="1"/>
  <c r="BG198" i="1"/>
  <c r="BG199" i="1"/>
  <c r="CP197" i="1"/>
  <c r="CP198" i="1"/>
  <c r="CP200" i="1"/>
  <c r="CP199" i="1"/>
  <c r="BI201" i="1"/>
  <c r="BI202" i="1"/>
  <c r="CO201" i="1"/>
  <c r="CO202" i="1"/>
  <c r="CK201" i="1"/>
  <c r="CK202" i="1"/>
  <c r="CL202" i="1"/>
  <c r="CL201" i="1"/>
  <c r="CP201" i="1"/>
  <c r="CP202" i="1"/>
  <c r="BI210" i="1"/>
  <c r="BI208" i="1"/>
  <c r="BI204" i="1"/>
  <c r="BI219" i="1"/>
  <c r="BI217" i="1"/>
  <c r="BI215" i="1"/>
  <c r="BI213" i="1"/>
  <c r="BI211" i="1"/>
  <c r="BI209" i="1"/>
  <c r="BI207" i="1"/>
  <c r="BI206" i="1"/>
  <c r="BI205" i="1"/>
  <c r="BI203" i="1"/>
  <c r="BI218" i="1"/>
  <c r="BI216" i="1"/>
  <c r="BI214" i="1"/>
  <c r="BI212" i="1"/>
  <c r="CO203" i="1"/>
  <c r="CO218" i="1"/>
  <c r="CO216" i="1"/>
  <c r="CO214" i="1"/>
  <c r="CO212" i="1"/>
  <c r="CO210" i="1"/>
  <c r="CO208" i="1"/>
  <c r="CO206" i="1"/>
  <c r="CO205" i="1"/>
  <c r="CO204" i="1"/>
  <c r="CO219" i="1"/>
  <c r="CO217" i="1"/>
  <c r="CO215" i="1"/>
  <c r="CO213" i="1"/>
  <c r="CO211" i="1"/>
  <c r="CO209" i="1"/>
  <c r="CO207" i="1"/>
  <c r="CK217" i="1"/>
  <c r="CK215" i="1"/>
  <c r="CK213" i="1"/>
  <c r="CK211" i="1"/>
  <c r="CK209" i="1"/>
  <c r="CK207" i="1"/>
  <c r="CK203" i="1"/>
  <c r="CK218" i="1"/>
  <c r="CK216" i="1"/>
  <c r="CK214" i="1"/>
  <c r="CK212" i="1"/>
  <c r="CK210" i="1"/>
  <c r="CK208" i="1"/>
  <c r="CK206" i="1"/>
  <c r="CK205" i="1"/>
  <c r="CK204" i="1"/>
  <c r="CK219" i="1"/>
  <c r="CL208" i="1"/>
  <c r="CL205" i="1"/>
  <c r="CL219" i="1"/>
  <c r="CL210" i="1"/>
  <c r="CL206" i="1"/>
  <c r="CL204" i="1"/>
  <c r="CL212" i="1"/>
  <c r="CL207" i="1"/>
  <c r="CL214" i="1"/>
  <c r="CL209" i="1"/>
  <c r="CL216" i="1"/>
  <c r="CL211" i="1"/>
  <c r="CL218" i="1"/>
  <c r="CL213" i="1"/>
  <c r="CL215" i="1"/>
  <c r="CL203" i="1"/>
  <c r="CL217" i="1"/>
  <c r="CP218" i="1"/>
  <c r="CP216" i="1"/>
  <c r="CP214" i="1"/>
  <c r="CP212" i="1"/>
  <c r="CP210" i="1"/>
  <c r="CP208" i="1"/>
  <c r="CP206" i="1"/>
  <c r="CP205" i="1"/>
  <c r="CP204" i="1"/>
  <c r="CP219" i="1"/>
  <c r="CP217" i="1"/>
  <c r="CP215" i="1"/>
  <c r="CP213" i="1"/>
  <c r="CP211" i="1"/>
  <c r="CP209" i="1"/>
  <c r="CP207" i="1"/>
  <c r="CP203" i="1"/>
  <c r="BG213" i="1"/>
  <c r="BG211" i="1"/>
  <c r="BG216" i="1"/>
  <c r="BG218" i="1"/>
  <c r="BG207" i="1"/>
  <c r="BG205" i="1"/>
  <c r="BG209" i="1"/>
  <c r="BG204" i="1"/>
  <c r="BF205" i="1"/>
  <c r="BF204" i="1"/>
  <c r="BF213" i="1"/>
  <c r="BF211" i="1"/>
  <c r="BF209" i="1"/>
  <c r="BF216" i="1"/>
  <c r="BF218" i="1"/>
  <c r="BF207" i="1"/>
  <c r="BG215" i="1"/>
  <c r="BG210" i="1"/>
  <c r="BG217" i="1"/>
  <c r="BG214" i="1"/>
  <c r="BG212" i="1"/>
  <c r="BG219" i="1"/>
  <c r="BG208" i="1"/>
  <c r="BG206" i="1"/>
  <c r="BG203" i="1"/>
  <c r="BF215" i="1"/>
  <c r="BF210" i="1"/>
  <c r="BF217" i="1"/>
  <c r="BF214" i="1"/>
  <c r="BF212" i="1"/>
  <c r="BF219" i="1"/>
  <c r="BF208" i="1"/>
  <c r="BF206" i="1"/>
  <c r="BF203" i="1"/>
  <c r="BG226" i="1"/>
  <c r="BG222" i="1"/>
  <c r="BG224" i="1"/>
  <c r="BG221" i="1"/>
  <c r="CP223" i="1"/>
  <c r="CP224" i="1"/>
  <c r="CP222" i="1"/>
  <c r="CP220" i="1"/>
  <c r="CP221" i="1"/>
  <c r="BF222" i="1"/>
  <c r="BF224" i="1"/>
  <c r="BF221" i="1"/>
  <c r="BI224" i="1"/>
  <c r="BI220" i="1"/>
  <c r="BI223" i="1"/>
  <c r="BI221" i="1"/>
  <c r="BI222" i="1"/>
  <c r="BG220" i="1"/>
  <c r="BG223" i="1"/>
  <c r="BF220" i="1"/>
  <c r="BF223" i="1"/>
  <c r="CO223" i="1"/>
  <c r="CO224" i="1"/>
  <c r="CO222" i="1"/>
  <c r="CO220" i="1"/>
  <c r="CO221" i="1"/>
  <c r="CK221" i="1"/>
  <c r="CK223" i="1"/>
  <c r="CK224" i="1"/>
  <c r="CK222" i="1"/>
  <c r="CK220" i="1"/>
  <c r="CL222" i="1"/>
  <c r="CL221" i="1"/>
  <c r="CL223" i="1"/>
  <c r="CL220" i="1"/>
  <c r="CL224" i="1"/>
  <c r="CP225" i="1"/>
  <c r="CP226" i="1"/>
  <c r="BF230" i="1"/>
  <c r="BF226" i="1"/>
  <c r="BI225" i="1"/>
  <c r="BI226" i="1"/>
  <c r="BG227" i="1"/>
  <c r="BG225" i="1"/>
  <c r="CO225" i="1"/>
  <c r="CO226" i="1"/>
  <c r="BF227" i="1"/>
  <c r="BF225" i="1"/>
  <c r="CK225" i="1"/>
  <c r="CK226" i="1"/>
  <c r="CL226" i="1"/>
  <c r="CL225" i="1"/>
  <c r="BG230" i="1"/>
  <c r="BI228" i="1"/>
  <c r="BI227" i="1"/>
  <c r="CO228" i="1"/>
  <c r="CO227" i="1"/>
  <c r="CK228" i="1"/>
  <c r="CK227" i="1"/>
  <c r="CL228" i="1"/>
  <c r="CL227" i="1"/>
  <c r="CP228" i="1"/>
  <c r="CP227" i="1"/>
  <c r="BG229" i="1"/>
  <c r="BG228" i="1"/>
  <c r="BF229" i="1"/>
  <c r="BF228" i="1"/>
  <c r="BI229" i="1"/>
  <c r="BI230" i="1"/>
  <c r="CO229" i="1"/>
  <c r="CO230" i="1"/>
  <c r="CK229" i="1"/>
  <c r="CK230" i="1"/>
  <c r="CL230" i="1"/>
  <c r="CL229" i="1"/>
  <c r="CP229" i="1"/>
  <c r="CP230" i="1"/>
  <c r="BI232" i="1"/>
  <c r="BI231" i="1"/>
  <c r="BG232" i="1"/>
  <c r="BG231" i="1"/>
  <c r="CO232" i="1"/>
  <c r="CO231" i="1"/>
  <c r="BF232" i="1"/>
  <c r="BF231" i="1"/>
  <c r="CK232" i="1"/>
  <c r="CK231" i="1"/>
  <c r="CL232" i="1"/>
  <c r="CL231" i="1"/>
  <c r="CP232" i="1"/>
  <c r="CP231" i="1"/>
  <c r="BI236" i="1"/>
  <c r="BI234" i="1"/>
  <c r="BI233" i="1"/>
  <c r="BI235" i="1"/>
  <c r="BF235" i="1"/>
  <c r="BF234" i="1"/>
  <c r="BG236" i="1"/>
  <c r="BG233" i="1"/>
  <c r="CO236" i="1"/>
  <c r="CO235" i="1"/>
  <c r="CO233" i="1"/>
  <c r="CO234" i="1"/>
  <c r="BF236" i="1"/>
  <c r="BF233" i="1"/>
  <c r="CK236" i="1"/>
  <c r="CK234" i="1"/>
  <c r="CK235" i="1"/>
  <c r="CK233" i="1"/>
  <c r="CL236" i="1"/>
  <c r="CL235" i="1"/>
  <c r="CL233" i="1"/>
  <c r="CL234" i="1"/>
  <c r="BG235" i="1"/>
  <c r="BG234" i="1"/>
  <c r="CP236" i="1"/>
  <c r="CP235" i="1"/>
  <c r="CP233" i="1"/>
  <c r="CP234" i="1"/>
  <c r="BF241" i="1"/>
  <c r="BF243" i="1"/>
  <c r="BF238" i="1"/>
  <c r="BF239" i="1"/>
  <c r="BI242" i="1"/>
  <c r="BI237" i="1"/>
  <c r="BI243" i="1"/>
  <c r="BI240" i="1"/>
  <c r="BI244" i="1"/>
  <c r="BI238" i="1"/>
  <c r="BI239" i="1"/>
  <c r="BI241" i="1"/>
  <c r="BG242" i="1"/>
  <c r="BG237" i="1"/>
  <c r="BG240" i="1"/>
  <c r="BG244" i="1"/>
  <c r="CO240" i="1"/>
  <c r="CO241" i="1"/>
  <c r="CO242" i="1"/>
  <c r="CO239" i="1"/>
  <c r="CO243" i="1"/>
  <c r="CO237" i="1"/>
  <c r="CO238" i="1"/>
  <c r="CO244" i="1"/>
  <c r="BF242" i="1"/>
  <c r="BF237" i="1"/>
  <c r="BF240" i="1"/>
  <c r="BF244" i="1"/>
  <c r="CK240" i="1"/>
  <c r="CK241" i="1"/>
  <c r="CK242" i="1"/>
  <c r="CK239" i="1"/>
  <c r="CK243" i="1"/>
  <c r="CK237" i="1"/>
  <c r="CK238" i="1"/>
  <c r="CK244" i="1"/>
  <c r="CL237" i="1"/>
  <c r="CL243" i="1"/>
  <c r="CL241" i="1"/>
  <c r="CL239" i="1"/>
  <c r="CL238" i="1"/>
  <c r="CL242" i="1"/>
  <c r="CL244" i="1"/>
  <c r="CL240" i="1"/>
  <c r="BG241" i="1"/>
  <c r="BG243" i="1"/>
  <c r="BG238" i="1"/>
  <c r="BG239" i="1"/>
  <c r="CP241" i="1"/>
  <c r="CP242" i="1"/>
  <c r="CP239" i="1"/>
  <c r="CP243" i="1"/>
  <c r="CP237" i="1"/>
  <c r="CP238" i="1"/>
  <c r="CP244" i="1"/>
  <c r="CP240" i="1"/>
  <c r="BF246" i="1"/>
  <c r="BF247" i="1"/>
  <c r="BI246" i="1"/>
  <c r="BI247" i="1"/>
  <c r="BI245" i="1"/>
  <c r="BI248" i="1"/>
  <c r="BG248" i="1"/>
  <c r="BG245" i="1"/>
  <c r="CO245" i="1"/>
  <c r="CO246" i="1"/>
  <c r="CO248" i="1"/>
  <c r="CO247" i="1"/>
  <c r="BF248" i="1"/>
  <c r="BF245" i="1"/>
  <c r="CK247" i="1"/>
  <c r="CK245" i="1"/>
  <c r="CK246" i="1"/>
  <c r="CK248" i="1"/>
  <c r="CL246" i="1"/>
  <c r="CL248" i="1"/>
  <c r="CL245" i="1"/>
  <c r="CL247" i="1"/>
  <c r="BG246" i="1"/>
  <c r="BG247" i="1"/>
  <c r="CP245" i="1"/>
  <c r="CP246" i="1"/>
  <c r="CP248" i="1"/>
  <c r="CP247" i="1"/>
  <c r="BG259" i="1"/>
  <c r="BG255" i="1"/>
  <c r="BG251" i="1"/>
  <c r="BG264" i="1"/>
  <c r="BG257" i="1"/>
  <c r="BG253" i="1"/>
  <c r="BG262" i="1"/>
  <c r="BG250" i="1"/>
  <c r="CP263" i="1"/>
  <c r="CP259" i="1"/>
  <c r="CP255" i="1"/>
  <c r="CP264" i="1"/>
  <c r="CP260" i="1"/>
  <c r="CP256" i="1"/>
  <c r="CP252" i="1"/>
  <c r="CP265" i="1"/>
  <c r="CP261" i="1"/>
  <c r="CP257" i="1"/>
  <c r="CP253" i="1"/>
  <c r="CP251" i="1"/>
  <c r="CP249" i="1"/>
  <c r="CP262" i="1"/>
  <c r="CP258" i="1"/>
  <c r="CP254" i="1"/>
  <c r="CP250" i="1"/>
  <c r="BF262" i="1"/>
  <c r="BF250" i="1"/>
  <c r="BF259" i="1"/>
  <c r="BF255" i="1"/>
  <c r="BF251" i="1"/>
  <c r="BF264" i="1"/>
  <c r="BF257" i="1"/>
  <c r="BF253" i="1"/>
  <c r="BI264" i="1"/>
  <c r="BI260" i="1"/>
  <c r="BI256" i="1"/>
  <c r="BI265" i="1"/>
  <c r="BI261" i="1"/>
  <c r="BI257" i="1"/>
  <c r="BI253" i="1"/>
  <c r="BI249" i="1"/>
  <c r="BI262" i="1"/>
  <c r="BI258" i="1"/>
  <c r="BI254" i="1"/>
  <c r="BI252" i="1"/>
  <c r="BI250" i="1"/>
  <c r="BI263" i="1"/>
  <c r="BI259" i="1"/>
  <c r="BI255" i="1"/>
  <c r="BI251" i="1"/>
  <c r="CL251" i="1"/>
  <c r="CL262" i="1"/>
  <c r="CL264" i="1"/>
  <c r="CL255" i="1"/>
  <c r="CL249" i="1"/>
  <c r="CL259" i="1"/>
  <c r="CL253" i="1"/>
  <c r="CL263" i="1"/>
  <c r="CL257" i="1"/>
  <c r="CL250" i="1"/>
  <c r="CL261" i="1"/>
  <c r="CL252" i="1"/>
  <c r="CL265" i="1"/>
  <c r="CL260" i="1"/>
  <c r="CL254" i="1"/>
  <c r="CL256" i="1"/>
  <c r="CL258" i="1"/>
  <c r="BG263" i="1"/>
  <c r="BG260" i="1"/>
  <c r="BG256" i="1"/>
  <c r="BG265" i="1"/>
  <c r="BG261" i="1"/>
  <c r="BG249" i="1"/>
  <c r="BG258" i="1"/>
  <c r="BG254" i="1"/>
  <c r="BG252" i="1"/>
  <c r="CO262" i="1"/>
  <c r="CO258" i="1"/>
  <c r="CO254" i="1"/>
  <c r="CO250" i="1"/>
  <c r="CO263" i="1"/>
  <c r="CO259" i="1"/>
  <c r="CO255" i="1"/>
  <c r="CO264" i="1"/>
  <c r="CO260" i="1"/>
  <c r="CO256" i="1"/>
  <c r="CO252" i="1"/>
  <c r="CO265" i="1"/>
  <c r="CO261" i="1"/>
  <c r="CO257" i="1"/>
  <c r="CO253" i="1"/>
  <c r="CO251" i="1"/>
  <c r="CO249" i="1"/>
  <c r="BF258" i="1"/>
  <c r="BF254" i="1"/>
  <c r="BF252" i="1"/>
  <c r="BF263" i="1"/>
  <c r="BF260" i="1"/>
  <c r="BF256" i="1"/>
  <c r="BF265" i="1"/>
  <c r="BF261" i="1"/>
  <c r="BF249" i="1"/>
  <c r="CK261" i="1"/>
  <c r="CK257" i="1"/>
  <c r="CK253" i="1"/>
  <c r="CK251" i="1"/>
  <c r="CK249" i="1"/>
  <c r="CK262" i="1"/>
  <c r="CK258" i="1"/>
  <c r="CK254" i="1"/>
  <c r="CK250" i="1"/>
  <c r="CK263" i="1"/>
  <c r="CK259" i="1"/>
  <c r="CK255" i="1"/>
  <c r="CK264" i="1"/>
  <c r="CK260" i="1"/>
  <c r="CK256" i="1"/>
  <c r="CK252" i="1"/>
  <c r="CK265" i="1"/>
  <c r="BG274" i="1"/>
  <c r="BG270" i="1"/>
  <c r="BG267" i="1"/>
  <c r="BG272" i="1"/>
  <c r="BG268" i="1"/>
  <c r="CP273" i="1"/>
  <c r="CP269" i="1"/>
  <c r="CP274" i="1"/>
  <c r="CP270" i="1"/>
  <c r="CP268" i="1"/>
  <c r="CP266" i="1"/>
  <c r="CP275" i="1"/>
  <c r="CP271" i="1"/>
  <c r="CP267" i="1"/>
  <c r="CP272" i="1"/>
  <c r="BF272" i="1"/>
  <c r="BF268" i="1"/>
  <c r="BF274" i="1"/>
  <c r="BF270" i="1"/>
  <c r="BF267" i="1"/>
  <c r="BI274" i="1"/>
  <c r="BI270" i="1"/>
  <c r="BI266" i="1"/>
  <c r="BI275" i="1"/>
  <c r="BI271" i="1"/>
  <c r="BI269" i="1"/>
  <c r="BI267" i="1"/>
  <c r="BI272" i="1"/>
  <c r="BI268" i="1"/>
  <c r="BI273" i="1"/>
  <c r="CL273" i="1"/>
  <c r="CL270" i="1"/>
  <c r="CL268" i="1"/>
  <c r="CL274" i="1"/>
  <c r="CL272" i="1"/>
  <c r="CL267" i="1"/>
  <c r="CL269" i="1"/>
  <c r="CL271" i="1"/>
  <c r="CL275" i="1"/>
  <c r="CL266" i="1"/>
  <c r="BG276" i="1"/>
  <c r="BG273" i="1"/>
  <c r="BG266" i="1"/>
  <c r="BG275" i="1"/>
  <c r="BG271" i="1"/>
  <c r="BG269" i="1"/>
  <c r="CO272" i="1"/>
  <c r="CO273" i="1"/>
  <c r="CO269" i="1"/>
  <c r="CO274" i="1"/>
  <c r="CO270" i="1"/>
  <c r="CO268" i="1"/>
  <c r="CO266" i="1"/>
  <c r="CO275" i="1"/>
  <c r="CO271" i="1"/>
  <c r="CO267" i="1"/>
  <c r="BF276" i="1"/>
  <c r="BF273" i="1"/>
  <c r="BF266" i="1"/>
  <c r="BF275" i="1"/>
  <c r="BF271" i="1"/>
  <c r="BF269" i="1"/>
  <c r="CK271" i="1"/>
  <c r="CK267" i="1"/>
  <c r="CK272" i="1"/>
  <c r="CK273" i="1"/>
  <c r="CK269" i="1"/>
  <c r="CK274" i="1"/>
  <c r="CK270" i="1"/>
  <c r="CK268" i="1"/>
  <c r="CK266" i="1"/>
  <c r="CK275" i="1"/>
  <c r="BG278" i="1"/>
  <c r="BG277" i="1"/>
  <c r="BF278" i="1"/>
  <c r="BF277" i="1"/>
  <c r="BI278" i="1"/>
  <c r="BI277" i="1"/>
  <c r="BI276" i="1"/>
  <c r="CP278" i="1"/>
  <c r="CP277" i="1"/>
  <c r="CP276" i="1"/>
  <c r="CO277" i="1"/>
  <c r="CO276" i="1"/>
  <c r="CO278" i="1"/>
  <c r="CK277" i="1"/>
  <c r="CK276" i="1"/>
  <c r="CK278" i="1"/>
  <c r="CL276" i="1"/>
  <c r="CL277" i="1"/>
  <c r="CL278" i="1"/>
  <c r="BG282" i="1"/>
  <c r="BG280" i="1"/>
  <c r="CP279" i="1"/>
  <c r="CP280" i="1"/>
  <c r="BF282" i="1"/>
  <c r="BF280" i="1"/>
  <c r="BI280" i="1"/>
  <c r="BI279" i="1"/>
  <c r="BG281" i="1"/>
  <c r="BG279" i="1"/>
  <c r="CO279" i="1"/>
  <c r="CO280" i="1"/>
  <c r="BF281" i="1"/>
  <c r="BF279" i="1"/>
  <c r="CK279" i="1"/>
  <c r="CK280" i="1"/>
  <c r="CL279" i="1"/>
  <c r="CL280" i="1"/>
  <c r="CP281" i="1"/>
  <c r="CP282" i="1"/>
  <c r="BI281" i="1"/>
  <c r="BI282" i="1"/>
  <c r="CO281" i="1"/>
  <c r="CO282" i="1"/>
  <c r="CK281" i="1"/>
  <c r="CK282" i="1"/>
  <c r="CL282" i="1"/>
  <c r="CL281" i="1"/>
  <c r="BF284" i="1"/>
  <c r="BF285" i="1"/>
  <c r="BF289" i="1"/>
  <c r="BF287" i="1"/>
  <c r="BG285" i="1"/>
  <c r="BG289" i="1"/>
  <c r="BG287" i="1"/>
  <c r="BG284" i="1"/>
  <c r="BI289" i="1"/>
  <c r="BI288" i="1"/>
  <c r="BI290" i="1"/>
  <c r="BI287" i="1"/>
  <c r="BI283" i="1"/>
  <c r="BI286" i="1"/>
  <c r="BI284" i="1"/>
  <c r="BI285" i="1"/>
  <c r="CP288" i="1"/>
  <c r="CP287" i="1"/>
  <c r="CP289" i="1"/>
  <c r="CP286" i="1"/>
  <c r="CP290" i="1"/>
  <c r="CP285" i="1"/>
  <c r="CP283" i="1"/>
  <c r="CP284" i="1"/>
  <c r="BG288" i="1"/>
  <c r="BG290" i="1"/>
  <c r="BG283" i="1"/>
  <c r="BG286" i="1"/>
  <c r="CO288" i="1"/>
  <c r="CO287" i="1"/>
  <c r="CO289" i="1"/>
  <c r="CO286" i="1"/>
  <c r="CO290" i="1"/>
  <c r="CO285" i="1"/>
  <c r="CO283" i="1"/>
  <c r="CO284" i="1"/>
  <c r="BF288" i="1"/>
  <c r="BF290" i="1"/>
  <c r="BF283" i="1"/>
  <c r="BF286" i="1"/>
  <c r="CK283" i="1"/>
  <c r="CK284" i="1"/>
  <c r="CK288" i="1"/>
  <c r="CK287" i="1"/>
  <c r="CK289" i="1"/>
  <c r="CK286" i="1"/>
  <c r="CK290" i="1"/>
  <c r="CK285" i="1"/>
  <c r="CL285" i="1"/>
  <c r="CL284" i="1"/>
  <c r="CL286" i="1"/>
  <c r="CL283" i="1"/>
  <c r="CL287" i="1"/>
  <c r="CL290" i="1"/>
  <c r="CL288" i="1"/>
  <c r="CL289" i="1"/>
  <c r="BG295" i="1"/>
  <c r="BG292" i="1"/>
  <c r="BG293" i="1"/>
  <c r="CP297" i="1"/>
  <c r="CP294" i="1"/>
  <c r="CP295" i="1"/>
  <c r="CP293" i="1"/>
  <c r="CP291" i="1"/>
  <c r="CP296" i="1"/>
  <c r="CP292" i="1"/>
  <c r="BF293" i="1"/>
  <c r="BF295" i="1"/>
  <c r="BF292" i="1"/>
  <c r="BI297" i="1"/>
  <c r="BI295" i="1"/>
  <c r="BI291" i="1"/>
  <c r="BI296" i="1"/>
  <c r="BI294" i="1"/>
  <c r="BI292" i="1"/>
  <c r="BI293" i="1"/>
  <c r="BG297" i="1"/>
  <c r="BG291" i="1"/>
  <c r="BG296" i="1"/>
  <c r="BG294" i="1"/>
  <c r="CO297" i="1"/>
  <c r="CO294" i="1"/>
  <c r="CO295" i="1"/>
  <c r="CO293" i="1"/>
  <c r="CO291" i="1"/>
  <c r="CO296" i="1"/>
  <c r="CO292" i="1"/>
  <c r="BF297" i="1"/>
  <c r="BF291" i="1"/>
  <c r="BF296" i="1"/>
  <c r="BF294" i="1"/>
  <c r="CK297" i="1"/>
  <c r="CK292" i="1"/>
  <c r="CK294" i="1"/>
  <c r="CK295" i="1"/>
  <c r="CK293" i="1"/>
  <c r="CK291" i="1"/>
  <c r="CK296" i="1"/>
  <c r="CL297" i="1"/>
  <c r="CL293" i="1"/>
  <c r="CL292" i="1"/>
  <c r="CL294" i="1"/>
  <c r="CL296" i="1"/>
  <c r="CL291" i="1"/>
  <c r="CL295" i="1"/>
  <c r="BF317" i="1"/>
  <c r="BF306" i="1"/>
  <c r="BF300" i="1"/>
  <c r="BF308" i="1"/>
  <c r="BF313" i="1"/>
  <c r="BF311" i="1"/>
  <c r="BF302" i="1"/>
  <c r="BF315" i="1"/>
  <c r="BF304" i="1"/>
  <c r="BF299" i="1"/>
  <c r="BG317" i="1"/>
  <c r="BG306" i="1"/>
  <c r="BG300" i="1"/>
  <c r="BG308" i="1"/>
  <c r="BG313" i="1"/>
  <c r="BG311" i="1"/>
  <c r="BG302" i="1"/>
  <c r="BG315" i="1"/>
  <c r="BG304" i="1"/>
  <c r="BG299" i="1"/>
  <c r="BI308" i="1"/>
  <c r="BI314" i="1"/>
  <c r="BI309" i="1"/>
  <c r="BI313" i="1"/>
  <c r="BI311" i="1"/>
  <c r="BI310" i="1"/>
  <c r="BI302" i="1"/>
  <c r="BI315" i="1"/>
  <c r="BI312" i="1"/>
  <c r="BI305" i="1"/>
  <c r="BI304" i="1"/>
  <c r="BI303" i="1"/>
  <c r="BI301" i="1"/>
  <c r="BI299" i="1"/>
  <c r="BI298" i="1"/>
  <c r="BI307" i="1"/>
  <c r="BI306" i="1"/>
  <c r="BI300" i="1"/>
  <c r="CP307" i="1"/>
  <c r="CP313" i="1"/>
  <c r="CP308" i="1"/>
  <c r="CP312" i="1"/>
  <c r="CP310" i="1"/>
  <c r="CP301" i="1"/>
  <c r="CP314" i="1"/>
  <c r="CP311" i="1"/>
  <c r="CP309" i="1"/>
  <c r="CP315" i="1"/>
  <c r="CP304" i="1"/>
  <c r="CP303" i="1"/>
  <c r="CP302" i="1"/>
  <c r="CP300" i="1"/>
  <c r="CP298" i="1"/>
  <c r="CP306" i="1"/>
  <c r="CP305" i="1"/>
  <c r="CP299" i="1"/>
  <c r="BG316" i="1"/>
  <c r="BG307" i="1"/>
  <c r="BG314" i="1"/>
  <c r="BG309" i="1"/>
  <c r="BG310" i="1"/>
  <c r="BG312" i="1"/>
  <c r="BG305" i="1"/>
  <c r="BG303" i="1"/>
  <c r="BG301" i="1"/>
  <c r="BG298" i="1"/>
  <c r="CO307" i="1"/>
  <c r="CO313" i="1"/>
  <c r="CO308" i="1"/>
  <c r="CO312" i="1"/>
  <c r="CO310" i="1"/>
  <c r="CO301" i="1"/>
  <c r="CO314" i="1"/>
  <c r="CO311" i="1"/>
  <c r="CO309" i="1"/>
  <c r="CO315" i="1"/>
  <c r="CO304" i="1"/>
  <c r="CO303" i="1"/>
  <c r="CO302" i="1"/>
  <c r="CO300" i="1"/>
  <c r="CO298" i="1"/>
  <c r="CO306" i="1"/>
  <c r="CO305" i="1"/>
  <c r="CO299" i="1"/>
  <c r="BF316" i="1"/>
  <c r="BF307" i="1"/>
  <c r="BF314" i="1"/>
  <c r="BF309" i="1"/>
  <c r="BF310" i="1"/>
  <c r="BF312" i="1"/>
  <c r="BF305" i="1"/>
  <c r="BF303" i="1"/>
  <c r="BF301" i="1"/>
  <c r="BF298" i="1"/>
  <c r="CK303" i="1"/>
  <c r="CK298" i="1"/>
  <c r="CK306" i="1"/>
  <c r="CK305" i="1"/>
  <c r="CK299" i="1"/>
  <c r="CK307" i="1"/>
  <c r="CK313" i="1"/>
  <c r="CK308" i="1"/>
  <c r="CK312" i="1"/>
  <c r="CK310" i="1"/>
  <c r="CK301" i="1"/>
  <c r="CK314" i="1"/>
  <c r="CK309" i="1"/>
  <c r="CK315" i="1"/>
  <c r="CK311" i="1"/>
  <c r="CK304" i="1"/>
  <c r="CK302" i="1"/>
  <c r="CK300" i="1"/>
  <c r="CL311" i="1"/>
  <c r="CL303" i="1"/>
  <c r="CL308" i="1"/>
  <c r="CL304" i="1"/>
  <c r="CL309" i="1"/>
  <c r="CL300" i="1"/>
  <c r="CL305" i="1"/>
  <c r="CL314" i="1"/>
  <c r="CL306" i="1"/>
  <c r="CL307" i="1"/>
  <c r="CL312" i="1"/>
  <c r="CL315" i="1"/>
  <c r="CL298" i="1"/>
  <c r="CL302" i="1"/>
  <c r="CL313" i="1"/>
  <c r="CL299" i="1"/>
  <c r="CL310" i="1"/>
  <c r="CL301" i="1"/>
  <c r="CP316" i="1"/>
  <c r="CP317" i="1"/>
  <c r="BI316" i="1"/>
  <c r="BI317" i="1"/>
  <c r="CO316" i="1"/>
  <c r="CO317" i="1"/>
  <c r="CK316" i="1"/>
  <c r="CK317" i="1"/>
  <c r="CL316" i="1"/>
  <c r="CL317" i="1"/>
  <c r="BG320" i="1"/>
  <c r="BG324" i="1"/>
  <c r="BG322" i="1"/>
  <c r="BG326" i="1"/>
  <c r="BG319" i="1"/>
  <c r="BG328" i="1"/>
  <c r="CP324" i="1"/>
  <c r="CP321" i="1"/>
  <c r="CP325" i="1"/>
  <c r="CP318" i="1"/>
  <c r="CP326" i="1"/>
  <c r="CP328" i="1"/>
  <c r="CP327" i="1"/>
  <c r="CP320" i="1"/>
  <c r="CP322" i="1"/>
  <c r="CP319" i="1"/>
  <c r="CP323" i="1"/>
  <c r="BF320" i="1"/>
  <c r="BF324" i="1"/>
  <c r="BF322" i="1"/>
  <c r="BF326" i="1"/>
  <c r="BF319" i="1"/>
  <c r="BF328" i="1"/>
  <c r="BI325" i="1"/>
  <c r="BI322" i="1"/>
  <c r="BI318" i="1"/>
  <c r="BI326" i="1"/>
  <c r="BI319" i="1"/>
  <c r="BI327" i="1"/>
  <c r="BI321" i="1"/>
  <c r="BI328" i="1"/>
  <c r="BI323" i="1"/>
  <c r="BI320" i="1"/>
  <c r="BI324" i="1"/>
  <c r="BG323" i="1"/>
  <c r="BG325" i="1"/>
  <c r="BG318" i="1"/>
  <c r="BG327" i="1"/>
  <c r="BG321" i="1"/>
  <c r="CO323" i="1"/>
  <c r="CO324" i="1"/>
  <c r="CO321" i="1"/>
  <c r="CO325" i="1"/>
  <c r="CO318" i="1"/>
  <c r="CO326" i="1"/>
  <c r="CO328" i="1"/>
  <c r="CO327" i="1"/>
  <c r="CO320" i="1"/>
  <c r="CO322" i="1"/>
  <c r="CO319" i="1"/>
  <c r="BF323" i="1"/>
  <c r="BF325" i="1"/>
  <c r="BF318" i="1"/>
  <c r="BF327" i="1"/>
  <c r="BF321" i="1"/>
  <c r="CK322" i="1"/>
  <c r="CK319" i="1"/>
  <c r="CK323" i="1"/>
  <c r="CK321" i="1"/>
  <c r="CK325" i="1"/>
  <c r="CK324" i="1"/>
  <c r="CK318" i="1"/>
  <c r="CK326" i="1"/>
  <c r="CK328" i="1"/>
  <c r="CK327" i="1"/>
  <c r="CK320" i="1"/>
  <c r="CL324" i="1"/>
  <c r="CL318" i="1"/>
  <c r="CL322" i="1"/>
  <c r="CL325" i="1"/>
  <c r="CL328" i="1"/>
  <c r="CL320" i="1"/>
  <c r="CL321" i="1"/>
  <c r="CL323" i="1"/>
  <c r="CL327" i="1"/>
  <c r="CL319" i="1"/>
  <c r="CL326" i="1"/>
  <c r="BG333" i="1"/>
  <c r="BG331" i="1"/>
  <c r="BG330" i="1"/>
  <c r="CP331" i="1"/>
  <c r="CP329" i="1"/>
  <c r="CP330" i="1"/>
  <c r="BF333" i="1"/>
  <c r="BF330" i="1"/>
  <c r="BF331" i="1"/>
  <c r="BI329" i="1"/>
  <c r="BI330" i="1"/>
  <c r="BI331" i="1"/>
  <c r="BG332" i="1"/>
  <c r="BG329" i="1"/>
  <c r="CO330" i="1"/>
  <c r="CO331" i="1"/>
  <c r="CO329" i="1"/>
  <c r="BF332" i="1"/>
  <c r="BF329" i="1"/>
  <c r="CK329" i="1"/>
  <c r="CK330" i="1"/>
  <c r="CK331" i="1"/>
  <c r="CL331" i="1"/>
  <c r="CL330" i="1"/>
  <c r="CL329" i="1"/>
  <c r="CP332" i="1"/>
  <c r="CP333" i="1"/>
  <c r="BI332" i="1"/>
  <c r="BI333" i="1"/>
  <c r="CO332" i="1"/>
  <c r="CO333" i="1"/>
  <c r="CK332" i="1"/>
  <c r="CK333" i="1"/>
  <c r="CL333" i="1"/>
  <c r="CL332" i="1"/>
  <c r="BF339" i="1"/>
  <c r="BF335" i="1"/>
  <c r="BF336" i="1"/>
  <c r="BG339" i="1"/>
  <c r="BG335" i="1"/>
  <c r="BG336" i="1"/>
  <c r="BI336" i="1"/>
  <c r="BI334" i="1"/>
  <c r="BI337" i="1"/>
  <c r="BI335" i="1"/>
  <c r="CP335" i="1"/>
  <c r="CP337" i="1"/>
  <c r="CP336" i="1"/>
  <c r="CP334" i="1"/>
  <c r="BG338" i="1"/>
  <c r="BG337" i="1"/>
  <c r="BG334" i="1"/>
  <c r="CO335" i="1"/>
  <c r="CO337" i="1"/>
  <c r="CO336" i="1"/>
  <c r="CO334" i="1"/>
  <c r="BF338" i="1"/>
  <c r="BF334" i="1"/>
  <c r="BF337" i="1"/>
  <c r="CK336" i="1"/>
  <c r="CK334" i="1"/>
  <c r="CK335" i="1"/>
  <c r="CK337" i="1"/>
  <c r="CL336" i="1"/>
  <c r="CL335" i="1"/>
  <c r="CL337" i="1"/>
  <c r="CL334" i="1"/>
  <c r="CP339" i="1"/>
  <c r="CP338" i="1"/>
  <c r="BI338" i="1"/>
  <c r="BI339" i="1"/>
  <c r="CL338" i="1"/>
  <c r="CL339" i="1"/>
  <c r="CK339" i="1"/>
  <c r="CK338" i="1"/>
  <c r="CO339" i="1"/>
  <c r="CO338" i="1"/>
  <c r="BG348" i="1"/>
  <c r="BG341" i="1"/>
  <c r="BG346" i="1"/>
  <c r="BG344" i="1"/>
  <c r="BG342" i="1"/>
  <c r="CP345" i="1"/>
  <c r="CP346" i="1"/>
  <c r="CP343" i="1"/>
  <c r="CP342" i="1"/>
  <c r="CP341" i="1"/>
  <c r="CP344" i="1"/>
  <c r="CP340" i="1"/>
  <c r="BF348" i="1"/>
  <c r="BF341" i="1"/>
  <c r="BF346" i="1"/>
  <c r="BF344" i="1"/>
  <c r="BF342" i="1"/>
  <c r="BI341" i="1"/>
  <c r="BI346" i="1"/>
  <c r="BI344" i="1"/>
  <c r="BI343" i="1"/>
  <c r="BI342" i="1"/>
  <c r="BI340" i="1"/>
  <c r="BI345" i="1"/>
  <c r="BG345" i="1"/>
  <c r="BG343" i="1"/>
  <c r="BG340" i="1"/>
  <c r="CO340" i="1"/>
  <c r="CO345" i="1"/>
  <c r="CO346" i="1"/>
  <c r="CO343" i="1"/>
  <c r="CO342" i="1"/>
  <c r="CO341" i="1"/>
  <c r="CO344" i="1"/>
  <c r="BF345" i="1"/>
  <c r="BF343" i="1"/>
  <c r="BF340" i="1"/>
  <c r="CK344" i="1"/>
  <c r="CK340" i="1"/>
  <c r="CK345" i="1"/>
  <c r="CK346" i="1"/>
  <c r="CK343" i="1"/>
  <c r="CK342" i="1"/>
  <c r="CK341" i="1"/>
  <c r="CL341" i="1"/>
  <c r="CL345" i="1"/>
  <c r="CL340" i="1"/>
  <c r="CL342" i="1"/>
  <c r="CL343" i="1"/>
  <c r="CL344" i="1"/>
  <c r="CL346" i="1"/>
  <c r="BG349" i="1"/>
  <c r="BG347" i="1"/>
  <c r="CO348" i="1"/>
  <c r="CO347" i="1"/>
  <c r="BF349" i="1"/>
  <c r="BF347" i="1"/>
  <c r="CK347" i="1"/>
  <c r="CK348" i="1"/>
  <c r="CL348" i="1"/>
  <c r="CL347" i="1"/>
  <c r="CP348" i="1"/>
  <c r="CP347" i="1"/>
  <c r="BI347" i="1"/>
  <c r="BI348" i="1"/>
  <c r="BF352" i="1"/>
  <c r="BF350" i="1"/>
  <c r="BI350" i="1"/>
  <c r="BI349" i="1"/>
  <c r="BG352" i="1"/>
  <c r="BG350" i="1"/>
  <c r="CP350" i="1"/>
  <c r="CP349" i="1"/>
  <c r="CO349" i="1"/>
  <c r="CO350" i="1"/>
  <c r="CK349" i="1"/>
  <c r="CK350" i="1"/>
  <c r="CL350" i="1"/>
  <c r="CL349" i="1"/>
  <c r="BI353" i="1"/>
  <c r="BI351" i="1"/>
  <c r="BI352" i="1"/>
  <c r="BG353" i="1"/>
  <c r="BG351" i="1"/>
  <c r="CO353" i="1"/>
  <c r="CO351" i="1"/>
  <c r="CO352" i="1"/>
  <c r="BF353" i="1"/>
  <c r="BF351" i="1"/>
  <c r="CK353" i="1"/>
  <c r="CK351" i="1"/>
  <c r="CK352" i="1"/>
  <c r="CL353" i="1"/>
  <c r="CL352" i="1"/>
  <c r="CL351" i="1"/>
  <c r="CP353" i="1"/>
  <c r="CP351" i="1"/>
  <c r="CP352" i="1"/>
  <c r="BF355" i="1"/>
  <c r="BF360" i="1"/>
  <c r="BF356" i="1"/>
  <c r="BF358" i="1"/>
  <c r="BI358" i="1"/>
  <c r="BI354" i="1"/>
  <c r="BI359" i="1"/>
  <c r="BI357" i="1"/>
  <c r="BI355" i="1"/>
  <c r="BI360" i="1"/>
  <c r="BI356" i="1"/>
  <c r="BG354" i="1"/>
  <c r="BG359" i="1"/>
  <c r="BG357" i="1"/>
  <c r="CO359" i="1"/>
  <c r="CO355" i="1"/>
  <c r="CO360" i="1"/>
  <c r="CO357" i="1"/>
  <c r="CO358" i="1"/>
  <c r="CO356" i="1"/>
  <c r="CO354" i="1"/>
  <c r="BF359" i="1"/>
  <c r="BF357" i="1"/>
  <c r="BF354" i="1"/>
  <c r="CK358" i="1"/>
  <c r="CK356" i="1"/>
  <c r="CK354" i="1"/>
  <c r="CK359" i="1"/>
  <c r="CK355" i="1"/>
  <c r="CK360" i="1"/>
  <c r="CK357" i="1"/>
  <c r="CL356" i="1"/>
  <c r="CL360" i="1"/>
  <c r="CL355" i="1"/>
  <c r="CL357" i="1"/>
  <c r="CL359" i="1"/>
  <c r="CL354" i="1"/>
  <c r="CL358" i="1"/>
  <c r="BG360" i="1"/>
  <c r="BG356" i="1"/>
  <c r="BG358" i="1"/>
  <c r="BG355" i="1"/>
  <c r="CP360" i="1"/>
  <c r="CP357" i="1"/>
  <c r="CP358" i="1"/>
  <c r="CP356" i="1"/>
  <c r="CP354" i="1"/>
  <c r="CP359" i="1"/>
  <c r="CP355"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L16" i="1" l="1"/>
  <c r="BN16" i="1"/>
  <c r="BM16" i="1"/>
  <c r="BK16" i="1"/>
  <c r="BN17" i="1"/>
  <c r="BL17" i="1"/>
  <c r="BM17" i="1"/>
  <c r="BK17" i="1"/>
  <c r="BN20" i="1"/>
  <c r="BN21" i="1"/>
  <c r="BL21" i="1"/>
  <c r="BM21" i="1"/>
  <c r="BK21" i="1"/>
  <c r="BN19" i="1"/>
  <c r="BK19" i="1"/>
  <c r="BL19" i="1"/>
  <c r="BM19" i="1"/>
  <c r="BN22" i="1"/>
  <c r="BM22" i="1"/>
  <c r="BL22" i="1"/>
  <c r="BK22" i="1"/>
  <c r="BN26" i="1"/>
  <c r="BM26" i="1"/>
  <c r="BL26" i="1"/>
  <c r="BK26" i="1"/>
  <c r="BN24" i="1"/>
  <c r="BM24" i="1"/>
  <c r="BL24" i="1"/>
  <c r="BK24" i="1"/>
  <c r="BK23" i="1"/>
  <c r="BN23" i="1"/>
  <c r="BM23" i="1"/>
  <c r="BL23" i="1"/>
  <c r="BK25" i="1"/>
  <c r="BN25" i="1"/>
  <c r="BM25" i="1"/>
  <c r="BL25" i="1"/>
  <c r="BN27" i="1"/>
  <c r="BL27" i="1"/>
  <c r="BK27" i="1"/>
  <c r="BM27" i="1"/>
  <c r="AV3544" i="31"/>
  <c r="AU3544" i="31"/>
  <c r="AT3544" i="31" s="1"/>
  <c r="B3546" i="31"/>
  <c r="AS3545" i="31"/>
  <c r="AM3545" i="31"/>
  <c r="AL3545" i="31"/>
  <c r="T3545" i="31" a="1"/>
  <c r="BM34" i="1"/>
  <c r="D6" i="21"/>
  <c r="BN38" i="1"/>
  <c r="BM38" i="1"/>
  <c r="BL38" i="1"/>
  <c r="BN29" i="1"/>
  <c r="BM29" i="1"/>
  <c r="BK29" i="1"/>
  <c r="BL29" i="1"/>
  <c r="BN34" i="1"/>
  <c r="BL34" i="1"/>
  <c r="BK34" i="1"/>
  <c r="BL28" i="1"/>
  <c r="BK28" i="1"/>
  <c r="BM28" i="1"/>
  <c r="BL30" i="1"/>
  <c r="BM30" i="1"/>
  <c r="BK30" i="1"/>
  <c r="BN30" i="1"/>
  <c r="BK35" i="1"/>
  <c r="BL35" i="1"/>
  <c r="BM35" i="1"/>
  <c r="BN35" i="1"/>
  <c r="BN36" i="1"/>
  <c r="BM36" i="1"/>
  <c r="BK36" i="1"/>
  <c r="BL36" i="1"/>
  <c r="BM31" i="1"/>
  <c r="BN31" i="1"/>
  <c r="BK31" i="1"/>
  <c r="BL31" i="1"/>
  <c r="BN28" i="1"/>
  <c r="BN33" i="1"/>
  <c r="BM33" i="1"/>
  <c r="BK33" i="1"/>
  <c r="BL33" i="1"/>
  <c r="BN32" i="1"/>
  <c r="BM32" i="1"/>
  <c r="BK32" i="1"/>
  <c r="BL32" i="1"/>
  <c r="BK38" i="1"/>
  <c r="BL37" i="1"/>
  <c r="BM37" i="1"/>
  <c r="BN37" i="1"/>
  <c r="BK37" i="1"/>
  <c r="F6" i="21"/>
  <c r="H6" i="21"/>
  <c r="I6" i="21"/>
  <c r="CM11" i="10" s="1"/>
  <c r="BN39" i="1"/>
  <c r="BN43" i="1"/>
  <c r="BM43" i="1"/>
  <c r="BK43" i="1"/>
  <c r="BL43" i="1"/>
  <c r="BN40" i="1"/>
  <c r="BM40" i="1"/>
  <c r="BL40" i="1"/>
  <c r="BK40" i="1"/>
  <c r="BM45" i="1"/>
  <c r="BN45" i="1"/>
  <c r="BL45" i="1"/>
  <c r="BK45" i="1"/>
  <c r="BM47" i="1"/>
  <c r="BN47" i="1"/>
  <c r="BL47" i="1"/>
  <c r="BK47" i="1"/>
  <c r="BL41" i="1"/>
  <c r="BM41" i="1"/>
  <c r="BK41" i="1"/>
  <c r="BN48" i="1"/>
  <c r="BK48" i="1"/>
  <c r="BM48" i="1"/>
  <c r="BL48" i="1"/>
  <c r="BN46" i="1"/>
  <c r="BM46" i="1"/>
  <c r="BL46" i="1"/>
  <c r="BK46" i="1"/>
  <c r="BN41" i="1"/>
  <c r="BN49" i="1"/>
  <c r="BL49" i="1"/>
  <c r="BM49" i="1"/>
  <c r="BK49" i="1"/>
  <c r="BN44" i="1"/>
  <c r="BM44" i="1"/>
  <c r="BK44" i="1"/>
  <c r="BL44" i="1"/>
  <c r="BL39" i="1"/>
  <c r="BM39" i="1"/>
  <c r="BK39" i="1"/>
  <c r="BN42" i="1"/>
  <c r="BL42" i="1"/>
  <c r="BK42" i="1"/>
  <c r="BM42" i="1"/>
  <c r="BN52" i="1"/>
  <c r="BM51" i="1"/>
  <c r="BL51" i="1"/>
  <c r="BK51" i="1"/>
  <c r="BN51" i="1"/>
  <c r="BN56" i="1"/>
  <c r="BK52" i="1"/>
  <c r="BL52" i="1"/>
  <c r="BM52" i="1"/>
  <c r="BN50" i="1"/>
  <c r="BL50" i="1"/>
  <c r="BK50" i="1"/>
  <c r="BM50" i="1"/>
  <c r="BN55" i="1"/>
  <c r="BK56" i="1"/>
  <c r="BM56" i="1"/>
  <c r="BM55" i="1"/>
  <c r="BL56" i="1"/>
  <c r="BK54" i="1"/>
  <c r="BL54" i="1"/>
  <c r="BM54" i="1"/>
  <c r="BN54" i="1"/>
  <c r="BN53" i="1"/>
  <c r="BM53" i="1"/>
  <c r="BL53" i="1"/>
  <c r="BK53" i="1"/>
  <c r="BK55" i="1"/>
  <c r="BL55" i="1"/>
  <c r="BK58" i="1"/>
  <c r="BN57" i="1"/>
  <c r="BM57" i="1"/>
  <c r="BL57" i="1"/>
  <c r="BK57" i="1"/>
  <c r="BK67" i="1"/>
  <c r="BM67" i="1"/>
  <c r="BL67" i="1"/>
  <c r="BN59" i="1"/>
  <c r="BM59" i="1"/>
  <c r="BL59" i="1"/>
  <c r="BK59" i="1"/>
  <c r="BM60" i="1"/>
  <c r="BN60" i="1"/>
  <c r="BL60" i="1"/>
  <c r="BK60" i="1"/>
  <c r="BN67" i="1"/>
  <c r="BK62" i="1"/>
  <c r="BN62" i="1"/>
  <c r="BM62" i="1"/>
  <c r="BL62" i="1"/>
  <c r="BN66" i="1"/>
  <c r="BK66" i="1"/>
  <c r="BL66" i="1"/>
  <c r="BM66" i="1"/>
  <c r="BM64" i="1"/>
  <c r="BL64" i="1"/>
  <c r="BK64" i="1"/>
  <c r="BN65" i="1"/>
  <c r="BL65" i="1"/>
  <c r="BM65" i="1"/>
  <c r="BK65" i="1"/>
  <c r="BL61" i="1"/>
  <c r="BN61" i="1"/>
  <c r="BM61" i="1"/>
  <c r="BK61" i="1"/>
  <c r="BL58" i="1"/>
  <c r="BN58" i="1"/>
  <c r="BM58" i="1"/>
  <c r="BN64" i="1"/>
  <c r="BN63" i="1"/>
  <c r="BM63" i="1"/>
  <c r="BL63" i="1"/>
  <c r="BK63" i="1"/>
  <c r="BN72" i="1"/>
  <c r="BL72" i="1"/>
  <c r="BK72" i="1"/>
  <c r="BM72" i="1"/>
  <c r="BK71" i="1"/>
  <c r="BL71" i="1"/>
  <c r="BM71" i="1"/>
  <c r="BN71" i="1"/>
  <c r="BL91" i="1"/>
  <c r="BK91" i="1"/>
  <c r="BM91" i="1"/>
  <c r="BN91" i="1"/>
  <c r="BN90" i="1"/>
  <c r="BM90" i="1"/>
  <c r="BK90" i="1"/>
  <c r="BL90" i="1"/>
  <c r="BK78" i="1"/>
  <c r="BN78" i="1"/>
  <c r="BM78" i="1"/>
  <c r="BL78" i="1"/>
  <c r="BM88" i="1"/>
  <c r="BL88" i="1"/>
  <c r="BK88" i="1"/>
  <c r="BN88" i="1"/>
  <c r="BM94" i="1"/>
  <c r="BK94" i="1"/>
  <c r="BL94" i="1"/>
  <c r="BN94" i="1"/>
  <c r="BL98" i="1"/>
  <c r="BM98" i="1"/>
  <c r="BK98" i="1"/>
  <c r="BN98" i="1"/>
  <c r="BN85" i="1"/>
  <c r="BL85" i="1"/>
  <c r="BK85" i="1"/>
  <c r="BM85" i="1"/>
  <c r="BN81" i="1"/>
  <c r="BM81" i="1"/>
  <c r="BK81" i="1"/>
  <c r="BL81" i="1"/>
  <c r="BN101" i="1"/>
  <c r="BK101" i="1"/>
  <c r="BL101" i="1"/>
  <c r="BM101" i="1"/>
  <c r="BL68" i="1"/>
  <c r="BM68" i="1"/>
  <c r="BK68" i="1"/>
  <c r="BN68" i="1"/>
  <c r="BN69" i="1"/>
  <c r="BK69" i="1"/>
  <c r="BL69" i="1"/>
  <c r="BM69" i="1"/>
  <c r="BL95" i="1"/>
  <c r="BN95" i="1"/>
  <c r="BK95" i="1"/>
  <c r="BM95" i="1"/>
  <c r="BL97" i="1"/>
  <c r="BK97" i="1"/>
  <c r="BM97" i="1"/>
  <c r="BN97" i="1"/>
  <c r="BM80" i="1"/>
  <c r="BK80" i="1"/>
  <c r="BN80" i="1"/>
  <c r="BL80" i="1"/>
  <c r="BK76" i="1"/>
  <c r="BM76" i="1"/>
  <c r="BL76" i="1"/>
  <c r="BN76" i="1"/>
  <c r="BK74" i="1"/>
  <c r="BL74" i="1"/>
  <c r="BN74" i="1"/>
  <c r="BM74" i="1"/>
  <c r="BN83" i="1"/>
  <c r="BK83" i="1"/>
  <c r="BM83" i="1"/>
  <c r="BL83" i="1"/>
  <c r="BM86" i="1"/>
  <c r="BL86" i="1"/>
  <c r="BN86" i="1"/>
  <c r="BK86" i="1"/>
  <c r="BL100" i="1"/>
  <c r="BK100" i="1"/>
  <c r="BM100" i="1"/>
  <c r="BN100" i="1"/>
  <c r="BM99" i="1"/>
  <c r="BL99" i="1"/>
  <c r="BN99" i="1"/>
  <c r="BK99" i="1"/>
  <c r="BM77" i="1"/>
  <c r="BL77" i="1"/>
  <c r="BN77" i="1"/>
  <c r="BK77" i="1"/>
  <c r="BM93" i="1"/>
  <c r="BL93" i="1"/>
  <c r="BK93" i="1"/>
  <c r="BN93" i="1"/>
  <c r="BN70" i="1"/>
  <c r="BL70" i="1"/>
  <c r="BM70" i="1"/>
  <c r="BK70" i="1"/>
  <c r="BL89" i="1"/>
  <c r="BN89" i="1"/>
  <c r="BK89" i="1"/>
  <c r="BM89" i="1"/>
  <c r="BN84" i="1"/>
  <c r="BK84" i="1"/>
  <c r="BM84" i="1"/>
  <c r="BL84" i="1"/>
  <c r="BN82" i="1"/>
  <c r="BK82" i="1"/>
  <c r="BM82" i="1"/>
  <c r="BL82" i="1"/>
  <c r="BK79" i="1"/>
  <c r="BM79" i="1"/>
  <c r="BL79" i="1"/>
  <c r="BN79" i="1"/>
  <c r="BM102" i="1"/>
  <c r="BN102" i="1"/>
  <c r="BL102" i="1"/>
  <c r="BK102" i="1"/>
  <c r="BL96" i="1"/>
  <c r="BK96" i="1"/>
  <c r="BM96" i="1"/>
  <c r="BN96" i="1"/>
  <c r="BM73" i="1"/>
  <c r="BN73" i="1"/>
  <c r="BL73" i="1"/>
  <c r="BK73" i="1"/>
  <c r="BM75" i="1"/>
  <c r="BL75" i="1"/>
  <c r="BK75" i="1"/>
  <c r="BN75" i="1"/>
  <c r="BM87" i="1"/>
  <c r="BL87" i="1"/>
  <c r="BN87" i="1"/>
  <c r="BK87" i="1"/>
  <c r="BN92" i="1"/>
  <c r="BL92" i="1"/>
  <c r="BK92" i="1"/>
  <c r="BM92" i="1"/>
  <c r="BL157" i="1"/>
  <c r="BN157" i="1"/>
  <c r="BM157" i="1"/>
  <c r="BK157" i="1"/>
  <c r="BN116" i="1"/>
  <c r="BK116" i="1"/>
  <c r="BM116" i="1"/>
  <c r="BL116" i="1"/>
  <c r="BK115" i="1"/>
  <c r="BL115" i="1"/>
  <c r="BM115" i="1"/>
  <c r="BN115" i="1"/>
  <c r="BM158" i="1"/>
  <c r="BL158" i="1"/>
  <c r="BN158" i="1"/>
  <c r="BK158" i="1"/>
  <c r="BN138" i="1"/>
  <c r="BL138" i="1"/>
  <c r="BM138" i="1"/>
  <c r="BK138" i="1"/>
  <c r="BL127" i="1"/>
  <c r="BM127" i="1"/>
  <c r="BK127" i="1"/>
  <c r="BN127" i="1"/>
  <c r="BL105" i="1"/>
  <c r="BK105" i="1"/>
  <c r="BM105" i="1"/>
  <c r="BN105" i="1"/>
  <c r="BK113" i="1"/>
  <c r="BN113" i="1"/>
  <c r="BM113" i="1"/>
  <c r="BL113" i="1"/>
  <c r="BN122" i="1"/>
  <c r="BK122" i="1"/>
  <c r="BL122" i="1"/>
  <c r="BM122" i="1"/>
  <c r="BM161" i="1"/>
  <c r="BL161" i="1"/>
  <c r="BN161" i="1"/>
  <c r="BK161" i="1"/>
  <c r="BN124" i="1"/>
  <c r="BM124" i="1"/>
  <c r="BL124" i="1"/>
  <c r="BK124" i="1"/>
  <c r="BM118" i="1"/>
  <c r="BN118" i="1"/>
  <c r="BK118" i="1"/>
  <c r="BL118" i="1"/>
  <c r="BM107" i="1"/>
  <c r="BN107" i="1"/>
  <c r="BK107" i="1"/>
  <c r="BL107" i="1"/>
  <c r="BL112" i="1"/>
  <c r="BK112" i="1"/>
  <c r="BM112" i="1"/>
  <c r="BN112" i="1"/>
  <c r="BM134" i="1"/>
  <c r="BN134" i="1"/>
  <c r="BL134" i="1"/>
  <c r="BK134" i="1"/>
  <c r="BM135" i="1"/>
  <c r="BN135" i="1"/>
  <c r="BL135" i="1"/>
  <c r="BK135" i="1"/>
  <c r="BN145" i="1"/>
  <c r="BM145" i="1"/>
  <c r="BK145" i="1"/>
  <c r="BL145" i="1"/>
  <c r="BM147" i="1"/>
  <c r="BL147" i="1"/>
  <c r="BN147" i="1"/>
  <c r="BK147" i="1"/>
  <c r="BL125" i="1"/>
  <c r="BK125" i="1"/>
  <c r="BM125" i="1"/>
  <c r="BN125" i="1"/>
  <c r="BM110" i="1"/>
  <c r="BL110" i="1"/>
  <c r="BK110" i="1"/>
  <c r="BN110" i="1"/>
  <c r="BM120" i="1"/>
  <c r="BN120" i="1"/>
  <c r="BK120" i="1"/>
  <c r="BL120" i="1"/>
  <c r="BL142" i="1"/>
  <c r="BK142" i="1"/>
  <c r="BM142" i="1"/>
  <c r="BN142" i="1"/>
  <c r="BM160" i="1"/>
  <c r="BN160" i="1"/>
  <c r="BL160" i="1"/>
  <c r="BK160" i="1"/>
  <c r="BN141" i="1"/>
  <c r="BM141" i="1"/>
  <c r="BL141" i="1"/>
  <c r="BK141" i="1"/>
  <c r="BL148" i="1"/>
  <c r="BK148" i="1"/>
  <c r="BN148" i="1"/>
  <c r="BM148" i="1"/>
  <c r="BL156" i="1"/>
  <c r="BK156" i="1"/>
  <c r="BN156" i="1"/>
  <c r="BM156" i="1"/>
  <c r="BL132" i="1"/>
  <c r="BM132" i="1"/>
  <c r="BN132" i="1"/>
  <c r="BK132" i="1"/>
  <c r="BM103" i="1"/>
  <c r="BN103" i="1"/>
  <c r="BL103" i="1"/>
  <c r="BK103" i="1"/>
  <c r="BM149" i="1"/>
  <c r="BN149" i="1"/>
  <c r="BL149" i="1"/>
  <c r="BK149" i="1"/>
  <c r="BL139" i="1"/>
  <c r="BN139" i="1"/>
  <c r="BM139" i="1"/>
  <c r="BK139" i="1"/>
  <c r="BL150" i="1"/>
  <c r="BM150" i="1"/>
  <c r="BN150" i="1"/>
  <c r="BK150" i="1"/>
  <c r="BN129" i="1"/>
  <c r="BL129" i="1"/>
  <c r="BK129" i="1"/>
  <c r="BM129" i="1"/>
  <c r="BN106" i="1"/>
  <c r="BL106" i="1"/>
  <c r="BM106" i="1"/>
  <c r="BK106" i="1"/>
  <c r="BM117" i="1"/>
  <c r="BL117" i="1"/>
  <c r="BK117" i="1"/>
  <c r="BN117" i="1"/>
  <c r="BL151" i="1"/>
  <c r="BN151" i="1"/>
  <c r="BK151" i="1"/>
  <c r="BM151" i="1"/>
  <c r="BM131" i="1"/>
  <c r="BL131" i="1"/>
  <c r="BN131" i="1"/>
  <c r="BK131" i="1"/>
  <c r="BN104" i="1"/>
  <c r="BL104" i="1"/>
  <c r="BK104" i="1"/>
  <c r="BM104" i="1"/>
  <c r="BN133" i="1"/>
  <c r="BL133" i="1"/>
  <c r="BK133" i="1"/>
  <c r="BM133" i="1"/>
  <c r="BN130" i="1"/>
  <c r="BM130" i="1"/>
  <c r="BL130" i="1"/>
  <c r="BK130" i="1"/>
  <c r="BL109" i="1"/>
  <c r="BK109" i="1"/>
  <c r="BM109" i="1"/>
  <c r="BN109" i="1"/>
  <c r="BK126" i="1"/>
  <c r="BN126" i="1"/>
  <c r="BM126" i="1"/>
  <c r="BL126" i="1"/>
  <c r="BM108" i="1"/>
  <c r="BN108" i="1"/>
  <c r="BK108" i="1"/>
  <c r="BL108" i="1"/>
  <c r="BN143" i="1"/>
  <c r="BL143" i="1"/>
  <c r="BM143" i="1"/>
  <c r="BK143" i="1"/>
  <c r="BM136" i="1"/>
  <c r="BL136" i="1"/>
  <c r="BK136" i="1"/>
  <c r="BN136" i="1"/>
  <c r="BM140" i="1"/>
  <c r="BL140" i="1"/>
  <c r="BN140" i="1"/>
  <c r="BK140" i="1"/>
  <c r="BM123" i="1"/>
  <c r="BN123" i="1"/>
  <c r="BL123" i="1"/>
  <c r="BK123" i="1"/>
  <c r="BK111" i="1"/>
  <c r="BN111" i="1"/>
  <c r="BL111" i="1"/>
  <c r="BM111" i="1"/>
  <c r="BN114" i="1"/>
  <c r="BM114" i="1"/>
  <c r="BL114" i="1"/>
  <c r="BK114" i="1"/>
  <c r="BM154" i="1"/>
  <c r="BL154" i="1"/>
  <c r="BK154" i="1"/>
  <c r="BN154" i="1"/>
  <c r="BM144" i="1"/>
  <c r="BN144" i="1"/>
  <c r="BL144" i="1"/>
  <c r="BK144" i="1"/>
  <c r="BL153" i="1"/>
  <c r="BM153" i="1"/>
  <c r="BK153" i="1"/>
  <c r="BN153" i="1"/>
  <c r="BM162" i="1"/>
  <c r="BL162" i="1"/>
  <c r="BN162" i="1"/>
  <c r="BK162" i="1"/>
  <c r="BL128" i="1"/>
  <c r="BN128" i="1"/>
  <c r="BK128" i="1"/>
  <c r="BM128" i="1"/>
  <c r="BM146" i="1"/>
  <c r="BL146" i="1"/>
  <c r="BN146" i="1"/>
  <c r="BK146" i="1"/>
  <c r="BN137" i="1"/>
  <c r="BL137" i="1"/>
  <c r="BM137" i="1"/>
  <c r="BK137" i="1"/>
  <c r="BK159" i="1"/>
  <c r="BL159" i="1"/>
  <c r="BM159" i="1"/>
  <c r="BN159" i="1"/>
  <c r="BL121" i="1"/>
  <c r="BM121" i="1"/>
  <c r="BK121" i="1"/>
  <c r="BN121" i="1"/>
  <c r="BL119" i="1"/>
  <c r="BM119" i="1"/>
  <c r="BK119" i="1"/>
  <c r="BN119" i="1"/>
  <c r="BM152" i="1"/>
  <c r="BL152" i="1"/>
  <c r="BN152" i="1"/>
  <c r="BK152" i="1"/>
  <c r="BL155" i="1"/>
  <c r="BM155" i="1"/>
  <c r="BK155" i="1"/>
  <c r="BN155" i="1"/>
  <c r="C31" i="34"/>
  <c r="C44" i="34"/>
  <c r="C10" i="34"/>
  <c r="C17" i="34"/>
  <c r="BK169" i="1"/>
  <c r="BN164" i="1"/>
  <c r="BK164" i="1"/>
  <c r="BM164" i="1"/>
  <c r="BL164" i="1"/>
  <c r="BM165" i="1"/>
  <c r="BN165" i="1"/>
  <c r="BL165" i="1"/>
  <c r="BK165" i="1"/>
  <c r="BN169" i="1"/>
  <c r="BL169" i="1"/>
  <c r="BM169" i="1"/>
  <c r="BN163" i="1"/>
  <c r="BM163" i="1"/>
  <c r="BK163" i="1"/>
  <c r="BL163" i="1"/>
  <c r="BN170" i="1"/>
  <c r="BL170" i="1"/>
  <c r="BK170" i="1"/>
  <c r="BM170" i="1"/>
  <c r="BN167" i="1"/>
  <c r="BM167" i="1"/>
  <c r="BL167" i="1"/>
  <c r="BK167" i="1"/>
  <c r="BN168" i="1"/>
  <c r="BM168" i="1"/>
  <c r="BL168" i="1"/>
  <c r="BK168" i="1"/>
  <c r="BN195" i="1"/>
  <c r="BN166" i="1"/>
  <c r="BM166" i="1"/>
  <c r="BL166" i="1"/>
  <c r="BK166" i="1"/>
  <c r="BL174" i="1"/>
  <c r="BK174" i="1"/>
  <c r="BM174" i="1"/>
  <c r="BN174" i="1"/>
  <c r="BN202" i="1"/>
  <c r="BM185" i="1"/>
  <c r="BN180" i="1"/>
  <c r="BM180" i="1"/>
  <c r="BK180" i="1"/>
  <c r="BN171" i="1"/>
  <c r="BL171" i="1"/>
  <c r="BM171" i="1"/>
  <c r="BK171" i="1"/>
  <c r="BL173" i="1"/>
  <c r="BM173" i="1"/>
  <c r="BK173" i="1"/>
  <c r="BN173" i="1"/>
  <c r="BN178" i="1"/>
  <c r="BL178" i="1"/>
  <c r="BM178" i="1"/>
  <c r="BK178" i="1"/>
  <c r="BL180" i="1"/>
  <c r="BK181" i="1"/>
  <c r="BM181" i="1"/>
  <c r="BN181" i="1"/>
  <c r="BL181" i="1"/>
  <c r="BN179" i="1"/>
  <c r="BM179" i="1"/>
  <c r="BK179" i="1"/>
  <c r="BL179" i="1"/>
  <c r="BN196" i="1"/>
  <c r="BM176" i="1"/>
  <c r="BL176" i="1"/>
  <c r="BK176" i="1"/>
  <c r="BN176" i="1"/>
  <c r="BN182" i="1"/>
  <c r="BM182" i="1"/>
  <c r="BK182" i="1"/>
  <c r="BL182" i="1"/>
  <c r="BM172" i="1"/>
  <c r="BL172" i="1"/>
  <c r="BN172" i="1"/>
  <c r="BK172" i="1"/>
  <c r="BM175" i="1"/>
  <c r="BN175" i="1"/>
  <c r="BK175" i="1"/>
  <c r="BL175" i="1"/>
  <c r="BN177" i="1"/>
  <c r="BK177" i="1"/>
  <c r="BM177" i="1"/>
  <c r="BL177" i="1"/>
  <c r="BM195" i="1"/>
  <c r="BL196" i="1"/>
  <c r="BK196" i="1"/>
  <c r="BK195" i="1"/>
  <c r="BM196" i="1"/>
  <c r="BL202" i="1"/>
  <c r="BN188" i="1"/>
  <c r="BK188" i="1"/>
  <c r="BL188" i="1"/>
  <c r="BM188" i="1"/>
  <c r="BM183" i="1"/>
  <c r="BN183" i="1"/>
  <c r="BL183" i="1"/>
  <c r="BK183" i="1"/>
  <c r="BK186" i="1"/>
  <c r="BN186" i="1"/>
  <c r="BM186" i="1"/>
  <c r="BL186" i="1"/>
  <c r="BL185" i="1"/>
  <c r="BK185" i="1"/>
  <c r="BN185" i="1"/>
  <c r="BM184" i="1"/>
  <c r="BN184" i="1"/>
  <c r="BK184" i="1"/>
  <c r="BL184" i="1"/>
  <c r="BK187" i="1"/>
  <c r="BL187" i="1"/>
  <c r="BN187" i="1"/>
  <c r="BM187" i="1"/>
  <c r="BL195" i="1"/>
  <c r="BK202" i="1"/>
  <c r="BL192" i="1"/>
  <c r="BK192" i="1"/>
  <c r="BM192" i="1"/>
  <c r="BN192" i="1"/>
  <c r="BN191" i="1"/>
  <c r="BM191" i="1"/>
  <c r="BL191" i="1"/>
  <c r="BK191" i="1"/>
  <c r="BN194" i="1"/>
  <c r="BK194" i="1"/>
  <c r="BM194" i="1"/>
  <c r="BL194" i="1"/>
  <c r="BM189" i="1"/>
  <c r="BN189" i="1"/>
  <c r="BK189" i="1"/>
  <c r="BL189" i="1"/>
  <c r="BN190" i="1"/>
  <c r="BL190" i="1"/>
  <c r="BM190" i="1"/>
  <c r="BK190" i="1"/>
  <c r="BN193" i="1"/>
  <c r="BK193" i="1"/>
  <c r="BL193" i="1"/>
  <c r="BM193" i="1"/>
  <c r="BK201" i="1"/>
  <c r="BN276" i="1"/>
  <c r="BM202" i="1"/>
  <c r="BM201" i="1"/>
  <c r="BL199" i="1"/>
  <c r="BK199" i="1"/>
  <c r="BM199" i="1"/>
  <c r="BN199" i="1"/>
  <c r="BN200" i="1"/>
  <c r="BM200" i="1"/>
  <c r="BK200" i="1"/>
  <c r="BL200" i="1"/>
  <c r="BK227" i="1"/>
  <c r="BN201" i="1"/>
  <c r="BL201" i="1"/>
  <c r="BK198" i="1"/>
  <c r="BL198" i="1"/>
  <c r="BM198" i="1"/>
  <c r="BN198" i="1"/>
  <c r="BN197" i="1"/>
  <c r="BM197" i="1"/>
  <c r="BL197" i="1"/>
  <c r="BK197" i="1"/>
  <c r="BM209" i="1"/>
  <c r="BM217" i="1"/>
  <c r="BN227" i="1"/>
  <c r="BN206" i="1"/>
  <c r="BM206" i="1"/>
  <c r="BL206" i="1"/>
  <c r="BK206" i="1"/>
  <c r="BN205" i="1"/>
  <c r="BM205" i="1"/>
  <c r="BL205" i="1"/>
  <c r="BK205" i="1"/>
  <c r="BN208" i="1"/>
  <c r="BM208" i="1"/>
  <c r="BK208" i="1"/>
  <c r="BL208" i="1"/>
  <c r="BM207" i="1"/>
  <c r="BN207" i="1"/>
  <c r="BK207" i="1"/>
  <c r="BL207" i="1"/>
  <c r="BN219" i="1"/>
  <c r="BM219" i="1"/>
  <c r="BK219" i="1"/>
  <c r="BL219" i="1"/>
  <c r="BM218" i="1"/>
  <c r="BN218" i="1"/>
  <c r="BK218" i="1"/>
  <c r="BL218" i="1"/>
  <c r="BN212" i="1"/>
  <c r="BL212" i="1"/>
  <c r="BM212" i="1"/>
  <c r="BK212" i="1"/>
  <c r="BN216" i="1"/>
  <c r="BL216" i="1"/>
  <c r="BK216" i="1"/>
  <c r="BM216" i="1"/>
  <c r="BN214" i="1"/>
  <c r="BM214" i="1"/>
  <c r="BL214" i="1"/>
  <c r="BK214" i="1"/>
  <c r="BN209" i="1"/>
  <c r="BK209" i="1"/>
  <c r="BL209" i="1"/>
  <c r="BN217" i="1"/>
  <c r="BL217" i="1"/>
  <c r="BK217" i="1"/>
  <c r="BM211" i="1"/>
  <c r="BN211" i="1"/>
  <c r="BK211" i="1"/>
  <c r="BL211" i="1"/>
  <c r="BK210" i="1"/>
  <c r="BL210" i="1"/>
  <c r="BN210" i="1"/>
  <c r="BM210" i="1"/>
  <c r="BN213" i="1"/>
  <c r="BM213" i="1"/>
  <c r="BL213" i="1"/>
  <c r="BK213" i="1"/>
  <c r="BK203" i="1"/>
  <c r="BL203" i="1"/>
  <c r="BM203" i="1"/>
  <c r="BN203" i="1"/>
  <c r="BN215" i="1"/>
  <c r="BM215" i="1"/>
  <c r="BL215" i="1"/>
  <c r="BK215" i="1"/>
  <c r="BN204" i="1"/>
  <c r="BM204" i="1"/>
  <c r="BL204" i="1"/>
  <c r="BK204" i="1"/>
  <c r="BN223" i="1"/>
  <c r="BM223" i="1"/>
  <c r="BL223" i="1"/>
  <c r="BK223" i="1"/>
  <c r="BN222" i="1"/>
  <c r="BM222" i="1"/>
  <c r="BL222" i="1"/>
  <c r="BK222" i="1"/>
  <c r="BM227" i="1"/>
  <c r="BN230" i="1"/>
  <c r="BK220" i="1"/>
  <c r="BN220" i="1"/>
  <c r="BL220" i="1"/>
  <c r="BM221" i="1"/>
  <c r="BK221" i="1"/>
  <c r="BN221" i="1"/>
  <c r="BL221" i="1"/>
  <c r="BN224" i="1"/>
  <c r="BK224" i="1"/>
  <c r="BL224" i="1"/>
  <c r="BM224" i="1"/>
  <c r="BL227" i="1"/>
  <c r="BM220" i="1"/>
  <c r="BL229" i="1"/>
  <c r="BK225" i="1"/>
  <c r="BM225" i="1"/>
  <c r="BL225" i="1"/>
  <c r="BN225" i="1"/>
  <c r="BN226" i="1"/>
  <c r="BK226" i="1"/>
  <c r="BL226" i="1"/>
  <c r="BM226" i="1"/>
  <c r="BL230" i="1"/>
  <c r="BN229" i="1"/>
  <c r="BK230" i="1"/>
  <c r="BM229" i="1"/>
  <c r="BM230" i="1"/>
  <c r="BK229" i="1"/>
  <c r="BN232" i="1"/>
  <c r="BL241" i="1"/>
  <c r="BK232" i="1"/>
  <c r="BN236" i="1"/>
  <c r="BL232" i="1"/>
  <c r="BM232" i="1"/>
  <c r="BL233" i="1"/>
  <c r="BM228" i="1"/>
  <c r="BN228" i="1"/>
  <c r="BK228" i="1"/>
  <c r="BL228" i="1"/>
  <c r="BM236" i="1"/>
  <c r="BN231" i="1"/>
  <c r="BK231" i="1"/>
  <c r="BL231" i="1"/>
  <c r="BM231" i="1"/>
  <c r="BL236" i="1"/>
  <c r="BK235" i="1"/>
  <c r="BN235" i="1"/>
  <c r="BM235" i="1"/>
  <c r="BL235" i="1"/>
  <c r="BK236" i="1"/>
  <c r="BM233" i="1"/>
  <c r="BK233" i="1"/>
  <c r="BN233" i="1"/>
  <c r="BM234" i="1"/>
  <c r="BL234" i="1"/>
  <c r="BN234" i="1"/>
  <c r="BK234" i="1"/>
  <c r="BM237" i="1"/>
  <c r="BN239" i="1"/>
  <c r="BM239" i="1"/>
  <c r="BL239" i="1"/>
  <c r="BK239" i="1"/>
  <c r="BM240" i="1"/>
  <c r="BL240" i="1"/>
  <c r="BK240" i="1"/>
  <c r="BN240" i="1"/>
  <c r="BN244" i="1"/>
  <c r="BK244" i="1"/>
  <c r="BL244" i="1"/>
  <c r="BM244" i="1"/>
  <c r="BM238" i="1"/>
  <c r="BN238" i="1"/>
  <c r="BK238" i="1"/>
  <c r="BL238" i="1"/>
  <c r="BN237" i="1"/>
  <c r="BK237" i="1"/>
  <c r="BL237" i="1"/>
  <c r="BL243" i="1"/>
  <c r="BM243" i="1"/>
  <c r="BK243" i="1"/>
  <c r="BN243" i="1"/>
  <c r="BN242" i="1"/>
  <c r="BL242" i="1"/>
  <c r="BM242" i="1"/>
  <c r="BK242" i="1"/>
  <c r="BN241" i="1"/>
  <c r="BK241" i="1"/>
  <c r="BM241" i="1"/>
  <c r="BL246" i="1"/>
  <c r="BL255" i="1"/>
  <c r="BK248" i="1"/>
  <c r="BL248" i="1"/>
  <c r="BN248" i="1"/>
  <c r="BM248" i="1"/>
  <c r="BM247" i="1"/>
  <c r="BL247" i="1"/>
  <c r="BN247" i="1"/>
  <c r="BK247" i="1"/>
  <c r="BN245" i="1"/>
  <c r="BM245" i="1"/>
  <c r="BL245" i="1"/>
  <c r="BK245" i="1"/>
  <c r="BM253" i="1"/>
  <c r="BN246" i="1"/>
  <c r="BM246" i="1"/>
  <c r="BK246" i="1"/>
  <c r="BK251" i="1"/>
  <c r="BN251" i="1"/>
  <c r="BM251" i="1"/>
  <c r="BL251" i="1"/>
  <c r="BN252" i="1"/>
  <c r="BM252" i="1"/>
  <c r="BL252" i="1"/>
  <c r="BK252" i="1"/>
  <c r="BM276" i="1"/>
  <c r="BN282" i="1"/>
  <c r="BM262" i="1"/>
  <c r="BK276" i="1"/>
  <c r="BM254" i="1"/>
  <c r="BN254" i="1"/>
  <c r="BL254" i="1"/>
  <c r="BK254" i="1"/>
  <c r="BK264" i="1"/>
  <c r="BL264" i="1"/>
  <c r="BM264" i="1"/>
  <c r="BN264" i="1"/>
  <c r="BL276" i="1"/>
  <c r="BK249" i="1"/>
  <c r="BN249" i="1"/>
  <c r="BM249" i="1"/>
  <c r="BL249" i="1"/>
  <c r="BN258" i="1"/>
  <c r="BM258" i="1"/>
  <c r="BL258" i="1"/>
  <c r="BK258" i="1"/>
  <c r="BM261" i="1"/>
  <c r="BL261" i="1"/>
  <c r="BK261" i="1"/>
  <c r="BN261" i="1"/>
  <c r="BM255" i="1"/>
  <c r="BK255" i="1"/>
  <c r="BN255" i="1"/>
  <c r="BN257" i="1"/>
  <c r="BL257" i="1"/>
  <c r="BM257" i="1"/>
  <c r="BK257" i="1"/>
  <c r="BN265" i="1"/>
  <c r="BM265" i="1"/>
  <c r="BK265" i="1"/>
  <c r="BL265" i="1"/>
  <c r="BL259" i="1"/>
  <c r="BK259" i="1"/>
  <c r="BN259" i="1"/>
  <c r="BM259" i="1"/>
  <c r="BM256" i="1"/>
  <c r="BK256" i="1"/>
  <c r="BN256" i="1"/>
  <c r="BL256" i="1"/>
  <c r="BL250" i="1"/>
  <c r="BK250" i="1"/>
  <c r="BN250" i="1"/>
  <c r="BM250" i="1"/>
  <c r="BK260" i="1"/>
  <c r="BM260" i="1"/>
  <c r="BN260" i="1"/>
  <c r="BL260" i="1"/>
  <c r="BK262" i="1"/>
  <c r="BL262" i="1"/>
  <c r="BN262" i="1"/>
  <c r="BN263" i="1"/>
  <c r="BM263" i="1"/>
  <c r="BK263" i="1"/>
  <c r="BL263" i="1"/>
  <c r="BK253" i="1"/>
  <c r="BN253" i="1"/>
  <c r="BL253" i="1"/>
  <c r="BL269" i="1"/>
  <c r="BK269" i="1"/>
  <c r="BM269" i="1"/>
  <c r="BN269" i="1"/>
  <c r="BN268" i="1"/>
  <c r="BM268" i="1"/>
  <c r="BL268" i="1"/>
  <c r="BK268" i="1"/>
  <c r="BM272" i="1"/>
  <c r="BN272" i="1"/>
  <c r="BK272" i="1"/>
  <c r="BL271" i="1"/>
  <c r="BN271" i="1"/>
  <c r="BK271" i="1"/>
  <c r="BM271" i="1"/>
  <c r="BN275" i="1"/>
  <c r="BL275" i="1"/>
  <c r="BM275" i="1"/>
  <c r="BK275" i="1"/>
  <c r="BN267" i="1"/>
  <c r="BK267" i="1"/>
  <c r="BM267" i="1"/>
  <c r="BL267" i="1"/>
  <c r="BL272" i="1"/>
  <c r="BN266" i="1"/>
  <c r="BL266" i="1"/>
  <c r="BK266" i="1"/>
  <c r="BM266" i="1"/>
  <c r="BM270" i="1"/>
  <c r="BL270" i="1"/>
  <c r="BN270" i="1"/>
  <c r="BK270" i="1"/>
  <c r="BK273" i="1"/>
  <c r="BN273" i="1"/>
  <c r="BL273" i="1"/>
  <c r="BM273" i="1"/>
  <c r="BK274" i="1"/>
  <c r="BM274" i="1"/>
  <c r="BL274" i="1"/>
  <c r="BN274" i="1"/>
  <c r="BM316" i="1"/>
  <c r="BN278" i="1"/>
  <c r="BM278" i="1"/>
  <c r="BL278" i="1"/>
  <c r="BK278" i="1"/>
  <c r="BN317" i="1"/>
  <c r="BK292" i="1"/>
  <c r="BK282" i="1"/>
  <c r="BL317" i="1"/>
  <c r="BN281" i="1"/>
  <c r="BL282" i="1"/>
  <c r="BL277" i="1"/>
  <c r="BM277" i="1"/>
  <c r="BN277" i="1"/>
  <c r="BK277" i="1"/>
  <c r="BL281" i="1"/>
  <c r="BK281" i="1"/>
  <c r="BM282" i="1"/>
  <c r="BM317" i="1"/>
  <c r="BM281" i="1"/>
  <c r="BL279" i="1"/>
  <c r="BM279" i="1"/>
  <c r="BK279" i="1"/>
  <c r="BN279" i="1"/>
  <c r="BN280" i="1"/>
  <c r="BM280" i="1"/>
  <c r="BK280" i="1"/>
  <c r="BL280" i="1"/>
  <c r="BN316" i="1"/>
  <c r="BM299" i="1"/>
  <c r="BM297" i="1"/>
  <c r="BK286" i="1"/>
  <c r="BL286" i="1"/>
  <c r="BN286" i="1"/>
  <c r="BM286" i="1"/>
  <c r="BL316" i="1"/>
  <c r="BM285" i="1"/>
  <c r="BL285" i="1"/>
  <c r="BK285" i="1"/>
  <c r="BN285" i="1"/>
  <c r="BL319" i="1"/>
  <c r="BM283" i="1"/>
  <c r="BK283" i="1"/>
  <c r="BN283" i="1"/>
  <c r="BL283" i="1"/>
  <c r="BN290" i="1"/>
  <c r="BK290" i="1"/>
  <c r="BL290" i="1"/>
  <c r="BM290" i="1"/>
  <c r="BN288" i="1"/>
  <c r="BM288" i="1"/>
  <c r="BK288" i="1"/>
  <c r="BL288" i="1"/>
  <c r="BN287" i="1"/>
  <c r="BK287" i="1"/>
  <c r="BM287" i="1"/>
  <c r="BL287" i="1"/>
  <c r="BM289" i="1"/>
  <c r="BN289" i="1"/>
  <c r="BK289" i="1"/>
  <c r="BL289" i="1"/>
  <c r="BN284" i="1"/>
  <c r="BK284" i="1"/>
  <c r="BM284" i="1"/>
  <c r="BL284" i="1"/>
  <c r="BL297" i="1"/>
  <c r="BK297" i="1"/>
  <c r="BM294" i="1"/>
  <c r="BL294" i="1"/>
  <c r="BK294" i="1"/>
  <c r="BN294" i="1"/>
  <c r="BN293" i="1"/>
  <c r="BM293" i="1"/>
  <c r="BL293" i="1"/>
  <c r="BK293" i="1"/>
  <c r="BN297" i="1"/>
  <c r="BL311" i="1"/>
  <c r="BN292" i="1"/>
  <c r="BM292" i="1"/>
  <c r="BL292" i="1"/>
  <c r="BL295" i="1"/>
  <c r="BM295" i="1"/>
  <c r="BN295" i="1"/>
  <c r="BK295" i="1"/>
  <c r="BN296" i="1"/>
  <c r="BK296" i="1"/>
  <c r="BL296" i="1"/>
  <c r="BM296" i="1"/>
  <c r="BN291" i="1"/>
  <c r="BL291" i="1"/>
  <c r="BM291" i="1"/>
  <c r="BK291" i="1"/>
  <c r="BN300" i="1"/>
  <c r="BM300" i="1"/>
  <c r="BL300" i="1"/>
  <c r="BK300" i="1"/>
  <c r="BM302" i="1"/>
  <c r="BK316" i="1"/>
  <c r="BN301" i="1"/>
  <c r="BM301" i="1"/>
  <c r="BL301" i="1"/>
  <c r="BK301" i="1"/>
  <c r="BK317" i="1"/>
  <c r="BN309" i="1"/>
  <c r="BL309" i="1"/>
  <c r="BK309" i="1"/>
  <c r="BM309" i="1"/>
  <c r="BN315" i="1"/>
  <c r="BK315" i="1"/>
  <c r="BM315" i="1"/>
  <c r="BL315" i="1"/>
  <c r="BN314" i="1"/>
  <c r="BK314" i="1"/>
  <c r="BL314" i="1"/>
  <c r="BM305" i="1"/>
  <c r="BN302" i="1"/>
  <c r="BL302" i="1"/>
  <c r="BK302" i="1"/>
  <c r="BN311" i="1"/>
  <c r="BK311" i="1"/>
  <c r="BM311" i="1"/>
  <c r="BN298" i="1"/>
  <c r="BK298" i="1"/>
  <c r="BL298" i="1"/>
  <c r="BM298" i="1"/>
  <c r="BN313" i="1"/>
  <c r="BK313" i="1"/>
  <c r="BM313" i="1"/>
  <c r="BL313" i="1"/>
  <c r="BN307" i="1"/>
  <c r="BL307" i="1"/>
  <c r="BK307" i="1"/>
  <c r="BM307" i="1"/>
  <c r="BM303" i="1"/>
  <c r="BN303" i="1"/>
  <c r="BK303" i="1"/>
  <c r="BL303" i="1"/>
  <c r="BK308" i="1"/>
  <c r="BL308" i="1"/>
  <c r="BM308" i="1"/>
  <c r="BN308" i="1"/>
  <c r="BN305" i="1"/>
  <c r="BL305" i="1"/>
  <c r="BK305" i="1"/>
  <c r="BM314" i="1"/>
  <c r="BN312" i="1"/>
  <c r="BL312" i="1"/>
  <c r="BK312" i="1"/>
  <c r="BM312" i="1"/>
  <c r="BN299" i="1"/>
  <c r="BK299" i="1"/>
  <c r="BL299" i="1"/>
  <c r="BK306" i="1"/>
  <c r="BL306" i="1"/>
  <c r="BM306" i="1"/>
  <c r="BN306" i="1"/>
  <c r="BN310" i="1"/>
  <c r="BK310" i="1"/>
  <c r="BL310" i="1"/>
  <c r="BM310" i="1"/>
  <c r="BN304" i="1"/>
  <c r="BM304" i="1"/>
  <c r="BL304" i="1"/>
  <c r="BK304" i="1"/>
  <c r="BM332" i="1"/>
  <c r="BM334" i="1"/>
  <c r="BN332" i="1"/>
  <c r="BK332" i="1"/>
  <c r="BN333" i="1"/>
  <c r="BL332" i="1"/>
  <c r="BM335" i="1"/>
  <c r="BK333" i="1"/>
  <c r="BL333" i="1"/>
  <c r="BM333" i="1"/>
  <c r="BM321" i="1"/>
  <c r="BN321" i="1"/>
  <c r="BL321" i="1"/>
  <c r="BK321" i="1"/>
  <c r="BM320" i="1"/>
  <c r="BL320" i="1"/>
  <c r="BK320" i="1"/>
  <c r="BN320" i="1"/>
  <c r="BN328" i="1"/>
  <c r="BL328" i="1"/>
  <c r="BK328" i="1"/>
  <c r="BM328" i="1"/>
  <c r="BN327" i="1"/>
  <c r="BM327" i="1"/>
  <c r="BK327" i="1"/>
  <c r="BL327" i="1"/>
  <c r="BN319" i="1"/>
  <c r="BM319" i="1"/>
  <c r="BK319" i="1"/>
  <c r="BN318" i="1"/>
  <c r="BK318" i="1"/>
  <c r="BL318" i="1"/>
  <c r="BM318" i="1"/>
  <c r="BN326" i="1"/>
  <c r="BK326" i="1"/>
  <c r="BL326" i="1"/>
  <c r="BL325" i="1"/>
  <c r="BM325" i="1"/>
  <c r="BN325" i="1"/>
  <c r="BK325" i="1"/>
  <c r="BN322" i="1"/>
  <c r="BK322" i="1"/>
  <c r="BL322" i="1"/>
  <c r="BM326" i="1"/>
  <c r="BL323" i="1"/>
  <c r="BM323" i="1"/>
  <c r="BN323" i="1"/>
  <c r="BK323" i="1"/>
  <c r="BN324" i="1"/>
  <c r="BK324" i="1"/>
  <c r="BM324" i="1"/>
  <c r="BL324" i="1"/>
  <c r="BM322" i="1"/>
  <c r="BN331" i="1"/>
  <c r="BM331" i="1"/>
  <c r="BL331" i="1"/>
  <c r="BK331" i="1"/>
  <c r="BK330" i="1"/>
  <c r="BL330" i="1"/>
  <c r="BM330" i="1"/>
  <c r="BN330" i="1"/>
  <c r="BL329" i="1"/>
  <c r="BN329" i="1"/>
  <c r="BK329" i="1"/>
  <c r="BM329" i="1"/>
  <c r="BM348" i="1"/>
  <c r="BN339" i="1"/>
  <c r="BN338" i="1"/>
  <c r="BL338" i="1"/>
  <c r="BM339" i="1"/>
  <c r="BK339" i="1"/>
  <c r="BM338" i="1"/>
  <c r="BK338" i="1"/>
  <c r="BN337" i="1"/>
  <c r="BM337" i="1"/>
  <c r="BL337" i="1"/>
  <c r="BK337" i="1"/>
  <c r="BK336" i="1"/>
  <c r="BN336" i="1"/>
  <c r="BM336" i="1"/>
  <c r="BL336" i="1"/>
  <c r="BN334" i="1"/>
  <c r="BK334" i="1"/>
  <c r="BL334" i="1"/>
  <c r="BN352" i="1"/>
  <c r="BM347" i="1"/>
  <c r="BL348" i="1"/>
  <c r="BL339" i="1"/>
  <c r="BN335" i="1"/>
  <c r="BK335" i="1"/>
  <c r="BL335" i="1"/>
  <c r="BN348" i="1"/>
  <c r="BK360" i="1"/>
  <c r="BK348" i="1"/>
  <c r="BN349" i="1"/>
  <c r="BM349" i="1"/>
  <c r="BL352" i="1"/>
  <c r="BK349" i="1"/>
  <c r="BK352" i="1"/>
  <c r="BL349" i="1"/>
  <c r="BM352" i="1"/>
  <c r="BN343" i="1"/>
  <c r="BM343" i="1"/>
  <c r="BL343" i="1"/>
  <c r="BK343" i="1"/>
  <c r="BL342" i="1"/>
  <c r="BK342" i="1"/>
  <c r="BN342" i="1"/>
  <c r="BM342" i="1"/>
  <c r="BK344" i="1"/>
  <c r="BM344" i="1"/>
  <c r="BL344" i="1"/>
  <c r="BN344" i="1"/>
  <c r="BN346" i="1"/>
  <c r="BK346" i="1"/>
  <c r="BL346" i="1"/>
  <c r="BM346" i="1"/>
  <c r="BM341" i="1"/>
  <c r="BN341" i="1"/>
  <c r="BK341" i="1"/>
  <c r="BL341" i="1"/>
  <c r="BN340" i="1"/>
  <c r="BK340" i="1"/>
  <c r="BM340" i="1"/>
  <c r="BL340" i="1"/>
  <c r="BN345" i="1"/>
  <c r="BL345" i="1"/>
  <c r="BM345" i="1"/>
  <c r="BK345" i="1"/>
  <c r="BN347" i="1"/>
  <c r="BK347" i="1"/>
  <c r="BL347" i="1"/>
  <c r="BN353" i="1"/>
  <c r="BN350" i="1"/>
  <c r="BK350" i="1"/>
  <c r="BM350" i="1"/>
  <c r="BL350" i="1"/>
  <c r="BK353" i="1"/>
  <c r="BM353" i="1"/>
  <c r="BL353" i="1"/>
  <c r="BL351" i="1"/>
  <c r="BM351" i="1"/>
  <c r="BN351" i="1"/>
  <c r="BK351" i="1"/>
  <c r="BN356" i="1"/>
  <c r="BM356" i="1"/>
  <c r="BL356" i="1"/>
  <c r="BK356" i="1"/>
  <c r="BN357" i="1"/>
  <c r="BM357" i="1"/>
  <c r="BL357" i="1"/>
  <c r="BK357" i="1"/>
  <c r="BN359" i="1"/>
  <c r="BK359" i="1"/>
  <c r="BM359" i="1"/>
  <c r="BL359" i="1"/>
  <c r="BL358" i="1"/>
  <c r="BN358" i="1"/>
  <c r="BK358" i="1"/>
  <c r="BM358" i="1"/>
  <c r="BK354" i="1"/>
  <c r="BL354" i="1"/>
  <c r="BM354" i="1"/>
  <c r="BN354" i="1"/>
  <c r="BM360" i="1"/>
  <c r="BL360" i="1"/>
  <c r="BN360" i="1"/>
  <c r="BK355" i="1"/>
  <c r="BM355" i="1"/>
  <c r="BN355" i="1"/>
  <c r="BL355"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4" i="1" l="1"/>
  <c r="CQ10" i="1"/>
  <c r="CQ13" i="1"/>
  <c r="CQ11" i="1"/>
  <c r="CQ15" i="1"/>
  <c r="CQ12" i="1"/>
  <c r="CQ18" i="1"/>
  <c r="CQ17" i="1"/>
  <c r="CQ16" i="1"/>
  <c r="CQ19" i="1"/>
  <c r="CQ20" i="1"/>
  <c r="CQ21" i="1"/>
  <c r="CQ24" i="1"/>
  <c r="CQ25" i="1"/>
  <c r="CQ26" i="1"/>
  <c r="CQ22" i="1"/>
  <c r="CQ23" i="1"/>
  <c r="CQ27" i="1"/>
  <c r="AV3546" i="31"/>
  <c r="AU3546" i="31"/>
  <c r="AT3546" i="31" s="1"/>
  <c r="CQ36" i="1"/>
  <c r="CQ31" i="1"/>
  <c r="CQ37" i="1"/>
  <c r="CQ32" i="1"/>
  <c r="CQ38" i="1"/>
  <c r="CQ33" i="1"/>
  <c r="CQ28" i="1"/>
  <c r="CQ34" i="1"/>
  <c r="CQ29" i="1"/>
  <c r="CQ35" i="1"/>
  <c r="CQ30" i="1"/>
  <c r="CQ45" i="1"/>
  <c r="CQ47" i="1"/>
  <c r="CQ42" i="1"/>
  <c r="CQ48" i="1"/>
  <c r="CQ43" i="1"/>
  <c r="CQ49" i="1"/>
  <c r="CQ44" i="1"/>
  <c r="CQ39" i="1"/>
  <c r="CQ40" i="1"/>
  <c r="CQ46" i="1"/>
  <c r="CQ41" i="1"/>
  <c r="CQ50" i="1"/>
  <c r="CQ51" i="1"/>
  <c r="CQ52" i="1"/>
  <c r="CQ53" i="1"/>
  <c r="CQ54" i="1"/>
  <c r="CQ55" i="1"/>
  <c r="CQ56" i="1"/>
  <c r="CQ65" i="1"/>
  <c r="CQ61" i="1"/>
  <c r="CQ57" i="1"/>
  <c r="CQ66" i="1"/>
  <c r="CQ62" i="1"/>
  <c r="CQ58" i="1"/>
  <c r="CQ67" i="1"/>
  <c r="CQ63" i="1"/>
  <c r="CQ59" i="1"/>
  <c r="CQ64" i="1"/>
  <c r="CQ60" i="1"/>
  <c r="CQ95" i="1"/>
  <c r="CQ90" i="1"/>
  <c r="CQ89" i="1"/>
  <c r="CQ73" i="1"/>
  <c r="CQ101" i="1"/>
  <c r="CQ88" i="1"/>
  <c r="CQ98" i="1"/>
  <c r="CQ87" i="1"/>
  <c r="CQ85" i="1"/>
  <c r="CQ84" i="1"/>
  <c r="CQ83" i="1"/>
  <c r="CQ80" i="1"/>
  <c r="CQ79" i="1"/>
  <c r="CQ71" i="1"/>
  <c r="CQ69" i="1"/>
  <c r="CQ102" i="1"/>
  <c r="CQ93" i="1"/>
  <c r="CQ81" i="1"/>
  <c r="CQ76" i="1"/>
  <c r="CQ68" i="1"/>
  <c r="CQ100" i="1"/>
  <c r="CQ99" i="1"/>
  <c r="CQ92" i="1"/>
  <c r="CQ77" i="1"/>
  <c r="CQ97" i="1"/>
  <c r="CQ96" i="1"/>
  <c r="CQ78" i="1"/>
  <c r="CQ75" i="1"/>
  <c r="CQ82" i="1"/>
  <c r="CQ72" i="1"/>
  <c r="CQ70" i="1"/>
  <c r="CQ86" i="1"/>
  <c r="CQ94" i="1"/>
  <c r="CQ91" i="1"/>
  <c r="CQ74" i="1"/>
  <c r="CQ150" i="1"/>
  <c r="CQ139" i="1"/>
  <c r="CQ137" i="1"/>
  <c r="CQ134" i="1"/>
  <c r="CQ122" i="1"/>
  <c r="CQ107" i="1"/>
  <c r="CQ133" i="1"/>
  <c r="CQ132" i="1"/>
  <c r="CQ131" i="1"/>
  <c r="CQ130" i="1"/>
  <c r="CQ129" i="1"/>
  <c r="CQ128" i="1"/>
  <c r="CQ127" i="1"/>
  <c r="CQ126" i="1"/>
  <c r="CQ124" i="1"/>
  <c r="CQ121" i="1"/>
  <c r="CQ119" i="1"/>
  <c r="CQ110" i="1"/>
  <c r="CQ105" i="1"/>
  <c r="CQ103" i="1"/>
  <c r="CQ153" i="1"/>
  <c r="CQ118" i="1"/>
  <c r="CQ108" i="1"/>
  <c r="CQ104" i="1"/>
  <c r="CQ162" i="1"/>
  <c r="CQ155" i="1"/>
  <c r="CQ143" i="1"/>
  <c r="CQ160" i="1"/>
  <c r="CQ159" i="1"/>
  <c r="CQ154" i="1"/>
  <c r="CQ151" i="1"/>
  <c r="CQ148" i="1"/>
  <c r="CQ146" i="1"/>
  <c r="CQ120" i="1"/>
  <c r="CQ114" i="1"/>
  <c r="CQ158" i="1"/>
  <c r="CQ147" i="1"/>
  <c r="CQ145" i="1"/>
  <c r="CQ144" i="1"/>
  <c r="CQ141" i="1"/>
  <c r="CQ140" i="1"/>
  <c r="CQ135" i="1"/>
  <c r="CQ125" i="1"/>
  <c r="CQ123" i="1"/>
  <c r="CQ112" i="1"/>
  <c r="CQ152" i="1"/>
  <c r="CQ149" i="1"/>
  <c r="CQ142" i="1"/>
  <c r="CQ138" i="1"/>
  <c r="CQ136" i="1"/>
  <c r="CQ117" i="1"/>
  <c r="CQ109" i="1"/>
  <c r="CQ161" i="1"/>
  <c r="CQ111" i="1"/>
  <c r="CQ106" i="1"/>
  <c r="CQ157" i="1"/>
  <c r="CQ156" i="1"/>
  <c r="CQ116" i="1"/>
  <c r="CQ115" i="1"/>
  <c r="CQ113" i="1"/>
  <c r="CQ167" i="1"/>
  <c r="CQ170" i="1"/>
  <c r="CQ169" i="1"/>
  <c r="CQ168" i="1"/>
  <c r="CQ164" i="1"/>
  <c r="CQ165" i="1"/>
  <c r="CQ166" i="1"/>
  <c r="CQ163" i="1"/>
  <c r="CQ180" i="1"/>
  <c r="CQ174" i="1"/>
  <c r="CQ172" i="1"/>
  <c r="CQ171" i="1"/>
  <c r="CQ181" i="1"/>
  <c r="CQ175" i="1"/>
  <c r="CQ173" i="1"/>
  <c r="CQ182" i="1"/>
  <c r="CQ176" i="1"/>
  <c r="CQ177" i="1"/>
  <c r="CQ179" i="1"/>
  <c r="CQ178" i="1"/>
  <c r="CQ187" i="1"/>
  <c r="CQ183" i="1"/>
  <c r="CQ188" i="1"/>
  <c r="CQ184" i="1"/>
  <c r="CQ185" i="1"/>
  <c r="CQ186" i="1"/>
  <c r="CQ192" i="1"/>
  <c r="CQ193" i="1"/>
  <c r="CQ191" i="1"/>
  <c r="CQ194" i="1"/>
  <c r="CQ189" i="1"/>
  <c r="CQ190" i="1"/>
  <c r="CQ195" i="1"/>
  <c r="CQ196" i="1"/>
  <c r="CQ198" i="1"/>
  <c r="CQ200" i="1"/>
  <c r="CQ199" i="1"/>
  <c r="CQ197" i="1"/>
  <c r="CQ201" i="1"/>
  <c r="CQ202" i="1"/>
  <c r="CQ216" i="1"/>
  <c r="CQ214" i="1"/>
  <c r="CQ212" i="1"/>
  <c r="CQ210" i="1"/>
  <c r="CQ208" i="1"/>
  <c r="CQ206" i="1"/>
  <c r="CQ205" i="1"/>
  <c r="CQ204" i="1"/>
  <c r="CQ219" i="1"/>
  <c r="CQ217" i="1"/>
  <c r="CQ215" i="1"/>
  <c r="CQ213" i="1"/>
  <c r="CQ211" i="1"/>
  <c r="CQ209" i="1"/>
  <c r="CQ207" i="1"/>
  <c r="CQ203" i="1"/>
  <c r="CQ218" i="1"/>
  <c r="CQ223" i="1"/>
  <c r="CQ224" i="1"/>
  <c r="CQ222" i="1"/>
  <c r="CQ220" i="1"/>
  <c r="CQ221" i="1"/>
  <c r="CQ225" i="1"/>
  <c r="CQ226" i="1"/>
  <c r="CQ228" i="1"/>
  <c r="CQ227" i="1"/>
  <c r="CQ229" i="1"/>
  <c r="CQ230" i="1"/>
  <c r="CQ232" i="1"/>
  <c r="CQ231" i="1"/>
  <c r="CQ236" i="1"/>
  <c r="CQ235" i="1"/>
  <c r="CQ233" i="1"/>
  <c r="CQ234" i="1"/>
  <c r="CQ242" i="1"/>
  <c r="CQ239" i="1"/>
  <c r="CQ243" i="1"/>
  <c r="CQ237" i="1"/>
  <c r="CQ238" i="1"/>
  <c r="CQ244" i="1"/>
  <c r="CQ240" i="1"/>
  <c r="CQ241" i="1"/>
  <c r="CQ246" i="1"/>
  <c r="CQ248" i="1"/>
  <c r="CQ247" i="1"/>
  <c r="CQ245" i="1"/>
  <c r="CQ263" i="1"/>
  <c r="CQ259" i="1"/>
  <c r="CQ255" i="1"/>
  <c r="CQ264" i="1"/>
  <c r="CQ260" i="1"/>
  <c r="CQ256" i="1"/>
  <c r="CQ252" i="1"/>
  <c r="CQ265" i="1"/>
  <c r="CQ261" i="1"/>
  <c r="CQ257" i="1"/>
  <c r="CQ253" i="1"/>
  <c r="CQ251" i="1"/>
  <c r="CQ249" i="1"/>
  <c r="CQ262" i="1"/>
  <c r="CQ258" i="1"/>
  <c r="CQ254" i="1"/>
  <c r="CQ250" i="1"/>
  <c r="CQ273" i="1"/>
  <c r="CQ269" i="1"/>
  <c r="CQ274" i="1"/>
  <c r="CQ270" i="1"/>
  <c r="CQ268" i="1"/>
  <c r="CQ266" i="1"/>
  <c r="CQ275" i="1"/>
  <c r="CQ271" i="1"/>
  <c r="CQ267" i="1"/>
  <c r="CQ272" i="1"/>
  <c r="CQ278" i="1"/>
  <c r="CQ277" i="1"/>
  <c r="CQ276" i="1"/>
  <c r="CQ279" i="1"/>
  <c r="CQ280" i="1"/>
  <c r="CQ281" i="1"/>
  <c r="CQ282" i="1"/>
  <c r="CQ288" i="1"/>
  <c r="CQ287" i="1"/>
  <c r="CQ289" i="1"/>
  <c r="CQ286" i="1"/>
  <c r="CQ290" i="1"/>
  <c r="CQ285" i="1"/>
  <c r="CQ283" i="1"/>
  <c r="CQ284" i="1"/>
  <c r="CQ297" i="1"/>
  <c r="CQ294" i="1"/>
  <c r="CQ295" i="1"/>
  <c r="CQ293" i="1"/>
  <c r="CQ291" i="1"/>
  <c r="CQ296" i="1"/>
  <c r="CQ292" i="1"/>
  <c r="CQ313" i="1"/>
  <c r="CQ308" i="1"/>
  <c r="CQ312" i="1"/>
  <c r="CQ310" i="1"/>
  <c r="CQ301" i="1"/>
  <c r="CQ314" i="1"/>
  <c r="CQ311" i="1"/>
  <c r="CQ309" i="1"/>
  <c r="CQ315" i="1"/>
  <c r="CQ304" i="1"/>
  <c r="CQ303" i="1"/>
  <c r="CQ302" i="1"/>
  <c r="CQ300" i="1"/>
  <c r="CQ298" i="1"/>
  <c r="CQ306" i="1"/>
  <c r="CQ305" i="1"/>
  <c r="CQ299" i="1"/>
  <c r="CQ307" i="1"/>
  <c r="CQ316" i="1"/>
  <c r="CQ317" i="1"/>
  <c r="CQ325" i="1"/>
  <c r="CQ318" i="1"/>
  <c r="CQ326" i="1"/>
  <c r="CQ328" i="1"/>
  <c r="CQ327" i="1"/>
  <c r="CQ320" i="1"/>
  <c r="CQ322" i="1"/>
  <c r="CQ319" i="1"/>
  <c r="CQ323" i="1"/>
  <c r="CQ324" i="1"/>
  <c r="CQ321" i="1"/>
  <c r="CQ331" i="1"/>
  <c r="CQ329" i="1"/>
  <c r="CQ330" i="1"/>
  <c r="CQ332" i="1"/>
  <c r="CQ333" i="1"/>
  <c r="CQ337" i="1"/>
  <c r="CQ336" i="1"/>
  <c r="CQ334" i="1"/>
  <c r="CQ335" i="1"/>
  <c r="CQ339" i="1"/>
  <c r="CQ338" i="1"/>
  <c r="CQ342" i="1"/>
  <c r="CQ341" i="1"/>
  <c r="CQ345" i="1"/>
  <c r="CQ346" i="1"/>
  <c r="CQ340" i="1"/>
  <c r="CQ344" i="1"/>
  <c r="CQ343" i="1"/>
  <c r="CQ347" i="1"/>
  <c r="CQ348" i="1"/>
  <c r="CQ349" i="1"/>
  <c r="CQ350" i="1"/>
  <c r="CQ353" i="1"/>
  <c r="CQ351" i="1"/>
  <c r="CQ352" i="1"/>
  <c r="CQ360" i="1"/>
  <c r="CQ357" i="1"/>
  <c r="CQ358" i="1"/>
  <c r="CQ356" i="1"/>
  <c r="CQ354" i="1"/>
  <c r="CQ359" i="1"/>
  <c r="CQ355"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1" i="1"/>
  <c r="CI11" i="1" s="1"/>
  <c r="CJ12" i="1"/>
  <c r="CI12" i="1" s="1"/>
  <c r="CJ15" i="1"/>
  <c r="CI15" i="1" s="1"/>
  <c r="CJ13" i="1"/>
  <c r="CI13" i="1" s="1"/>
  <c r="CJ10" i="1"/>
  <c r="CI10" i="1" s="1"/>
  <c r="CJ18" i="1"/>
  <c r="CI18" i="1" s="1"/>
  <c r="CJ17" i="1"/>
  <c r="CI17" i="1" s="1"/>
  <c r="CJ16" i="1"/>
  <c r="CI16" i="1" s="1"/>
  <c r="CF18" i="1"/>
  <c r="CE18" i="1" s="1"/>
  <c r="CJ19" i="1"/>
  <c r="CI19" i="1" s="1"/>
  <c r="CJ20" i="1"/>
  <c r="CI20" i="1" s="1"/>
  <c r="CJ21" i="1"/>
  <c r="CI21" i="1" s="1"/>
  <c r="CJ26" i="1"/>
  <c r="CI26" i="1" s="1"/>
  <c r="CJ22" i="1"/>
  <c r="CI22" i="1" s="1"/>
  <c r="CJ23" i="1"/>
  <c r="CI23" i="1" s="1"/>
  <c r="CJ24" i="1"/>
  <c r="CI24" i="1" s="1"/>
  <c r="CJ25" i="1"/>
  <c r="CI25" i="1" s="1"/>
  <c r="CJ27" i="1"/>
  <c r="CI27" i="1" s="1"/>
  <c r="CJ28" i="1"/>
  <c r="CJ34" i="1"/>
  <c r="CJ29" i="1"/>
  <c r="CJ35" i="1"/>
  <c r="CJ30" i="1"/>
  <c r="CJ36" i="1"/>
  <c r="CJ31" i="1"/>
  <c r="CJ37" i="1"/>
  <c r="CJ32" i="1"/>
  <c r="CJ38" i="1"/>
  <c r="CJ33" i="1"/>
  <c r="CJ59" i="1"/>
  <c r="CJ95" i="1"/>
  <c r="CJ71" i="1"/>
  <c r="CJ143" i="1"/>
  <c r="CJ103" i="1"/>
  <c r="CJ119" i="1"/>
  <c r="CJ122" i="1"/>
  <c r="CJ182" i="1"/>
  <c r="CJ187" i="1"/>
  <c r="CJ219" i="1"/>
  <c r="CJ204" i="1"/>
  <c r="CJ233" i="1"/>
  <c r="CJ257" i="1"/>
  <c r="CJ271" i="1"/>
  <c r="CJ290" i="1"/>
  <c r="CJ311" i="1"/>
  <c r="CJ309" i="1"/>
  <c r="CJ330" i="1"/>
  <c r="CJ347" i="1"/>
  <c r="CJ227" i="1"/>
  <c r="CJ146" i="1"/>
  <c r="CJ72" i="1"/>
  <c r="CJ173" i="1"/>
  <c r="CJ294" i="1"/>
  <c r="CJ355" i="1"/>
  <c r="CJ326" i="1"/>
  <c r="CJ90" i="1"/>
  <c r="CJ186" i="1"/>
  <c r="CJ275" i="1"/>
  <c r="CJ41" i="1"/>
  <c r="CJ64" i="1"/>
  <c r="CJ84" i="1"/>
  <c r="CJ68" i="1"/>
  <c r="CJ139" i="1"/>
  <c r="CJ118" i="1"/>
  <c r="CJ115" i="1"/>
  <c r="CJ116" i="1"/>
  <c r="CJ176" i="1"/>
  <c r="CJ183" i="1"/>
  <c r="CJ217" i="1"/>
  <c r="CJ224" i="1"/>
  <c r="CJ234" i="1"/>
  <c r="CJ253" i="1"/>
  <c r="CJ267" i="1"/>
  <c r="CJ285" i="1"/>
  <c r="CJ304" i="1"/>
  <c r="CJ317" i="1"/>
  <c r="CJ333" i="1"/>
  <c r="CJ348" i="1"/>
  <c r="CJ296" i="1"/>
  <c r="CJ45" i="1"/>
  <c r="CJ200" i="1"/>
  <c r="CJ292" i="1"/>
  <c r="CJ229" i="1"/>
  <c r="CJ60" i="1"/>
  <c r="CJ102" i="1"/>
  <c r="CJ82" i="1"/>
  <c r="CJ121" i="1"/>
  <c r="CJ160" i="1"/>
  <c r="CJ114" i="1"/>
  <c r="CJ113" i="1"/>
  <c r="CJ181" i="1"/>
  <c r="CJ194" i="1"/>
  <c r="CJ215" i="1"/>
  <c r="CJ222" i="1"/>
  <c r="CJ244" i="1"/>
  <c r="CJ251" i="1"/>
  <c r="CJ272" i="1"/>
  <c r="CJ283" i="1"/>
  <c r="CJ302" i="1"/>
  <c r="CJ316" i="1"/>
  <c r="CJ332" i="1"/>
  <c r="CJ350" i="1"/>
  <c r="CJ8" i="1"/>
  <c r="CJ216" i="1"/>
  <c r="CJ96" i="1"/>
  <c r="CJ168" i="1"/>
  <c r="CJ214" i="1"/>
  <c r="CJ255" i="1"/>
  <c r="CJ308" i="1"/>
  <c r="CJ357" i="1"/>
  <c r="CJ63" i="1"/>
  <c r="CJ281" i="1"/>
  <c r="CJ65" i="1"/>
  <c r="CJ98" i="1"/>
  <c r="CJ94" i="1"/>
  <c r="CJ109" i="1"/>
  <c r="CJ148" i="1"/>
  <c r="CJ105" i="1"/>
  <c r="CJ112" i="1"/>
  <c r="CJ177" i="1"/>
  <c r="CJ189" i="1"/>
  <c r="CJ213" i="1"/>
  <c r="CJ220" i="1"/>
  <c r="CJ240" i="1"/>
  <c r="CJ249" i="1"/>
  <c r="CJ273" i="1"/>
  <c r="CJ284" i="1"/>
  <c r="CJ300" i="1"/>
  <c r="CJ328" i="1"/>
  <c r="CJ337" i="1"/>
  <c r="CJ349" i="1"/>
  <c r="CJ278" i="1"/>
  <c r="CJ54" i="1"/>
  <c r="CJ175" i="1"/>
  <c r="CJ248" i="1"/>
  <c r="CJ325" i="1"/>
  <c r="CJ43" i="1"/>
  <c r="CJ164" i="1"/>
  <c r="CJ324" i="1"/>
  <c r="CJ46" i="1"/>
  <c r="CJ104" i="1"/>
  <c r="CJ205" i="1"/>
  <c r="CJ314" i="1"/>
  <c r="CJ61" i="1"/>
  <c r="CJ89" i="1"/>
  <c r="CJ86" i="1"/>
  <c r="CJ133" i="1"/>
  <c r="CJ144" i="1"/>
  <c r="CJ158" i="1"/>
  <c r="CJ106" i="1"/>
  <c r="CJ171" i="1"/>
  <c r="CJ190" i="1"/>
  <c r="CJ211" i="1"/>
  <c r="CJ221" i="1"/>
  <c r="CJ241" i="1"/>
  <c r="CJ262" i="1"/>
  <c r="CJ269" i="1"/>
  <c r="CJ288" i="1"/>
  <c r="CJ303" i="1"/>
  <c r="CJ327" i="1"/>
  <c r="CJ336" i="1"/>
  <c r="CJ353" i="1"/>
  <c r="CJ321" i="1"/>
  <c r="CJ277" i="1"/>
  <c r="CJ87" i="1"/>
  <c r="CJ145" i="1"/>
  <c r="CJ264" i="1"/>
  <c r="CJ47" i="1"/>
  <c r="CJ57" i="1"/>
  <c r="CJ81" i="1"/>
  <c r="CJ91" i="1"/>
  <c r="CJ132" i="1"/>
  <c r="CJ141" i="1"/>
  <c r="CJ157" i="1"/>
  <c r="CJ108" i="1"/>
  <c r="CJ179" i="1"/>
  <c r="CJ192" i="1"/>
  <c r="CJ209" i="1"/>
  <c r="CJ223" i="1"/>
  <c r="CJ242" i="1"/>
  <c r="CJ258" i="1"/>
  <c r="CJ274" i="1"/>
  <c r="CJ287" i="1"/>
  <c r="CJ298" i="1"/>
  <c r="CJ320" i="1"/>
  <c r="CJ334" i="1"/>
  <c r="CJ352" i="1"/>
  <c r="CJ346" i="1"/>
  <c r="CJ99" i="1"/>
  <c r="CJ359" i="1"/>
  <c r="CJ97" i="1"/>
  <c r="CJ153" i="1"/>
  <c r="CJ276" i="1"/>
  <c r="CJ124" i="1"/>
  <c r="CJ66" i="1"/>
  <c r="CJ77" i="1"/>
  <c r="CJ88" i="1"/>
  <c r="CJ131" i="1"/>
  <c r="CJ138" i="1"/>
  <c r="CJ156" i="1"/>
  <c r="CJ107" i="1"/>
  <c r="CJ178" i="1"/>
  <c r="CJ193" i="1"/>
  <c r="CJ207" i="1"/>
  <c r="CJ226" i="1"/>
  <c r="CJ239" i="1"/>
  <c r="CJ254" i="1"/>
  <c r="CJ270" i="1"/>
  <c r="CJ289" i="1"/>
  <c r="CJ306" i="1"/>
  <c r="CJ322" i="1"/>
  <c r="CJ335" i="1"/>
  <c r="CJ351" i="1"/>
  <c r="CJ238" i="1"/>
  <c r="CJ78" i="1"/>
  <c r="CJ345" i="1"/>
  <c r="CJ53" i="1"/>
  <c r="CJ247" i="1"/>
  <c r="CJ134" i="1"/>
  <c r="CJ44" i="1"/>
  <c r="CJ52" i="1"/>
  <c r="CJ62" i="1"/>
  <c r="CJ76" i="1"/>
  <c r="CJ85" i="1"/>
  <c r="CJ130" i="1"/>
  <c r="CJ137" i="1"/>
  <c r="CJ155" i="1"/>
  <c r="CJ120" i="1"/>
  <c r="CJ180" i="1"/>
  <c r="CJ191" i="1"/>
  <c r="CJ203" i="1"/>
  <c r="CJ225" i="1"/>
  <c r="CJ243" i="1"/>
  <c r="CJ250" i="1"/>
  <c r="CJ268" i="1"/>
  <c r="CJ286" i="1"/>
  <c r="CJ305" i="1"/>
  <c r="CJ319" i="1"/>
  <c r="CJ338" i="1"/>
  <c r="CJ358" i="1"/>
  <c r="CJ259" i="1"/>
  <c r="CJ127" i="1"/>
  <c r="CJ230" i="1"/>
  <c r="CJ313" i="1"/>
  <c r="CJ212" i="1"/>
  <c r="CJ344" i="1"/>
  <c r="CJ39" i="1"/>
  <c r="CJ42" i="1"/>
  <c r="CJ50" i="1"/>
  <c r="CJ58" i="1"/>
  <c r="CJ74" i="1"/>
  <c r="CJ83" i="1"/>
  <c r="CJ129" i="1"/>
  <c r="CJ135" i="1"/>
  <c r="CJ150" i="1"/>
  <c r="CJ170" i="1"/>
  <c r="CJ174" i="1"/>
  <c r="CJ196" i="1"/>
  <c r="CJ218" i="1"/>
  <c r="CJ228" i="1"/>
  <c r="CJ237" i="1"/>
  <c r="CJ263" i="1"/>
  <c r="CJ266" i="1"/>
  <c r="CJ297" i="1"/>
  <c r="CJ299" i="1"/>
  <c r="CJ323" i="1"/>
  <c r="CJ339" i="1"/>
  <c r="CJ356" i="1"/>
  <c r="CJ195" i="1"/>
  <c r="CJ307" i="1"/>
  <c r="CJ354" i="1"/>
  <c r="CJ161" i="1"/>
  <c r="CJ125" i="1"/>
  <c r="CJ199" i="1"/>
  <c r="CJ343" i="1"/>
  <c r="CJ310" i="1"/>
  <c r="CJ49" i="1"/>
  <c r="CJ261" i="1"/>
  <c r="CJ51" i="1"/>
  <c r="CJ101" i="1"/>
  <c r="CJ100" i="1"/>
  <c r="CJ80" i="1"/>
  <c r="CJ128" i="1"/>
  <c r="CJ111" i="1"/>
  <c r="CJ147" i="1"/>
  <c r="CJ169" i="1"/>
  <c r="CJ172" i="1"/>
  <c r="CJ40" i="1"/>
  <c r="CJ56" i="1"/>
  <c r="CJ70" i="1"/>
  <c r="CJ93" i="1"/>
  <c r="CJ162" i="1"/>
  <c r="CJ123" i="1"/>
  <c r="CJ151" i="1"/>
  <c r="CJ140" i="1"/>
  <c r="CJ165" i="1"/>
  <c r="CJ188" i="1"/>
  <c r="CJ197" i="1"/>
  <c r="CJ210" i="1"/>
  <c r="CJ232" i="1"/>
  <c r="CJ245" i="1"/>
  <c r="CJ260" i="1"/>
  <c r="CJ280" i="1"/>
  <c r="CJ295" i="1"/>
  <c r="CJ312" i="1"/>
  <c r="CJ318" i="1"/>
  <c r="CJ342" i="1"/>
  <c r="CJ360" i="1"/>
  <c r="CJ55" i="1"/>
  <c r="CJ69" i="1"/>
  <c r="CJ79" i="1"/>
  <c r="CJ159" i="1"/>
  <c r="CJ117" i="1"/>
  <c r="CJ149" i="1"/>
  <c r="CJ136" i="1"/>
  <c r="CJ166" i="1"/>
  <c r="CJ184" i="1"/>
  <c r="CJ198" i="1"/>
  <c r="CJ208" i="1"/>
  <c r="CJ231" i="1"/>
  <c r="CJ246" i="1"/>
  <c r="CJ256" i="1"/>
  <c r="CJ279" i="1"/>
  <c r="CJ293" i="1"/>
  <c r="CJ340" i="1"/>
  <c r="CJ73" i="1"/>
  <c r="CJ167" i="1"/>
  <c r="CJ201" i="1"/>
  <c r="CJ235" i="1"/>
  <c r="CJ315" i="1"/>
  <c r="CJ48" i="1"/>
  <c r="CJ67" i="1"/>
  <c r="CJ92" i="1"/>
  <c r="CJ75" i="1"/>
  <c r="CJ154" i="1"/>
  <c r="CJ110" i="1"/>
  <c r="CJ142" i="1"/>
  <c r="CJ126" i="1"/>
  <c r="CJ163" i="1"/>
  <c r="CJ185" i="1"/>
  <c r="CJ202" i="1"/>
  <c r="CJ206" i="1"/>
  <c r="CJ236" i="1"/>
  <c r="CJ265" i="1"/>
  <c r="CJ252" i="1"/>
  <c r="CJ282" i="1"/>
  <c r="CJ291" i="1"/>
  <c r="CJ301" i="1"/>
  <c r="CJ331" i="1"/>
  <c r="CJ341" i="1"/>
  <c r="CJ9" i="1"/>
  <c r="CJ152" i="1"/>
  <c r="CJ329"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S18" i="1" l="1"/>
  <c r="BQ18" i="1" s="1"/>
  <c r="BR18" i="1" s="1"/>
  <c r="CA18" i="1"/>
  <c r="CD18" i="1"/>
  <c r="BT18" i="1"/>
  <c r="CB18" i="1"/>
  <c r="CC18" i="1"/>
  <c r="BW18" i="1"/>
  <c r="BX18" i="1"/>
  <c r="BU18" i="1"/>
  <c r="BV18" i="1"/>
  <c r="CH18" i="1"/>
  <c r="BU14" i="1"/>
  <c r="BW14" i="1"/>
  <c r="BX14" i="1"/>
  <c r="BY14" i="1"/>
  <c r="BZ14" i="1"/>
  <c r="CA14" i="1"/>
  <c r="CB14" i="1"/>
  <c r="CC14" i="1"/>
  <c r="CD14" i="1"/>
  <c r="BS14" i="1"/>
  <c r="BT14" i="1"/>
  <c r="BV14" i="1"/>
  <c r="CF14" i="1"/>
  <c r="CE14" i="1" s="1"/>
  <c r="CH14" i="1"/>
  <c r="BS11" i="1"/>
  <c r="BW11" i="1"/>
  <c r="BZ11" i="1"/>
  <c r="CC11" i="1"/>
  <c r="BU11" i="1"/>
  <c r="CF11" i="1"/>
  <c r="CE11" i="1" s="1"/>
  <c r="CH11" i="1"/>
  <c r="BV11" i="1"/>
  <c r="CD11" i="1"/>
  <c r="BX11" i="1"/>
  <c r="CB11" i="1"/>
  <c r="BT11" i="1"/>
  <c r="BY11" i="1"/>
  <c r="CA11" i="1"/>
  <c r="CF12" i="1"/>
  <c r="CE12" i="1" s="1"/>
  <c r="CH12" i="1"/>
  <c r="BT12" i="1"/>
  <c r="BW12" i="1"/>
  <c r="BZ12" i="1"/>
  <c r="BS12" i="1"/>
  <c r="BU12" i="1"/>
  <c r="BX12" i="1"/>
  <c r="CA12" i="1"/>
  <c r="CB12" i="1"/>
  <c r="CD12" i="1"/>
  <c r="BV12" i="1"/>
  <c r="BY12" i="1"/>
  <c r="CC12" i="1"/>
  <c r="CF15" i="1"/>
  <c r="CE15" i="1" s="1"/>
  <c r="BT15" i="1"/>
  <c r="BW15" i="1"/>
  <c r="BX15" i="1"/>
  <c r="BY15" i="1"/>
  <c r="CA15" i="1"/>
  <c r="CD15" i="1"/>
  <c r="CH15" i="1"/>
  <c r="CB15" i="1"/>
  <c r="BS15" i="1"/>
  <c r="BU15" i="1"/>
  <c r="BV15" i="1"/>
  <c r="BZ15" i="1"/>
  <c r="CC15" i="1"/>
  <c r="BS13" i="1"/>
  <c r="BY13" i="1"/>
  <c r="CD13" i="1"/>
  <c r="BU13" i="1"/>
  <c r="BX13" i="1"/>
  <c r="BZ13" i="1"/>
  <c r="CA13" i="1"/>
  <c r="CB13" i="1"/>
  <c r="CC13" i="1"/>
  <c r="BT13" i="1"/>
  <c r="BW13" i="1"/>
  <c r="CF13" i="1"/>
  <c r="CE13" i="1" s="1"/>
  <c r="CH13" i="1"/>
  <c r="BV13" i="1"/>
  <c r="CF10" i="1"/>
  <c r="CE10" i="1" s="1"/>
  <c r="BU10" i="1"/>
  <c r="BY10" i="1"/>
  <c r="BV10" i="1"/>
  <c r="BX10" i="1"/>
  <c r="CB10" i="1"/>
  <c r="CC10" i="1"/>
  <c r="BT10" i="1"/>
  <c r="BW10" i="1"/>
  <c r="BZ10" i="1"/>
  <c r="CD10" i="1"/>
  <c r="CH10" i="1"/>
  <c r="BS10" i="1"/>
  <c r="CA10" i="1"/>
  <c r="BZ18" i="1"/>
  <c r="BY18" i="1"/>
  <c r="CF17" i="1"/>
  <c r="CE17" i="1" s="1"/>
  <c r="CH17" i="1"/>
  <c r="BS17" i="1"/>
  <c r="BT17" i="1"/>
  <c r="BU17" i="1"/>
  <c r="BV17" i="1"/>
  <c r="BW17" i="1"/>
  <c r="BX17" i="1"/>
  <c r="BY17" i="1"/>
  <c r="BZ17" i="1"/>
  <c r="CA17" i="1"/>
  <c r="CB17" i="1"/>
  <c r="CC17" i="1"/>
  <c r="CD17" i="1"/>
  <c r="BS16" i="1"/>
  <c r="BY16" i="1"/>
  <c r="CA16" i="1"/>
  <c r="CC16" i="1"/>
  <c r="BU16" i="1"/>
  <c r="BX16" i="1"/>
  <c r="BZ16" i="1"/>
  <c r="CD16" i="1"/>
  <c r="CH16" i="1"/>
  <c r="BT16" i="1"/>
  <c r="CB16" i="1"/>
  <c r="BV16" i="1"/>
  <c r="BW16" i="1"/>
  <c r="CF16" i="1"/>
  <c r="CE16" i="1" s="1"/>
  <c r="CG18" i="1"/>
  <c r="CR18" i="1"/>
  <c r="BO18" i="1"/>
  <c r="BP18" i="1" s="1"/>
  <c r="CH21" i="1"/>
  <c r="CF21" i="1"/>
  <c r="CE21" i="1" s="1"/>
  <c r="CD21" i="1"/>
  <c r="CC21" i="1"/>
  <c r="CB21" i="1"/>
  <c r="CA21" i="1"/>
  <c r="BZ21" i="1"/>
  <c r="BY21" i="1"/>
  <c r="BX21" i="1"/>
  <c r="BW21" i="1"/>
  <c r="BV21" i="1"/>
  <c r="BU21" i="1"/>
  <c r="BS21" i="1"/>
  <c r="BT21" i="1"/>
  <c r="CD20" i="1"/>
  <c r="CC20" i="1"/>
  <c r="CB20" i="1"/>
  <c r="CA20" i="1"/>
  <c r="BZ20" i="1"/>
  <c r="BY20" i="1"/>
  <c r="BX20" i="1"/>
  <c r="BW20" i="1"/>
  <c r="BV20" i="1"/>
  <c r="BU20" i="1"/>
  <c r="BT20" i="1"/>
  <c r="BS20" i="1"/>
  <c r="CH20" i="1"/>
  <c r="CF20" i="1"/>
  <c r="CE20" i="1" s="1"/>
  <c r="CB19" i="1"/>
  <c r="CA19" i="1"/>
  <c r="BZ19" i="1"/>
  <c r="BY19" i="1"/>
  <c r="BX19" i="1"/>
  <c r="BW19" i="1"/>
  <c r="BV19" i="1"/>
  <c r="BU19" i="1"/>
  <c r="BT19" i="1"/>
  <c r="BS19" i="1"/>
  <c r="CH19" i="1"/>
  <c r="CF19" i="1"/>
  <c r="CE19" i="1" s="1"/>
  <c r="CC19" i="1"/>
  <c r="CD19" i="1"/>
  <c r="CC23" i="1"/>
  <c r="CB23" i="1"/>
  <c r="CA23" i="1"/>
  <c r="BZ23" i="1"/>
  <c r="BY23" i="1"/>
  <c r="BX23" i="1"/>
  <c r="BW23" i="1"/>
  <c r="CH23" i="1"/>
  <c r="BV23" i="1"/>
  <c r="BU23" i="1"/>
  <c r="CF23" i="1"/>
  <c r="CE23" i="1" s="1"/>
  <c r="BT23" i="1"/>
  <c r="BS23" i="1"/>
  <c r="CD23" i="1"/>
  <c r="BZ22" i="1"/>
  <c r="BY22" i="1"/>
  <c r="BX22" i="1"/>
  <c r="BW22" i="1"/>
  <c r="CH22" i="1"/>
  <c r="BV22" i="1"/>
  <c r="BU22" i="1"/>
  <c r="CF22" i="1"/>
  <c r="CE22" i="1" s="1"/>
  <c r="BT22" i="1"/>
  <c r="BS22" i="1"/>
  <c r="CD22" i="1"/>
  <c r="CC22" i="1"/>
  <c r="CB22" i="1"/>
  <c r="CA22" i="1"/>
  <c r="BZ26" i="1"/>
  <c r="BY26" i="1"/>
  <c r="BX26" i="1"/>
  <c r="BW26" i="1"/>
  <c r="CH26" i="1"/>
  <c r="BV26" i="1"/>
  <c r="BU26" i="1"/>
  <c r="CF26" i="1"/>
  <c r="CE26" i="1" s="1"/>
  <c r="BT26" i="1"/>
  <c r="BS26" i="1"/>
  <c r="CD26" i="1"/>
  <c r="CC26" i="1"/>
  <c r="CA26" i="1"/>
  <c r="CB26" i="1"/>
  <c r="BW25" i="1"/>
  <c r="CH25" i="1"/>
  <c r="BV25" i="1"/>
  <c r="BU25" i="1"/>
  <c r="CF25" i="1"/>
  <c r="CE25" i="1" s="1"/>
  <c r="BT25" i="1"/>
  <c r="BS25" i="1"/>
  <c r="CD25" i="1"/>
  <c r="CC25" i="1"/>
  <c r="CB25" i="1"/>
  <c r="CA25" i="1"/>
  <c r="BZ25" i="1"/>
  <c r="BY25" i="1"/>
  <c r="BX25" i="1"/>
  <c r="CF24" i="1"/>
  <c r="CE24" i="1" s="1"/>
  <c r="BT24" i="1"/>
  <c r="BS24" i="1"/>
  <c r="CD24" i="1"/>
  <c r="CC24" i="1"/>
  <c r="CB24" i="1"/>
  <c r="CA24" i="1"/>
  <c r="BZ24" i="1"/>
  <c r="BY24" i="1"/>
  <c r="BX24" i="1"/>
  <c r="BW24" i="1"/>
  <c r="CH24" i="1"/>
  <c r="BV24" i="1"/>
  <c r="BU24" i="1"/>
  <c r="BZ27" i="1"/>
  <c r="BY27" i="1"/>
  <c r="BX27" i="1"/>
  <c r="BW27" i="1"/>
  <c r="CH27" i="1"/>
  <c r="BV27" i="1"/>
  <c r="BU27" i="1"/>
  <c r="CF27" i="1"/>
  <c r="CE27" i="1" s="1"/>
  <c r="BT27" i="1"/>
  <c r="BS27" i="1"/>
  <c r="CD27" i="1"/>
  <c r="CC27" i="1"/>
  <c r="CA27" i="1"/>
  <c r="CB27"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4" i="1" l="1"/>
  <c r="BR14" i="1" s="1"/>
  <c r="BO14" i="1"/>
  <c r="BP14" i="1" s="1"/>
  <c r="CR14" i="1"/>
  <c r="CG14" i="1"/>
  <c r="BQ11" i="1"/>
  <c r="BR11" i="1" s="1"/>
  <c r="BO11" i="1"/>
  <c r="BP11" i="1" s="1"/>
  <c r="CG11" i="1"/>
  <c r="CR11" i="1"/>
  <c r="CR12" i="1"/>
  <c r="CG12" i="1"/>
  <c r="BQ12" i="1"/>
  <c r="BR12" i="1" s="1"/>
  <c r="BO12" i="1"/>
  <c r="BP12" i="1" s="1"/>
  <c r="CR15" i="1"/>
  <c r="CG15" i="1"/>
  <c r="BQ15" i="1"/>
  <c r="BR15" i="1" s="1"/>
  <c r="BO15" i="1"/>
  <c r="BP15" i="1" s="1"/>
  <c r="BQ13" i="1"/>
  <c r="BR13" i="1" s="1"/>
  <c r="BO13" i="1"/>
  <c r="BP13" i="1" s="1"/>
  <c r="CR13" i="1"/>
  <c r="CG13" i="1"/>
  <c r="CR10" i="1"/>
  <c r="CG10" i="1"/>
  <c r="BO10" i="1"/>
  <c r="BP10" i="1" s="1"/>
  <c r="BQ10" i="1"/>
  <c r="BR10" i="1" s="1"/>
  <c r="CN14" i="1"/>
  <c r="CN13" i="1"/>
  <c r="CN11" i="1"/>
  <c r="CN15" i="1"/>
  <c r="CN12" i="1"/>
  <c r="CN10" i="1"/>
  <c r="CG17" i="1"/>
  <c r="CR17" i="1"/>
  <c r="BO17" i="1"/>
  <c r="BP17" i="1" s="1"/>
  <c r="BQ17" i="1"/>
  <c r="BR17" i="1" s="1"/>
  <c r="BO16" i="1"/>
  <c r="BP16" i="1" s="1"/>
  <c r="BQ16" i="1"/>
  <c r="BR16" i="1" s="1"/>
  <c r="CG16" i="1"/>
  <c r="CR16" i="1"/>
  <c r="CN18" i="1"/>
  <c r="CN17" i="1"/>
  <c r="CN16" i="1"/>
  <c r="BO19" i="1"/>
  <c r="BP19" i="1" s="1"/>
  <c r="BQ19" i="1"/>
  <c r="BR19" i="1" s="1"/>
  <c r="BQ21" i="1"/>
  <c r="BR21" i="1" s="1"/>
  <c r="BO21" i="1"/>
  <c r="BP21" i="1" s="1"/>
  <c r="CR20" i="1"/>
  <c r="CG20" i="1"/>
  <c r="CN19" i="1"/>
  <c r="CN20" i="1"/>
  <c r="CN21" i="1"/>
  <c r="BO20" i="1"/>
  <c r="BP20" i="1" s="1"/>
  <c r="BQ20" i="1"/>
  <c r="BR20" i="1" s="1"/>
  <c r="CR19" i="1"/>
  <c r="CG19" i="1"/>
  <c r="CG21" i="1"/>
  <c r="CR21" i="1"/>
  <c r="CN23" i="1"/>
  <c r="CN24" i="1"/>
  <c r="CN25" i="1"/>
  <c r="CN26" i="1"/>
  <c r="CN22" i="1"/>
  <c r="CG26" i="1"/>
  <c r="CR26" i="1"/>
  <c r="CG22" i="1"/>
  <c r="CR22" i="1"/>
  <c r="CG23" i="1"/>
  <c r="CR23" i="1"/>
  <c r="BQ24" i="1"/>
  <c r="BR24" i="1" s="1"/>
  <c r="BO24" i="1"/>
  <c r="BP24" i="1" s="1"/>
  <c r="BQ25" i="1"/>
  <c r="BR25" i="1" s="1"/>
  <c r="BO25" i="1"/>
  <c r="BP25" i="1" s="1"/>
  <c r="CR24" i="1"/>
  <c r="CG24" i="1"/>
  <c r="BQ26" i="1"/>
  <c r="BR26" i="1" s="1"/>
  <c r="BO26" i="1"/>
  <c r="BP26" i="1" s="1"/>
  <c r="CG25" i="1"/>
  <c r="CR25" i="1"/>
  <c r="BQ22" i="1"/>
  <c r="BR22" i="1" s="1"/>
  <c r="BO22" i="1"/>
  <c r="BP22" i="1" s="1"/>
  <c r="BQ23" i="1"/>
  <c r="BR23" i="1" s="1"/>
  <c r="BO23" i="1"/>
  <c r="BP23" i="1" s="1"/>
  <c r="CG27" i="1"/>
  <c r="CR27" i="1"/>
  <c r="CN27" i="1"/>
  <c r="BQ27" i="1"/>
  <c r="BR27" i="1" s="1"/>
  <c r="BO27" i="1"/>
  <c r="BP27" i="1" s="1"/>
  <c r="CN35" i="1"/>
  <c r="CI35" i="1" s="1"/>
  <c r="CN30" i="1"/>
  <c r="CI30" i="1" s="1"/>
  <c r="CN36" i="1"/>
  <c r="CI36" i="1" s="1"/>
  <c r="CN31" i="1"/>
  <c r="CI31" i="1" s="1"/>
  <c r="CN37" i="1"/>
  <c r="CI37" i="1" s="1"/>
  <c r="CN32" i="1"/>
  <c r="CI32" i="1" s="1"/>
  <c r="CN38" i="1"/>
  <c r="CI38" i="1" s="1"/>
  <c r="CN33" i="1"/>
  <c r="CI33" i="1" s="1"/>
  <c r="CN28" i="1"/>
  <c r="CI28" i="1" s="1"/>
  <c r="CN34" i="1"/>
  <c r="CI34" i="1" s="1"/>
  <c r="CN29" i="1"/>
  <c r="CI29" i="1" s="1"/>
  <c r="CN46" i="1"/>
  <c r="CI46" i="1" s="1"/>
  <c r="CN41" i="1"/>
  <c r="CI41" i="1" s="1"/>
  <c r="CN47" i="1"/>
  <c r="CI47" i="1" s="1"/>
  <c r="CN42" i="1"/>
  <c r="CI42" i="1" s="1"/>
  <c r="CN44" i="1"/>
  <c r="CI44" i="1" s="1"/>
  <c r="CN40" i="1"/>
  <c r="CI40" i="1" s="1"/>
  <c r="CN48" i="1"/>
  <c r="CI48" i="1" s="1"/>
  <c r="CN43" i="1"/>
  <c r="CI43" i="1" s="1"/>
  <c r="CN49" i="1"/>
  <c r="CI49" i="1" s="1"/>
  <c r="CN39" i="1"/>
  <c r="CI39" i="1" s="1"/>
  <c r="CN45" i="1"/>
  <c r="CI45" i="1" s="1"/>
  <c r="CN50" i="1"/>
  <c r="CI50" i="1" s="1"/>
  <c r="CN51" i="1"/>
  <c r="CI51" i="1" s="1"/>
  <c r="CN52" i="1"/>
  <c r="CI52" i="1" s="1"/>
  <c r="CN53" i="1"/>
  <c r="CI53" i="1" s="1"/>
  <c r="CN54" i="1"/>
  <c r="CI54" i="1" s="1"/>
  <c r="CN55" i="1"/>
  <c r="CI55" i="1" s="1"/>
  <c r="CN56" i="1"/>
  <c r="CI56" i="1" s="1"/>
  <c r="CN64" i="1"/>
  <c r="CI64" i="1" s="1"/>
  <c r="CN60" i="1"/>
  <c r="CI60" i="1" s="1"/>
  <c r="CN65" i="1"/>
  <c r="CI65" i="1" s="1"/>
  <c r="CN61" i="1"/>
  <c r="CI61" i="1" s="1"/>
  <c r="CN57" i="1"/>
  <c r="CI57" i="1" s="1"/>
  <c r="CN66" i="1"/>
  <c r="CI66" i="1" s="1"/>
  <c r="CN62" i="1"/>
  <c r="CI62" i="1" s="1"/>
  <c r="CN58" i="1"/>
  <c r="CI58" i="1" s="1"/>
  <c r="CN67" i="1"/>
  <c r="CI67" i="1" s="1"/>
  <c r="CN63" i="1"/>
  <c r="CI63" i="1" s="1"/>
  <c r="CN59" i="1"/>
  <c r="CI59" i="1" s="1"/>
  <c r="CN97" i="1"/>
  <c r="CI97" i="1" s="1"/>
  <c r="CN94" i="1"/>
  <c r="CI94" i="1" s="1"/>
  <c r="CN88" i="1"/>
  <c r="CI88" i="1" s="1"/>
  <c r="CH88" i="1" s="1"/>
  <c r="CN87" i="1"/>
  <c r="CI87" i="1" s="1"/>
  <c r="CN84" i="1"/>
  <c r="CI84" i="1" s="1"/>
  <c r="CN82" i="1"/>
  <c r="CI82" i="1" s="1"/>
  <c r="CN81" i="1"/>
  <c r="CI81" i="1" s="1"/>
  <c r="CN69" i="1"/>
  <c r="CI69" i="1" s="1"/>
  <c r="CH69" i="1" s="1"/>
  <c r="CN98" i="1"/>
  <c r="CI98" i="1" s="1"/>
  <c r="CN96" i="1"/>
  <c r="CI96" i="1" s="1"/>
  <c r="CH96" i="1" s="1"/>
  <c r="CN85" i="1"/>
  <c r="CI85" i="1" s="1"/>
  <c r="CN80" i="1"/>
  <c r="CI80" i="1" s="1"/>
  <c r="CN79" i="1"/>
  <c r="CI79" i="1" s="1"/>
  <c r="CN74" i="1"/>
  <c r="CI74" i="1" s="1"/>
  <c r="CN71" i="1"/>
  <c r="CI71" i="1" s="1"/>
  <c r="CN68" i="1"/>
  <c r="CI68" i="1" s="1"/>
  <c r="CN100" i="1"/>
  <c r="CI100" i="1" s="1"/>
  <c r="CN93" i="1"/>
  <c r="CI93" i="1" s="1"/>
  <c r="CN91" i="1"/>
  <c r="CI91" i="1" s="1"/>
  <c r="CN90" i="1"/>
  <c r="CI90" i="1" s="1"/>
  <c r="CN76" i="1"/>
  <c r="CI76" i="1" s="1"/>
  <c r="CN99" i="1"/>
  <c r="CI99" i="1" s="1"/>
  <c r="CN95" i="1"/>
  <c r="CI95" i="1" s="1"/>
  <c r="CN92" i="1"/>
  <c r="CI92" i="1" s="1"/>
  <c r="CN75" i="1"/>
  <c r="CI75" i="1" s="1"/>
  <c r="CH75" i="1" s="1"/>
  <c r="CN70" i="1"/>
  <c r="CI70" i="1" s="1"/>
  <c r="CN102" i="1"/>
  <c r="CI102" i="1" s="1"/>
  <c r="CN72" i="1"/>
  <c r="CI72" i="1" s="1"/>
  <c r="CN101" i="1"/>
  <c r="CI101" i="1" s="1"/>
  <c r="CN86" i="1"/>
  <c r="CI86" i="1" s="1"/>
  <c r="CN73" i="1"/>
  <c r="CI73" i="1" s="1"/>
  <c r="CN89" i="1"/>
  <c r="CI89" i="1" s="1"/>
  <c r="CH89" i="1" s="1"/>
  <c r="CN83" i="1"/>
  <c r="CI83" i="1" s="1"/>
  <c r="CN78" i="1"/>
  <c r="CI78" i="1" s="1"/>
  <c r="CN77" i="1"/>
  <c r="CI77" i="1" s="1"/>
  <c r="CN162" i="1"/>
  <c r="CI162" i="1" s="1"/>
  <c r="CN139" i="1"/>
  <c r="CI139" i="1" s="1"/>
  <c r="CN137" i="1"/>
  <c r="CI137" i="1" s="1"/>
  <c r="CN134" i="1"/>
  <c r="CI134" i="1" s="1"/>
  <c r="CN122" i="1"/>
  <c r="CI122" i="1" s="1"/>
  <c r="CN121" i="1"/>
  <c r="CI121" i="1" s="1"/>
  <c r="CN120" i="1"/>
  <c r="CI120" i="1" s="1"/>
  <c r="CN117" i="1"/>
  <c r="CI117" i="1" s="1"/>
  <c r="CH117" i="1" s="1"/>
  <c r="CN111" i="1"/>
  <c r="CI111" i="1" s="1"/>
  <c r="CN109" i="1"/>
  <c r="CI109" i="1" s="1"/>
  <c r="CN133" i="1"/>
  <c r="CI133" i="1" s="1"/>
  <c r="CN132" i="1"/>
  <c r="CI132" i="1" s="1"/>
  <c r="CN131" i="1"/>
  <c r="CI131" i="1" s="1"/>
  <c r="CN130" i="1"/>
  <c r="CI130" i="1" s="1"/>
  <c r="CH130" i="1" s="1"/>
  <c r="CN129" i="1"/>
  <c r="CI129" i="1" s="1"/>
  <c r="CN128" i="1"/>
  <c r="CI128" i="1" s="1"/>
  <c r="CH128" i="1" s="1"/>
  <c r="CN127" i="1"/>
  <c r="CI127" i="1" s="1"/>
  <c r="CN126" i="1"/>
  <c r="CI126" i="1" s="1"/>
  <c r="CN124" i="1"/>
  <c r="CI124" i="1" s="1"/>
  <c r="CN119" i="1"/>
  <c r="CI119" i="1" s="1"/>
  <c r="CN103" i="1"/>
  <c r="CI103" i="1" s="1"/>
  <c r="CN110" i="1"/>
  <c r="CI110" i="1" s="1"/>
  <c r="CN160" i="1"/>
  <c r="CI160" i="1" s="1"/>
  <c r="CN154" i="1"/>
  <c r="CI154" i="1" s="1"/>
  <c r="CN143" i="1"/>
  <c r="CI143" i="1" s="1"/>
  <c r="CN141" i="1"/>
  <c r="CI141" i="1" s="1"/>
  <c r="CN161" i="1"/>
  <c r="CI161" i="1" s="1"/>
  <c r="CN159" i="1"/>
  <c r="CI159" i="1" s="1"/>
  <c r="CN153" i="1"/>
  <c r="CI153" i="1" s="1"/>
  <c r="CN152" i="1"/>
  <c r="CI152" i="1" s="1"/>
  <c r="CN151" i="1"/>
  <c r="CI151" i="1" s="1"/>
  <c r="CH151" i="1" s="1"/>
  <c r="CN142" i="1"/>
  <c r="CI142" i="1" s="1"/>
  <c r="CN123" i="1"/>
  <c r="CI123" i="1" s="1"/>
  <c r="CN114" i="1"/>
  <c r="CI114" i="1" s="1"/>
  <c r="CN158" i="1"/>
  <c r="CI158" i="1" s="1"/>
  <c r="CN157" i="1"/>
  <c r="CI157" i="1" s="1"/>
  <c r="CN155" i="1"/>
  <c r="CI155" i="1" s="1"/>
  <c r="CH155" i="1" s="1"/>
  <c r="CN149" i="1"/>
  <c r="CI149" i="1" s="1"/>
  <c r="CN147" i="1"/>
  <c r="CI147" i="1" s="1"/>
  <c r="CN146" i="1"/>
  <c r="CI146" i="1" s="1"/>
  <c r="CN145" i="1"/>
  <c r="CI145" i="1" s="1"/>
  <c r="CN144" i="1"/>
  <c r="CI144" i="1" s="1"/>
  <c r="CN140" i="1"/>
  <c r="CI140" i="1" s="1"/>
  <c r="CN138" i="1"/>
  <c r="CI138" i="1" s="1"/>
  <c r="CN136" i="1"/>
  <c r="CI136" i="1" s="1"/>
  <c r="CN135" i="1"/>
  <c r="CI135" i="1" s="1"/>
  <c r="CN125" i="1"/>
  <c r="CI125" i="1" s="1"/>
  <c r="CN116" i="1"/>
  <c r="CI116" i="1" s="1"/>
  <c r="CH116" i="1" s="1"/>
  <c r="CN113" i="1"/>
  <c r="CI113" i="1" s="1"/>
  <c r="CH113" i="1" s="1"/>
  <c r="CN112" i="1"/>
  <c r="CI112" i="1" s="1"/>
  <c r="CN106" i="1"/>
  <c r="CI106" i="1" s="1"/>
  <c r="CN156" i="1"/>
  <c r="CI156" i="1" s="1"/>
  <c r="CN108" i="1"/>
  <c r="CI108" i="1" s="1"/>
  <c r="CN105" i="1"/>
  <c r="CI105" i="1" s="1"/>
  <c r="CN104" i="1"/>
  <c r="CI104" i="1" s="1"/>
  <c r="CN150" i="1"/>
  <c r="CI150" i="1" s="1"/>
  <c r="CN148" i="1"/>
  <c r="CI148" i="1" s="1"/>
  <c r="CN115" i="1"/>
  <c r="CI115" i="1" s="1"/>
  <c r="CN118" i="1"/>
  <c r="CI118" i="1" s="1"/>
  <c r="CN107" i="1"/>
  <c r="CI107" i="1" s="1"/>
  <c r="CN165" i="1"/>
  <c r="CI165" i="1" s="1"/>
  <c r="CN164" i="1"/>
  <c r="CI164" i="1" s="1"/>
  <c r="CN167" i="1"/>
  <c r="CI167" i="1" s="1"/>
  <c r="CN166" i="1"/>
  <c r="CI166" i="1" s="1"/>
  <c r="CN163" i="1"/>
  <c r="CI163" i="1" s="1"/>
  <c r="CN168" i="1"/>
  <c r="CI168" i="1" s="1"/>
  <c r="CN170" i="1"/>
  <c r="CI170" i="1" s="1"/>
  <c r="CN169" i="1"/>
  <c r="CI169" i="1" s="1"/>
  <c r="CN179" i="1"/>
  <c r="CI179" i="1" s="1"/>
  <c r="CN180" i="1"/>
  <c r="CI180" i="1" s="1"/>
  <c r="CN181" i="1"/>
  <c r="CI181" i="1" s="1"/>
  <c r="CN174" i="1"/>
  <c r="CI174" i="1" s="1"/>
  <c r="CN176" i="1"/>
  <c r="CI176" i="1" s="1"/>
  <c r="CN182" i="1"/>
  <c r="CI182" i="1" s="1"/>
  <c r="CN171" i="1"/>
  <c r="CI171" i="1" s="1"/>
  <c r="CN173" i="1"/>
  <c r="CI173" i="1" s="1"/>
  <c r="CN172" i="1"/>
  <c r="CI172" i="1" s="1"/>
  <c r="CN175" i="1"/>
  <c r="CI175" i="1" s="1"/>
  <c r="CN178" i="1"/>
  <c r="CI178" i="1" s="1"/>
  <c r="CN177" i="1"/>
  <c r="CI177" i="1" s="1"/>
  <c r="CN186" i="1"/>
  <c r="CI186" i="1" s="1"/>
  <c r="CN187" i="1"/>
  <c r="CI187" i="1" s="1"/>
  <c r="CN185" i="1"/>
  <c r="CI185" i="1" s="1"/>
  <c r="CN183" i="1"/>
  <c r="CI183" i="1" s="1"/>
  <c r="CN188" i="1"/>
  <c r="CI188" i="1" s="1"/>
  <c r="CN184" i="1"/>
  <c r="CI184" i="1" s="1"/>
  <c r="CN191" i="1"/>
  <c r="CI191" i="1" s="1"/>
  <c r="CN190" i="1"/>
  <c r="CI190" i="1" s="1"/>
  <c r="CN189" i="1"/>
  <c r="CI189" i="1" s="1"/>
  <c r="CN193" i="1"/>
  <c r="CI193" i="1" s="1"/>
  <c r="CN192" i="1"/>
  <c r="CI192" i="1" s="1"/>
  <c r="CN194" i="1"/>
  <c r="CI194" i="1" s="1"/>
  <c r="CN195" i="1"/>
  <c r="CI195" i="1" s="1"/>
  <c r="CN196" i="1"/>
  <c r="CI196" i="1" s="1"/>
  <c r="CN199" i="1"/>
  <c r="CI199" i="1" s="1"/>
  <c r="CN198" i="1"/>
  <c r="CI198" i="1" s="1"/>
  <c r="CN197" i="1"/>
  <c r="CI197" i="1" s="1"/>
  <c r="CN200" i="1"/>
  <c r="CI200" i="1" s="1"/>
  <c r="CN201" i="1"/>
  <c r="CI201" i="1" s="1"/>
  <c r="CN202" i="1"/>
  <c r="CI202" i="1" s="1"/>
  <c r="CN212" i="1"/>
  <c r="CI212" i="1" s="1"/>
  <c r="CN205" i="1"/>
  <c r="CI205" i="1" s="1"/>
  <c r="CN210" i="1"/>
  <c r="CI210" i="1" s="1"/>
  <c r="CN206" i="1"/>
  <c r="CI206" i="1" s="1"/>
  <c r="CN213" i="1"/>
  <c r="CI213" i="1" s="1"/>
  <c r="CN211" i="1"/>
  <c r="CI211" i="1" s="1"/>
  <c r="CN207" i="1"/>
  <c r="CI207" i="1" s="1"/>
  <c r="CN218" i="1"/>
  <c r="CI218" i="1" s="1"/>
  <c r="CN204" i="1"/>
  <c r="CI204" i="1" s="1"/>
  <c r="CN216" i="1"/>
  <c r="CI216" i="1" s="1"/>
  <c r="CN219" i="1"/>
  <c r="CI219" i="1" s="1"/>
  <c r="CN217" i="1"/>
  <c r="CI217" i="1" s="1"/>
  <c r="CN215" i="1"/>
  <c r="CI215" i="1" s="1"/>
  <c r="CN214" i="1"/>
  <c r="CI214" i="1" s="1"/>
  <c r="CN208" i="1"/>
  <c r="CI208" i="1" s="1"/>
  <c r="CN203" i="1"/>
  <c r="CI203" i="1" s="1"/>
  <c r="CN209" i="1"/>
  <c r="CI209" i="1" s="1"/>
  <c r="CN222" i="1"/>
  <c r="CI222" i="1" s="1"/>
  <c r="CN220" i="1"/>
  <c r="CI220" i="1" s="1"/>
  <c r="CN221" i="1"/>
  <c r="CI221" i="1" s="1"/>
  <c r="CN223" i="1"/>
  <c r="CI223" i="1" s="1"/>
  <c r="CN224" i="1"/>
  <c r="CI224" i="1" s="1"/>
  <c r="CN225" i="1"/>
  <c r="CI225" i="1" s="1"/>
  <c r="CN226" i="1"/>
  <c r="CI226" i="1" s="1"/>
  <c r="CN228" i="1"/>
  <c r="CI228" i="1" s="1"/>
  <c r="CN227" i="1"/>
  <c r="CI227" i="1" s="1"/>
  <c r="CN230" i="1"/>
  <c r="CI230" i="1" s="1"/>
  <c r="CN229" i="1"/>
  <c r="CI229" i="1" s="1"/>
  <c r="CN232" i="1"/>
  <c r="CI232" i="1" s="1"/>
  <c r="CN231" i="1"/>
  <c r="CI231" i="1" s="1"/>
  <c r="CN236" i="1"/>
  <c r="CI236" i="1" s="1"/>
  <c r="CN233" i="1"/>
  <c r="CI233" i="1" s="1"/>
  <c r="CN234" i="1"/>
  <c r="CI234" i="1" s="1"/>
  <c r="CN235" i="1"/>
  <c r="CI235" i="1" s="1"/>
  <c r="CN239" i="1"/>
  <c r="CI239" i="1" s="1"/>
  <c r="CN238" i="1"/>
  <c r="CI238" i="1" s="1"/>
  <c r="CN237" i="1"/>
  <c r="CI237" i="1" s="1"/>
  <c r="CN243" i="1"/>
  <c r="CI243" i="1" s="1"/>
  <c r="CN242" i="1"/>
  <c r="CI242" i="1" s="1"/>
  <c r="CN241" i="1"/>
  <c r="CI241" i="1" s="1"/>
  <c r="CN240" i="1"/>
  <c r="CI240" i="1" s="1"/>
  <c r="CN244" i="1"/>
  <c r="CI244" i="1" s="1"/>
  <c r="CN247" i="1"/>
  <c r="CI247" i="1" s="1"/>
  <c r="CN246" i="1"/>
  <c r="CI246" i="1" s="1"/>
  <c r="CN245" i="1"/>
  <c r="CI245" i="1" s="1"/>
  <c r="CN248" i="1"/>
  <c r="CI248" i="1" s="1"/>
  <c r="CN250" i="1"/>
  <c r="CI250" i="1" s="1"/>
  <c r="CN263" i="1"/>
  <c r="CI263" i="1" s="1"/>
  <c r="CN264" i="1"/>
  <c r="CI264" i="1" s="1"/>
  <c r="CN256" i="1"/>
  <c r="CI256" i="1" s="1"/>
  <c r="CN255" i="1"/>
  <c r="CI255" i="1" s="1"/>
  <c r="CN254" i="1"/>
  <c r="CI254" i="1" s="1"/>
  <c r="CN253" i="1"/>
  <c r="CI253" i="1" s="1"/>
  <c r="CN252" i="1"/>
  <c r="CI252" i="1" s="1"/>
  <c r="CN251" i="1"/>
  <c r="CI251" i="1" s="1"/>
  <c r="CN261" i="1"/>
  <c r="CI261" i="1" s="1"/>
  <c r="CN260" i="1"/>
  <c r="CI260" i="1" s="1"/>
  <c r="CN257" i="1"/>
  <c r="CI257" i="1" s="1"/>
  <c r="CN262" i="1"/>
  <c r="CI262" i="1" s="1"/>
  <c r="CN259" i="1"/>
  <c r="CI259" i="1" s="1"/>
  <c r="CN258" i="1"/>
  <c r="CI258" i="1" s="1"/>
  <c r="CN265" i="1"/>
  <c r="CI265" i="1" s="1"/>
  <c r="CN249" i="1"/>
  <c r="CI249" i="1" s="1"/>
  <c r="CN268" i="1"/>
  <c r="CI268" i="1" s="1"/>
  <c r="CN271" i="1"/>
  <c r="CI271" i="1" s="1"/>
  <c r="CN266" i="1"/>
  <c r="CI266" i="1" s="1"/>
  <c r="CN267" i="1"/>
  <c r="CI267" i="1" s="1"/>
  <c r="CN274" i="1"/>
  <c r="CI274" i="1" s="1"/>
  <c r="CN273" i="1"/>
  <c r="CI273" i="1" s="1"/>
  <c r="CN272" i="1"/>
  <c r="CI272" i="1" s="1"/>
  <c r="CN270" i="1"/>
  <c r="CI270" i="1" s="1"/>
  <c r="CN269" i="1"/>
  <c r="CI269" i="1" s="1"/>
  <c r="CN275" i="1"/>
  <c r="CI275" i="1" s="1"/>
  <c r="CN277" i="1"/>
  <c r="CI277" i="1" s="1"/>
  <c r="CN276" i="1"/>
  <c r="CI276" i="1" s="1"/>
  <c r="CN278" i="1"/>
  <c r="CI278" i="1" s="1"/>
  <c r="CN279" i="1"/>
  <c r="CI279" i="1" s="1"/>
  <c r="CN280" i="1"/>
  <c r="CI280" i="1" s="1"/>
  <c r="CN282" i="1"/>
  <c r="CI282" i="1" s="1"/>
  <c r="CN281" i="1"/>
  <c r="CI281" i="1" s="1"/>
  <c r="CN286" i="1"/>
  <c r="CI286" i="1" s="1"/>
  <c r="CN283" i="1"/>
  <c r="CI283" i="1" s="1"/>
  <c r="CN288" i="1"/>
  <c r="CI288" i="1" s="1"/>
  <c r="CN289" i="1"/>
  <c r="CI289" i="1" s="1"/>
  <c r="CN285" i="1"/>
  <c r="CI285" i="1" s="1"/>
  <c r="CN290" i="1"/>
  <c r="CI290" i="1" s="1"/>
  <c r="CN287" i="1"/>
  <c r="CI287" i="1" s="1"/>
  <c r="CN284" i="1"/>
  <c r="CI284" i="1" s="1"/>
  <c r="CN297" i="1"/>
  <c r="CI297" i="1" s="1"/>
  <c r="CN293" i="1"/>
  <c r="CI293" i="1" s="1"/>
  <c r="CN294" i="1"/>
  <c r="CI294" i="1" s="1"/>
  <c r="CN291" i="1"/>
  <c r="CI291" i="1" s="1"/>
  <c r="CN295" i="1"/>
  <c r="CI295" i="1" s="1"/>
  <c r="CN292" i="1"/>
  <c r="CI292" i="1" s="1"/>
  <c r="CN296" i="1"/>
  <c r="CI296" i="1" s="1"/>
  <c r="CN313" i="1"/>
  <c r="CI313" i="1" s="1"/>
  <c r="CN311" i="1"/>
  <c r="CI311" i="1" s="1"/>
  <c r="CN310" i="1"/>
  <c r="CI310" i="1" s="1"/>
  <c r="CN306" i="1"/>
  <c r="CI306" i="1" s="1"/>
  <c r="CN299" i="1"/>
  <c r="CI299" i="1" s="1"/>
  <c r="CN298" i="1"/>
  <c r="CI298" i="1" s="1"/>
  <c r="CN308" i="1"/>
  <c r="CI308" i="1" s="1"/>
  <c r="CN307" i="1"/>
  <c r="CI307" i="1" s="1"/>
  <c r="CN304" i="1"/>
  <c r="CI304" i="1" s="1"/>
  <c r="CN309" i="1"/>
  <c r="CI309" i="1" s="1"/>
  <c r="CN305" i="1"/>
  <c r="CI305" i="1" s="1"/>
  <c r="CN303" i="1"/>
  <c r="CI303" i="1" s="1"/>
  <c r="CN301" i="1"/>
  <c r="CI301" i="1" s="1"/>
  <c r="CN302" i="1"/>
  <c r="CI302" i="1" s="1"/>
  <c r="CN315" i="1"/>
  <c r="CI315" i="1" s="1"/>
  <c r="CN314" i="1"/>
  <c r="CI314" i="1" s="1"/>
  <c r="CN300" i="1"/>
  <c r="CI300" i="1" s="1"/>
  <c r="CN312" i="1"/>
  <c r="CI312" i="1" s="1"/>
  <c r="CN317" i="1"/>
  <c r="CI317" i="1" s="1"/>
  <c r="CN316" i="1"/>
  <c r="CI316" i="1" s="1"/>
  <c r="CN320" i="1"/>
  <c r="CI320" i="1" s="1"/>
  <c r="CN321" i="1"/>
  <c r="CI321" i="1" s="1"/>
  <c r="CN319" i="1"/>
  <c r="CI319" i="1" s="1"/>
  <c r="CN327" i="1"/>
  <c r="CI327" i="1" s="1"/>
  <c r="CN318" i="1"/>
  <c r="CI318" i="1" s="1"/>
  <c r="CN328" i="1"/>
  <c r="CI328" i="1" s="1"/>
  <c r="CN326" i="1"/>
  <c r="CI326" i="1" s="1"/>
  <c r="CN325" i="1"/>
  <c r="CI325" i="1" s="1"/>
  <c r="CN324" i="1"/>
  <c r="CI324" i="1" s="1"/>
  <c r="CN323" i="1"/>
  <c r="CI323" i="1" s="1"/>
  <c r="CN322" i="1"/>
  <c r="CI322" i="1" s="1"/>
  <c r="CN330" i="1"/>
  <c r="CI330" i="1" s="1"/>
  <c r="CN329" i="1"/>
  <c r="CI329" i="1" s="1"/>
  <c r="CN331" i="1"/>
  <c r="CI331" i="1" s="1"/>
  <c r="CN333" i="1"/>
  <c r="CI333" i="1" s="1"/>
  <c r="CN332" i="1"/>
  <c r="CI332" i="1" s="1"/>
  <c r="CN336" i="1"/>
  <c r="CI336" i="1" s="1"/>
  <c r="CN334" i="1"/>
  <c r="CI334" i="1" s="1"/>
  <c r="CN335" i="1"/>
  <c r="CI335" i="1" s="1"/>
  <c r="CN337" i="1"/>
  <c r="CI337" i="1" s="1"/>
  <c r="CN339" i="1"/>
  <c r="CI339" i="1" s="1"/>
  <c r="CN338" i="1"/>
  <c r="CI338" i="1" s="1"/>
  <c r="CN344" i="1"/>
  <c r="CI344" i="1" s="1"/>
  <c r="CN341" i="1"/>
  <c r="CI341" i="1" s="1"/>
  <c r="CN343" i="1"/>
  <c r="CI343" i="1" s="1"/>
  <c r="CN345" i="1"/>
  <c r="CI345" i="1" s="1"/>
  <c r="CN342" i="1"/>
  <c r="CI342" i="1" s="1"/>
  <c r="CN346" i="1"/>
  <c r="CI346" i="1" s="1"/>
  <c r="CN340" i="1"/>
  <c r="CI340" i="1" s="1"/>
  <c r="CN347" i="1"/>
  <c r="CI347" i="1" s="1"/>
  <c r="CN348" i="1"/>
  <c r="CI348" i="1" s="1"/>
  <c r="CN349" i="1"/>
  <c r="CI349" i="1" s="1"/>
  <c r="CN350" i="1"/>
  <c r="CI350" i="1" s="1"/>
  <c r="CN353" i="1"/>
  <c r="CI353" i="1" s="1"/>
  <c r="CN351" i="1"/>
  <c r="CI351" i="1" s="1"/>
  <c r="CN352" i="1"/>
  <c r="CI352" i="1" s="1"/>
  <c r="CN356" i="1"/>
  <c r="CI356" i="1" s="1"/>
  <c r="CN354" i="1"/>
  <c r="CI354" i="1" s="1"/>
  <c r="CN355" i="1"/>
  <c r="CI355" i="1" s="1"/>
  <c r="CN358" i="1"/>
  <c r="CI358" i="1" s="1"/>
  <c r="CN360" i="1"/>
  <c r="CI360" i="1" s="1"/>
  <c r="CN359" i="1"/>
  <c r="CI359" i="1" s="1"/>
  <c r="CN357" i="1"/>
  <c r="CI357"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2" i="1"/>
  <c r="BS42" i="1"/>
  <c r="BY42" i="1"/>
  <c r="CF42" i="1"/>
  <c r="CE42" i="1" s="1"/>
  <c r="BV42" i="1"/>
  <c r="CD42" i="1"/>
  <c r="CC42" i="1"/>
  <c r="BU42" i="1"/>
  <c r="BZ42" i="1"/>
  <c r="CB42" i="1"/>
  <c r="CA42" i="1"/>
  <c r="BT42" i="1"/>
  <c r="BX42" i="1"/>
  <c r="BT136" i="1"/>
  <c r="CC136" i="1"/>
  <c r="CD136" i="1"/>
  <c r="BU136" i="1"/>
  <c r="CF136" i="1"/>
  <c r="CE136" i="1" s="1"/>
  <c r="CH136" i="1"/>
  <c r="BW136" i="1"/>
  <c r="BV136" i="1"/>
  <c r="CB136" i="1"/>
  <c r="BZ136" i="1"/>
  <c r="CA136" i="1"/>
  <c r="BY136" i="1"/>
  <c r="BX136" i="1"/>
  <c r="BS136" i="1"/>
  <c r="CC153" i="1"/>
  <c r="BZ153" i="1"/>
  <c r="BW153" i="1"/>
  <c r="BV153" i="1"/>
  <c r="BU153" i="1"/>
  <c r="CF153" i="1"/>
  <c r="CE153" i="1" s="1"/>
  <c r="CD153" i="1"/>
  <c r="CB153" i="1"/>
  <c r="BT153" i="1"/>
  <c r="BS153" i="1"/>
  <c r="BY153" i="1"/>
  <c r="CA153" i="1"/>
  <c r="BX153" i="1"/>
  <c r="BS131" i="1"/>
  <c r="BT131" i="1"/>
  <c r="BU131" i="1"/>
  <c r="CB131" i="1"/>
  <c r="BV131" i="1"/>
  <c r="BW131" i="1"/>
  <c r="BX131" i="1"/>
  <c r="BY131" i="1"/>
  <c r="BZ131" i="1"/>
  <c r="CC131" i="1"/>
  <c r="CA131" i="1"/>
  <c r="CD131" i="1"/>
  <c r="CF131" i="1"/>
  <c r="CE131" i="1" s="1"/>
  <c r="CH131" i="1"/>
  <c r="BV89" i="1"/>
  <c r="BU89" i="1"/>
  <c r="CF89" i="1"/>
  <c r="CE89" i="1" s="1"/>
  <c r="CB89" i="1"/>
  <c r="BY89" i="1"/>
  <c r="CD89" i="1"/>
  <c r="BZ89" i="1"/>
  <c r="BW89" i="1"/>
  <c r="CC89" i="1"/>
  <c r="CA89" i="1"/>
  <c r="BS89" i="1"/>
  <c r="BX89" i="1"/>
  <c r="BT89" i="1"/>
  <c r="CF68" i="1"/>
  <c r="CE68" i="1" s="1"/>
  <c r="CC68" i="1"/>
  <c r="BX68" i="1"/>
  <c r="BT68" i="1"/>
  <c r="BS68" i="1"/>
  <c r="CD68" i="1"/>
  <c r="BW68" i="1"/>
  <c r="BZ68" i="1"/>
  <c r="CA68" i="1"/>
  <c r="BY68" i="1"/>
  <c r="CB68" i="1"/>
  <c r="BV68" i="1"/>
  <c r="BU68" i="1"/>
  <c r="CB59" i="1"/>
  <c r="BZ59" i="1"/>
  <c r="BU59" i="1"/>
  <c r="BY59" i="1"/>
  <c r="CF59" i="1"/>
  <c r="CE59" i="1" s="1"/>
  <c r="BV59" i="1"/>
  <c r="BT59" i="1"/>
  <c r="BS59" i="1"/>
  <c r="CC59" i="1"/>
  <c r="CD59" i="1"/>
  <c r="BW59" i="1"/>
  <c r="CA59" i="1"/>
  <c r="BX59" i="1"/>
  <c r="BT51" i="1"/>
  <c r="BX51" i="1"/>
  <c r="CB51" i="1"/>
  <c r="CF51" i="1"/>
  <c r="CE51" i="1" s="1"/>
  <c r="CC51" i="1"/>
  <c r="BU51" i="1"/>
  <c r="BS51" i="1"/>
  <c r="CH51" i="1"/>
  <c r="BZ51" i="1"/>
  <c r="BY51" i="1"/>
  <c r="BW51" i="1"/>
  <c r="CA51" i="1"/>
  <c r="CD51" i="1"/>
  <c r="BV51" i="1"/>
  <c r="BT47" i="1"/>
  <c r="BW47" i="1"/>
  <c r="CF47" i="1"/>
  <c r="CE47" i="1" s="1"/>
  <c r="CC47" i="1"/>
  <c r="BU47" i="1"/>
  <c r="CD47" i="1"/>
  <c r="BV47" i="1"/>
  <c r="BY47" i="1"/>
  <c r="BS47" i="1"/>
  <c r="BX47" i="1"/>
  <c r="CH47" i="1"/>
  <c r="BZ47" i="1"/>
  <c r="CB47" i="1"/>
  <c r="CA47" i="1"/>
  <c r="CF37" i="1"/>
  <c r="CE37" i="1" s="1"/>
  <c r="CD37" i="1"/>
  <c r="CC37" i="1"/>
  <c r="CB37" i="1"/>
  <c r="CA37" i="1"/>
  <c r="BZ37" i="1"/>
  <c r="BY37" i="1"/>
  <c r="BX37" i="1"/>
  <c r="BW37" i="1"/>
  <c r="BU37" i="1"/>
  <c r="BT37" i="1"/>
  <c r="BV37" i="1"/>
  <c r="BS37" i="1"/>
  <c r="CH37" i="1"/>
  <c r="CD135" i="1"/>
  <c r="CA135" i="1"/>
  <c r="BX135" i="1"/>
  <c r="BV135" i="1"/>
  <c r="BT135" i="1"/>
  <c r="BZ135" i="1"/>
  <c r="CF135" i="1"/>
  <c r="CE135" i="1" s="1"/>
  <c r="CH135" i="1"/>
  <c r="BS135" i="1"/>
  <c r="CC135" i="1"/>
  <c r="BW135" i="1"/>
  <c r="CB135" i="1"/>
  <c r="BU135" i="1"/>
  <c r="BY135" i="1"/>
  <c r="CF132" i="1"/>
  <c r="CE132" i="1" s="1"/>
  <c r="BS132" i="1"/>
  <c r="BT132" i="1"/>
  <c r="BY132" i="1"/>
  <c r="BZ132" i="1"/>
  <c r="BU132" i="1"/>
  <c r="BV132" i="1"/>
  <c r="BW132" i="1"/>
  <c r="BX132" i="1"/>
  <c r="CA132" i="1"/>
  <c r="CB132" i="1"/>
  <c r="CC132" i="1"/>
  <c r="CD132" i="1"/>
  <c r="CC74" i="1"/>
  <c r="CD74" i="1"/>
  <c r="CA74" i="1"/>
  <c r="BX74" i="1"/>
  <c r="BZ74" i="1"/>
  <c r="BY74" i="1"/>
  <c r="BV74" i="1"/>
  <c r="CF74" i="1"/>
  <c r="CE74" i="1" s="1"/>
  <c r="BT74" i="1"/>
  <c r="BS74" i="1"/>
  <c r="BW74" i="1"/>
  <c r="BU74" i="1"/>
  <c r="CB74" i="1"/>
  <c r="CF67" i="1"/>
  <c r="CE67" i="1" s="1"/>
  <c r="BY67" i="1"/>
  <c r="CC67" i="1"/>
  <c r="BX67" i="1"/>
  <c r="CD67" i="1"/>
  <c r="BV67" i="1"/>
  <c r="BS67" i="1"/>
  <c r="BT67" i="1"/>
  <c r="BU67" i="1"/>
  <c r="CA67" i="1"/>
  <c r="BW67" i="1"/>
  <c r="CB67" i="1"/>
  <c r="BZ67" i="1"/>
  <c r="BW46" i="1"/>
  <c r="BX46" i="1"/>
  <c r="BS46" i="1"/>
  <c r="BU46" i="1"/>
  <c r="CD46" i="1"/>
  <c r="BZ46" i="1"/>
  <c r="CB46" i="1"/>
  <c r="BT46" i="1"/>
  <c r="BV46" i="1"/>
  <c r="BY46" i="1"/>
  <c r="CF46" i="1"/>
  <c r="CE46" i="1" s="1"/>
  <c r="CA46" i="1"/>
  <c r="CC46" i="1"/>
  <c r="CA31" i="1"/>
  <c r="BZ31" i="1"/>
  <c r="BY31" i="1"/>
  <c r="BX31" i="1"/>
  <c r="BW31" i="1"/>
  <c r="BV31" i="1"/>
  <c r="BU31" i="1"/>
  <c r="BT31" i="1"/>
  <c r="BS31" i="1"/>
  <c r="CH31" i="1"/>
  <c r="CF31" i="1"/>
  <c r="CE31" i="1" s="1"/>
  <c r="CC31" i="1"/>
  <c r="CB31" i="1"/>
  <c r="CD31" i="1"/>
  <c r="BX115" i="1"/>
  <c r="CC115" i="1"/>
  <c r="CA115" i="1"/>
  <c r="CH115" i="1"/>
  <c r="BW115" i="1"/>
  <c r="BY115" i="1"/>
  <c r="BT115" i="1"/>
  <c r="CD115" i="1"/>
  <c r="BV115" i="1"/>
  <c r="BU115" i="1"/>
  <c r="BZ115" i="1"/>
  <c r="BS115" i="1"/>
  <c r="CF115" i="1"/>
  <c r="CE115" i="1" s="1"/>
  <c r="CB115" i="1"/>
  <c r="CC144" i="1"/>
  <c r="CA144" i="1"/>
  <c r="BY144" i="1"/>
  <c r="BS144" i="1"/>
  <c r="BW144" i="1"/>
  <c r="BU144" i="1"/>
  <c r="BT144" i="1"/>
  <c r="CF144" i="1"/>
  <c r="CE144" i="1" s="1"/>
  <c r="BZ144" i="1"/>
  <c r="BV144" i="1"/>
  <c r="BX144" i="1"/>
  <c r="CH144" i="1"/>
  <c r="CD144" i="1"/>
  <c r="CB144" i="1"/>
  <c r="CB141" i="1"/>
  <c r="BZ141" i="1"/>
  <c r="CC141" i="1"/>
  <c r="BV141" i="1"/>
  <c r="BU141" i="1"/>
  <c r="CA141" i="1"/>
  <c r="BT141" i="1"/>
  <c r="BS141" i="1"/>
  <c r="BW141" i="1"/>
  <c r="BY141" i="1"/>
  <c r="CD141" i="1"/>
  <c r="CF141" i="1"/>
  <c r="CE141" i="1" s="1"/>
  <c r="BX141" i="1"/>
  <c r="CC109" i="1"/>
  <c r="BS109" i="1"/>
  <c r="BX109" i="1"/>
  <c r="CB109" i="1"/>
  <c r="CH109" i="1"/>
  <c r="BU109" i="1"/>
  <c r="BW109" i="1"/>
  <c r="BY109" i="1"/>
  <c r="CF109" i="1"/>
  <c r="CE109" i="1" s="1"/>
  <c r="BV109" i="1"/>
  <c r="CA109" i="1"/>
  <c r="CD109" i="1"/>
  <c r="BT109" i="1"/>
  <c r="BZ109" i="1"/>
  <c r="CF101" i="1"/>
  <c r="CE101" i="1" s="1"/>
  <c r="CC101" i="1"/>
  <c r="CD101" i="1"/>
  <c r="CH101" i="1"/>
  <c r="CA101" i="1"/>
  <c r="BZ101" i="1"/>
  <c r="CB101" i="1"/>
  <c r="BX101" i="1"/>
  <c r="BY101" i="1"/>
  <c r="BV101" i="1"/>
  <c r="BS101" i="1"/>
  <c r="BT101" i="1"/>
  <c r="BW101" i="1"/>
  <c r="BU101" i="1"/>
  <c r="BY79" i="1"/>
  <c r="CB79" i="1"/>
  <c r="BZ79" i="1"/>
  <c r="BV79" i="1"/>
  <c r="CC79" i="1"/>
  <c r="BS79" i="1"/>
  <c r="BT79" i="1"/>
  <c r="CF79" i="1"/>
  <c r="CE79" i="1" s="1"/>
  <c r="BW79" i="1"/>
  <c r="BX79" i="1"/>
  <c r="CD79" i="1"/>
  <c r="BU79" i="1"/>
  <c r="CH79" i="1"/>
  <c r="CA79" i="1"/>
  <c r="CH58" i="1"/>
  <c r="CA58" i="1"/>
  <c r="CC58" i="1"/>
  <c r="BV58" i="1"/>
  <c r="CF58" i="1"/>
  <c r="CE58" i="1" s="1"/>
  <c r="BW58" i="1"/>
  <c r="CD58" i="1"/>
  <c r="BS58" i="1"/>
  <c r="CB58" i="1"/>
  <c r="BZ58" i="1"/>
  <c r="BT58" i="1"/>
  <c r="BY58" i="1"/>
  <c r="BX58" i="1"/>
  <c r="BU58" i="1"/>
  <c r="BT100" i="1"/>
  <c r="CC100" i="1"/>
  <c r="BX100" i="1"/>
  <c r="BY100" i="1"/>
  <c r="BS100" i="1"/>
  <c r="CD100" i="1"/>
  <c r="BV100" i="1"/>
  <c r="CB100" i="1"/>
  <c r="BU100" i="1"/>
  <c r="CA100" i="1"/>
  <c r="BW100" i="1"/>
  <c r="CF100" i="1"/>
  <c r="CE100" i="1" s="1"/>
  <c r="BZ100" i="1"/>
  <c r="CD148" i="1"/>
  <c r="BU148" i="1"/>
  <c r="CB148" i="1"/>
  <c r="CF148" i="1"/>
  <c r="BZ148" i="1"/>
  <c r="CC148" i="1"/>
  <c r="BT148" i="1"/>
  <c r="BX148" i="1"/>
  <c r="CA148" i="1"/>
  <c r="BY148" i="1"/>
  <c r="BW148" i="1"/>
  <c r="BS148" i="1"/>
  <c r="BV148" i="1"/>
  <c r="BZ145" i="1"/>
  <c r="CC145" i="1"/>
  <c r="BS145" i="1"/>
  <c r="BW145" i="1"/>
  <c r="BT145" i="1"/>
  <c r="BY145" i="1"/>
  <c r="CB145" i="1"/>
  <c r="BX145" i="1"/>
  <c r="CA145" i="1"/>
  <c r="CD145" i="1"/>
  <c r="BV145" i="1"/>
  <c r="BU145" i="1"/>
  <c r="CH145" i="1"/>
  <c r="CF145" i="1"/>
  <c r="CE145" i="1" s="1"/>
  <c r="BW143" i="1"/>
  <c r="BT143" i="1"/>
  <c r="BZ143" i="1"/>
  <c r="CB143" i="1"/>
  <c r="CD143" i="1"/>
  <c r="BS143" i="1"/>
  <c r="BU143" i="1"/>
  <c r="BY143" i="1"/>
  <c r="CA143" i="1"/>
  <c r="BV143" i="1"/>
  <c r="CF143" i="1"/>
  <c r="CE143" i="1" s="1"/>
  <c r="BX143" i="1"/>
  <c r="CC143" i="1"/>
  <c r="CH111" i="1"/>
  <c r="BV111" i="1"/>
  <c r="CA111" i="1"/>
  <c r="CD111" i="1"/>
  <c r="BT111" i="1"/>
  <c r="BU111" i="1"/>
  <c r="BY111" i="1"/>
  <c r="CF111" i="1"/>
  <c r="CE111" i="1" s="1"/>
  <c r="BS111" i="1"/>
  <c r="BW111" i="1"/>
  <c r="CB111" i="1"/>
  <c r="CC111" i="1"/>
  <c r="BZ111" i="1"/>
  <c r="BX111" i="1"/>
  <c r="BU72" i="1"/>
  <c r="BZ72" i="1"/>
  <c r="CF72" i="1"/>
  <c r="CE72" i="1" s="1"/>
  <c r="BS72" i="1"/>
  <c r="BV72" i="1"/>
  <c r="CB72" i="1"/>
  <c r="CA72" i="1"/>
  <c r="BW72" i="1"/>
  <c r="BX72" i="1"/>
  <c r="CC72" i="1"/>
  <c r="CH72" i="1"/>
  <c r="BT72" i="1"/>
  <c r="BY72" i="1"/>
  <c r="CD72" i="1"/>
  <c r="CD80" i="1"/>
  <c r="CB80" i="1"/>
  <c r="BW80" i="1"/>
  <c r="BT80" i="1"/>
  <c r="BY80" i="1"/>
  <c r="BU80" i="1"/>
  <c r="BV80" i="1"/>
  <c r="CA80" i="1"/>
  <c r="BS80" i="1"/>
  <c r="CF80" i="1"/>
  <c r="CE80" i="1" s="1"/>
  <c r="BX80" i="1"/>
  <c r="BZ80" i="1"/>
  <c r="CC80" i="1"/>
  <c r="CD62" i="1"/>
  <c r="CF62" i="1"/>
  <c r="CE62" i="1" s="1"/>
  <c r="BT62" i="1"/>
  <c r="CA62" i="1"/>
  <c r="BU62" i="1"/>
  <c r="CB62" i="1"/>
  <c r="CC62" i="1"/>
  <c r="BV62" i="1"/>
  <c r="BW62" i="1"/>
  <c r="BS62" i="1"/>
  <c r="BX62" i="1"/>
  <c r="BY62" i="1"/>
  <c r="BZ62" i="1"/>
  <c r="CH29" i="1"/>
  <c r="CF29" i="1"/>
  <c r="CE29" i="1" s="1"/>
  <c r="CD29" i="1"/>
  <c r="CC29" i="1"/>
  <c r="CB29" i="1"/>
  <c r="CA29" i="1"/>
  <c r="BZ29" i="1"/>
  <c r="BY29" i="1"/>
  <c r="BX29" i="1"/>
  <c r="BV29" i="1"/>
  <c r="BU29" i="1"/>
  <c r="BW29" i="1"/>
  <c r="BT29" i="1"/>
  <c r="BS29" i="1"/>
  <c r="BZ36" i="1"/>
  <c r="BY36" i="1"/>
  <c r="BX36" i="1"/>
  <c r="BW36" i="1"/>
  <c r="BV36" i="1"/>
  <c r="BU36" i="1"/>
  <c r="BT36" i="1"/>
  <c r="BS36" i="1"/>
  <c r="CH36" i="1"/>
  <c r="CF36" i="1"/>
  <c r="CE36" i="1" s="1"/>
  <c r="CD36" i="1"/>
  <c r="CB36" i="1"/>
  <c r="CA36" i="1"/>
  <c r="CC36" i="1"/>
  <c r="BX52" i="1"/>
  <c r="BS52" i="1"/>
  <c r="CH52" i="1"/>
  <c r="CA52" i="1"/>
  <c r="BT52" i="1"/>
  <c r="CC52" i="1"/>
  <c r="BW52" i="1"/>
  <c r="BY52" i="1"/>
  <c r="BV52" i="1"/>
  <c r="BU52" i="1"/>
  <c r="CB52" i="1"/>
  <c r="CD52" i="1"/>
  <c r="CF52" i="1"/>
  <c r="CE52" i="1" s="1"/>
  <c r="BZ52" i="1"/>
  <c r="BX71" i="1"/>
  <c r="BW71" i="1"/>
  <c r="BZ71" i="1"/>
  <c r="CA71" i="1"/>
  <c r="CB71" i="1"/>
  <c r="CF71" i="1"/>
  <c r="CE71" i="1" s="1"/>
  <c r="CD71" i="1"/>
  <c r="BT71" i="1"/>
  <c r="CH71" i="1"/>
  <c r="BU71" i="1"/>
  <c r="BV71" i="1"/>
  <c r="BY71" i="1"/>
  <c r="BS71" i="1"/>
  <c r="CC71" i="1"/>
  <c r="CA140" i="1"/>
  <c r="BV140" i="1"/>
  <c r="CC140" i="1"/>
  <c r="BT140" i="1"/>
  <c r="CF140" i="1"/>
  <c r="CE140" i="1" s="1"/>
  <c r="BZ140" i="1"/>
  <c r="CB140" i="1"/>
  <c r="CD140" i="1"/>
  <c r="BY140" i="1"/>
  <c r="BW140" i="1"/>
  <c r="BS140" i="1"/>
  <c r="BX140" i="1"/>
  <c r="BU140" i="1"/>
  <c r="BT150" i="1"/>
  <c r="BW150" i="1"/>
  <c r="BZ150" i="1"/>
  <c r="CF150" i="1"/>
  <c r="CE150" i="1" s="1"/>
  <c r="BV150" i="1"/>
  <c r="CB150" i="1"/>
  <c r="BS150" i="1"/>
  <c r="CC150" i="1"/>
  <c r="BX150" i="1"/>
  <c r="CD150" i="1"/>
  <c r="BU150" i="1"/>
  <c r="CA150" i="1"/>
  <c r="BY150" i="1"/>
  <c r="BV146" i="1"/>
  <c r="BS146" i="1"/>
  <c r="CD146" i="1"/>
  <c r="CC146" i="1"/>
  <c r="BU146" i="1"/>
  <c r="BX146" i="1"/>
  <c r="BT146" i="1"/>
  <c r="CB146" i="1"/>
  <c r="BW146" i="1"/>
  <c r="CF146" i="1"/>
  <c r="CE146" i="1" s="1"/>
  <c r="BZ146" i="1"/>
  <c r="CA146" i="1"/>
  <c r="BY146" i="1"/>
  <c r="BZ154" i="1"/>
  <c r="BV154" i="1"/>
  <c r="CF154" i="1"/>
  <c r="CE154" i="1" s="1"/>
  <c r="BY154" i="1"/>
  <c r="CA154" i="1"/>
  <c r="BT154" i="1"/>
  <c r="BX154" i="1"/>
  <c r="BS154" i="1"/>
  <c r="CC154" i="1"/>
  <c r="CD154" i="1"/>
  <c r="BW154" i="1"/>
  <c r="BU154" i="1"/>
  <c r="CB154" i="1"/>
  <c r="BT117" i="1"/>
  <c r="CF117" i="1"/>
  <c r="CE117" i="1" s="1"/>
  <c r="CB117" i="1"/>
  <c r="BV117" i="1"/>
  <c r="BY117" i="1"/>
  <c r="BX117" i="1"/>
  <c r="BS117" i="1"/>
  <c r="BU117" i="1"/>
  <c r="CD117" i="1"/>
  <c r="CA117" i="1"/>
  <c r="BZ117" i="1"/>
  <c r="BW117" i="1"/>
  <c r="CC117" i="1"/>
  <c r="BV102" i="1"/>
  <c r="CC102" i="1"/>
  <c r="BY102" i="1"/>
  <c r="BW102" i="1"/>
  <c r="CD102" i="1"/>
  <c r="BU102" i="1"/>
  <c r="CH102" i="1"/>
  <c r="CB102" i="1"/>
  <c r="BZ102" i="1"/>
  <c r="BX102" i="1"/>
  <c r="BS102" i="1"/>
  <c r="CF102" i="1"/>
  <c r="CE102" i="1" s="1"/>
  <c r="BT102" i="1"/>
  <c r="CA102" i="1"/>
  <c r="CC85" i="1"/>
  <c r="BZ85" i="1"/>
  <c r="BU85" i="1"/>
  <c r="BT85" i="1"/>
  <c r="CF85" i="1"/>
  <c r="BW85" i="1"/>
  <c r="CB85" i="1"/>
  <c r="CD85" i="1"/>
  <c r="BY85" i="1"/>
  <c r="CA85" i="1"/>
  <c r="BX85" i="1"/>
  <c r="BV85" i="1"/>
  <c r="BS85" i="1"/>
  <c r="BT66" i="1"/>
  <c r="CD66" i="1"/>
  <c r="BZ66" i="1"/>
  <c r="BS66" i="1"/>
  <c r="CA66" i="1"/>
  <c r="CF66" i="1"/>
  <c r="BY66" i="1"/>
  <c r="BW66" i="1"/>
  <c r="BU66" i="1"/>
  <c r="CB66" i="1"/>
  <c r="BV66" i="1"/>
  <c r="CC66" i="1"/>
  <c r="BX66" i="1"/>
  <c r="CH80" i="1"/>
  <c r="CH132" i="1"/>
  <c r="CA97" i="1"/>
  <c r="BU97" i="1"/>
  <c r="BW97" i="1"/>
  <c r="BS97" i="1"/>
  <c r="CB97" i="1"/>
  <c r="CD97" i="1"/>
  <c r="BV97" i="1"/>
  <c r="BZ97" i="1"/>
  <c r="BY97" i="1"/>
  <c r="BT97" i="1"/>
  <c r="BX97" i="1"/>
  <c r="CC97" i="1"/>
  <c r="CH97" i="1"/>
  <c r="CF97" i="1"/>
  <c r="CE97" i="1" s="1"/>
  <c r="CA138" i="1"/>
  <c r="BS138" i="1"/>
  <c r="BW138" i="1"/>
  <c r="BX138" i="1"/>
  <c r="CC138" i="1"/>
  <c r="CD138" i="1"/>
  <c r="BY138" i="1"/>
  <c r="CF138" i="1"/>
  <c r="CE138" i="1" s="1"/>
  <c r="CB138" i="1"/>
  <c r="BV138" i="1"/>
  <c r="BU138" i="1"/>
  <c r="BZ138" i="1"/>
  <c r="BT138" i="1"/>
  <c r="CH138" i="1"/>
  <c r="CB41" i="1"/>
  <c r="CD41" i="1"/>
  <c r="CF41" i="1"/>
  <c r="CE41" i="1" s="1"/>
  <c r="BS41" i="1"/>
  <c r="BW41" i="1"/>
  <c r="BZ41" i="1"/>
  <c r="BT41" i="1"/>
  <c r="CA41" i="1"/>
  <c r="CC41" i="1"/>
  <c r="BU41" i="1"/>
  <c r="BX41" i="1"/>
  <c r="BY41" i="1"/>
  <c r="BV41" i="1"/>
  <c r="BY86" i="1"/>
  <c r="CC86" i="1"/>
  <c r="CF86" i="1"/>
  <c r="CE86" i="1" s="1"/>
  <c r="BZ86" i="1"/>
  <c r="CA86" i="1"/>
  <c r="CD86" i="1"/>
  <c r="BT86" i="1"/>
  <c r="BV86" i="1"/>
  <c r="CB86" i="1"/>
  <c r="BW86" i="1"/>
  <c r="BX86" i="1"/>
  <c r="BS86" i="1"/>
  <c r="CH86" i="1"/>
  <c r="BU86" i="1"/>
  <c r="CH104" i="1"/>
  <c r="CF104" i="1"/>
  <c r="CE104" i="1" s="1"/>
  <c r="CB104" i="1"/>
  <c r="BY104" i="1"/>
  <c r="BV104" i="1"/>
  <c r="CA104" i="1"/>
  <c r="BX104" i="1"/>
  <c r="BT104" i="1"/>
  <c r="BS104" i="1"/>
  <c r="CD104" i="1"/>
  <c r="CC104" i="1"/>
  <c r="BZ104" i="1"/>
  <c r="BW104" i="1"/>
  <c r="BU104" i="1"/>
  <c r="BW147" i="1"/>
  <c r="CF147" i="1"/>
  <c r="CE147" i="1" s="1"/>
  <c r="BX147" i="1"/>
  <c r="BV147" i="1"/>
  <c r="BS147" i="1"/>
  <c r="CB147" i="1"/>
  <c r="BT147" i="1"/>
  <c r="BU147" i="1"/>
  <c r="BZ147" i="1"/>
  <c r="BY147" i="1"/>
  <c r="CC147" i="1"/>
  <c r="CA147" i="1"/>
  <c r="CD147" i="1"/>
  <c r="BV160" i="1"/>
  <c r="CF160" i="1"/>
  <c r="CE160" i="1" s="1"/>
  <c r="BS160" i="1"/>
  <c r="BU160" i="1"/>
  <c r="CH160" i="1"/>
  <c r="BX160" i="1"/>
  <c r="BW160" i="1"/>
  <c r="CD160" i="1"/>
  <c r="BT160" i="1"/>
  <c r="CC160" i="1"/>
  <c r="BY160" i="1"/>
  <c r="BZ160" i="1"/>
  <c r="CB160" i="1"/>
  <c r="CA160" i="1"/>
  <c r="BU120" i="1"/>
  <c r="BZ120" i="1"/>
  <c r="BX120" i="1"/>
  <c r="CA120" i="1"/>
  <c r="CD120" i="1"/>
  <c r="BS120" i="1"/>
  <c r="CF120" i="1"/>
  <c r="CE120" i="1" s="1"/>
  <c r="BW120" i="1"/>
  <c r="CC120" i="1"/>
  <c r="CH120" i="1"/>
  <c r="BT120" i="1"/>
  <c r="BY120" i="1"/>
  <c r="BV120" i="1"/>
  <c r="CB120" i="1"/>
  <c r="CD70" i="1"/>
  <c r="BW70" i="1"/>
  <c r="BY70" i="1"/>
  <c r="BX70" i="1"/>
  <c r="BS70" i="1"/>
  <c r="CF70" i="1"/>
  <c r="CE70" i="1" s="1"/>
  <c r="CA70" i="1"/>
  <c r="BV70" i="1"/>
  <c r="CH70" i="1"/>
  <c r="BT70" i="1"/>
  <c r="BU70" i="1"/>
  <c r="CB70" i="1"/>
  <c r="CC70" i="1"/>
  <c r="BZ70" i="1"/>
  <c r="BS96" i="1"/>
  <c r="BV96" i="1"/>
  <c r="BU96" i="1"/>
  <c r="BT96" i="1"/>
  <c r="CD96" i="1"/>
  <c r="CF96" i="1"/>
  <c r="CE96" i="1" s="1"/>
  <c r="CC96" i="1"/>
  <c r="BY96" i="1"/>
  <c r="CB96" i="1"/>
  <c r="BX96" i="1"/>
  <c r="BZ96" i="1"/>
  <c r="CA96" i="1"/>
  <c r="BW96" i="1"/>
  <c r="BY57" i="1"/>
  <c r="CF57" i="1"/>
  <c r="CE57" i="1" s="1"/>
  <c r="CB57" i="1"/>
  <c r="BW57" i="1"/>
  <c r="BZ57" i="1"/>
  <c r="CA57" i="1"/>
  <c r="BS57" i="1"/>
  <c r="BU57" i="1"/>
  <c r="CC57" i="1"/>
  <c r="CD57" i="1"/>
  <c r="BT57" i="1"/>
  <c r="BX57" i="1"/>
  <c r="BV57" i="1"/>
  <c r="BY34" i="1"/>
  <c r="BX34" i="1"/>
  <c r="BW34" i="1"/>
  <c r="BV34" i="1"/>
  <c r="BU34" i="1"/>
  <c r="BT34" i="1"/>
  <c r="BS34" i="1"/>
  <c r="CF34" i="1"/>
  <c r="CE34" i="1" s="1"/>
  <c r="CC34" i="1"/>
  <c r="CB34" i="1"/>
  <c r="CD34" i="1"/>
  <c r="CA34" i="1"/>
  <c r="BZ34" i="1"/>
  <c r="BU30" i="1"/>
  <c r="BT30" i="1"/>
  <c r="BS30" i="1"/>
  <c r="CH30" i="1"/>
  <c r="CF30" i="1"/>
  <c r="CE30" i="1" s="1"/>
  <c r="CD30" i="1"/>
  <c r="CC30" i="1"/>
  <c r="CB30" i="1"/>
  <c r="CA30" i="1"/>
  <c r="BY30" i="1"/>
  <c r="BX30" i="1"/>
  <c r="BV30" i="1"/>
  <c r="BZ30" i="1"/>
  <c r="BW30" i="1"/>
  <c r="CC118" i="1"/>
  <c r="BU118" i="1"/>
  <c r="BV118" i="1"/>
  <c r="BX118" i="1"/>
  <c r="CF118" i="1"/>
  <c r="CE118" i="1" s="1"/>
  <c r="BW118" i="1"/>
  <c r="CA118" i="1"/>
  <c r="BT118" i="1"/>
  <c r="CB118" i="1"/>
  <c r="BY118" i="1"/>
  <c r="BS118" i="1"/>
  <c r="CD118" i="1"/>
  <c r="CH118" i="1"/>
  <c r="BZ118" i="1"/>
  <c r="BV105" i="1"/>
  <c r="CF105" i="1"/>
  <c r="CE105" i="1" s="1"/>
  <c r="BS105" i="1"/>
  <c r="CD105" i="1"/>
  <c r="CC105" i="1"/>
  <c r="BX105" i="1"/>
  <c r="CH105" i="1"/>
  <c r="BT105" i="1"/>
  <c r="BW105" i="1"/>
  <c r="BZ105" i="1"/>
  <c r="CA105" i="1"/>
  <c r="CB105" i="1"/>
  <c r="BU105" i="1"/>
  <c r="BY105" i="1"/>
  <c r="BT149" i="1"/>
  <c r="BY149" i="1"/>
  <c r="BV149" i="1"/>
  <c r="BW149" i="1"/>
  <c r="CH149" i="1"/>
  <c r="CC149" i="1"/>
  <c r="CB149" i="1"/>
  <c r="BX149" i="1"/>
  <c r="CF149" i="1"/>
  <c r="CE149" i="1" s="1"/>
  <c r="BZ149" i="1"/>
  <c r="CD149" i="1"/>
  <c r="BU149" i="1"/>
  <c r="CA149" i="1"/>
  <c r="BS149" i="1"/>
  <c r="BY110" i="1"/>
  <c r="BZ110" i="1"/>
  <c r="CB110" i="1"/>
  <c r="BV110" i="1"/>
  <c r="CC110" i="1"/>
  <c r="BW110" i="1"/>
  <c r="BU110" i="1"/>
  <c r="CF110" i="1"/>
  <c r="BT110" i="1"/>
  <c r="BX110" i="1"/>
  <c r="CD110" i="1"/>
  <c r="BS110" i="1"/>
  <c r="CA110" i="1"/>
  <c r="BS121" i="1"/>
  <c r="BW121" i="1"/>
  <c r="CC121" i="1"/>
  <c r="BT121" i="1"/>
  <c r="BY121" i="1"/>
  <c r="BV121" i="1"/>
  <c r="BU121" i="1"/>
  <c r="CH121" i="1"/>
  <c r="CF121" i="1"/>
  <c r="CE121" i="1" s="1"/>
  <c r="CA121" i="1"/>
  <c r="CD121" i="1"/>
  <c r="BZ121" i="1"/>
  <c r="BX121" i="1"/>
  <c r="CB121" i="1"/>
  <c r="BU75" i="1"/>
  <c r="BZ75" i="1"/>
  <c r="CC75" i="1"/>
  <c r="BS75" i="1"/>
  <c r="BW75" i="1"/>
  <c r="CF75" i="1"/>
  <c r="CE75" i="1" s="1"/>
  <c r="CD75" i="1"/>
  <c r="BX75" i="1"/>
  <c r="BV75" i="1"/>
  <c r="CB75" i="1"/>
  <c r="BY75" i="1"/>
  <c r="BT75" i="1"/>
  <c r="CA75" i="1"/>
  <c r="CA98" i="1"/>
  <c r="CB98" i="1"/>
  <c r="BX98" i="1"/>
  <c r="BZ98" i="1"/>
  <c r="CC98" i="1"/>
  <c r="CD98" i="1"/>
  <c r="BT98" i="1"/>
  <c r="BS98" i="1"/>
  <c r="BY98" i="1"/>
  <c r="CF98" i="1"/>
  <c r="CE98" i="1" s="1"/>
  <c r="BU98" i="1"/>
  <c r="CH98" i="1"/>
  <c r="BW98" i="1"/>
  <c r="BV98" i="1"/>
  <c r="BT61" i="1"/>
  <c r="CF61" i="1"/>
  <c r="CE61" i="1" s="1"/>
  <c r="BZ61" i="1"/>
  <c r="BX61" i="1"/>
  <c r="CH61" i="1"/>
  <c r="BU61" i="1"/>
  <c r="BV61" i="1"/>
  <c r="CC61" i="1"/>
  <c r="CB61" i="1"/>
  <c r="BW61" i="1"/>
  <c r="CD61" i="1"/>
  <c r="BY61" i="1"/>
  <c r="BS61" i="1"/>
  <c r="CA61" i="1"/>
  <c r="CH141" i="1"/>
  <c r="BZ161" i="1"/>
  <c r="BX161" i="1"/>
  <c r="BV161" i="1"/>
  <c r="BW161" i="1"/>
  <c r="CD161" i="1"/>
  <c r="BY161" i="1"/>
  <c r="CF161" i="1"/>
  <c r="CE161" i="1" s="1"/>
  <c r="BS161" i="1"/>
  <c r="BU161" i="1"/>
  <c r="CH161" i="1"/>
  <c r="CB161" i="1"/>
  <c r="CC161" i="1"/>
  <c r="BT161" i="1"/>
  <c r="CA161" i="1"/>
  <c r="CF108" i="1"/>
  <c r="CE108" i="1" s="1"/>
  <c r="CB108" i="1"/>
  <c r="BT108" i="1"/>
  <c r="BU108" i="1"/>
  <c r="BW108" i="1"/>
  <c r="BZ108" i="1"/>
  <c r="CC108" i="1"/>
  <c r="CD108" i="1"/>
  <c r="BY108" i="1"/>
  <c r="BX108" i="1"/>
  <c r="BV108" i="1"/>
  <c r="BS108" i="1"/>
  <c r="BQ108" i="1" s="1"/>
  <c r="BR108" i="1" s="1"/>
  <c r="CA108" i="1"/>
  <c r="BV155" i="1"/>
  <c r="BY155" i="1"/>
  <c r="CB155" i="1"/>
  <c r="BW155" i="1"/>
  <c r="CF155" i="1"/>
  <c r="CE155" i="1" s="1"/>
  <c r="BX155" i="1"/>
  <c r="BS155" i="1"/>
  <c r="BU155" i="1"/>
  <c r="BZ155" i="1"/>
  <c r="CD155" i="1"/>
  <c r="CA155" i="1"/>
  <c r="CC155" i="1"/>
  <c r="BT155" i="1"/>
  <c r="CF103" i="1"/>
  <c r="BW103" i="1"/>
  <c r="BZ103" i="1"/>
  <c r="BT103" i="1"/>
  <c r="BX103" i="1"/>
  <c r="CC103" i="1"/>
  <c r="BU103" i="1"/>
  <c r="CD103" i="1"/>
  <c r="CB103" i="1"/>
  <c r="BS103" i="1"/>
  <c r="BY103" i="1"/>
  <c r="BV103" i="1"/>
  <c r="CA103" i="1"/>
  <c r="CF122" i="1"/>
  <c r="CE122" i="1" s="1"/>
  <c r="BS122" i="1"/>
  <c r="CA122" i="1"/>
  <c r="CB122" i="1"/>
  <c r="BU122" i="1"/>
  <c r="BX122" i="1"/>
  <c r="BY122" i="1"/>
  <c r="CC122" i="1"/>
  <c r="BV122" i="1"/>
  <c r="CH122" i="1"/>
  <c r="BZ122" i="1"/>
  <c r="BT122" i="1"/>
  <c r="BW122" i="1"/>
  <c r="CD122" i="1"/>
  <c r="BY92" i="1"/>
  <c r="BV92" i="1"/>
  <c r="CB92" i="1"/>
  <c r="BU92" i="1"/>
  <c r="BT92" i="1"/>
  <c r="CH92" i="1"/>
  <c r="CC92" i="1"/>
  <c r="BZ92" i="1"/>
  <c r="BS92" i="1"/>
  <c r="CF92" i="1"/>
  <c r="CE92" i="1" s="1"/>
  <c r="CA92" i="1"/>
  <c r="BW92" i="1"/>
  <c r="BX92" i="1"/>
  <c r="CD92" i="1"/>
  <c r="BS69" i="1"/>
  <c r="BU69" i="1"/>
  <c r="BY69" i="1"/>
  <c r="BZ69" i="1"/>
  <c r="CD69" i="1"/>
  <c r="BW69" i="1"/>
  <c r="BV69" i="1"/>
  <c r="BT69" i="1"/>
  <c r="BX69" i="1"/>
  <c r="CC69" i="1"/>
  <c r="CB69" i="1"/>
  <c r="CF69" i="1"/>
  <c r="CE69" i="1" s="1"/>
  <c r="CA69" i="1"/>
  <c r="BW65" i="1"/>
  <c r="BX65" i="1"/>
  <c r="CF65" i="1"/>
  <c r="CE65" i="1" s="1"/>
  <c r="BS65" i="1"/>
  <c r="CD65" i="1"/>
  <c r="CC65" i="1"/>
  <c r="BZ65" i="1"/>
  <c r="BU65" i="1"/>
  <c r="CH65" i="1"/>
  <c r="CA65" i="1"/>
  <c r="BT65" i="1"/>
  <c r="BV65" i="1"/>
  <c r="BY65" i="1"/>
  <c r="CB65" i="1"/>
  <c r="BV45" i="1"/>
  <c r="BT45" i="1"/>
  <c r="CC45" i="1"/>
  <c r="BY45" i="1"/>
  <c r="BZ45" i="1"/>
  <c r="BS45" i="1"/>
  <c r="BX45" i="1"/>
  <c r="CD45" i="1"/>
  <c r="CF45" i="1"/>
  <c r="CE45" i="1" s="1"/>
  <c r="CA45" i="1"/>
  <c r="BU45" i="1"/>
  <c r="BW45" i="1"/>
  <c r="CB45" i="1"/>
  <c r="CH45" i="1"/>
  <c r="CH153" i="1"/>
  <c r="BS28" i="1"/>
  <c r="CH28" i="1"/>
  <c r="CF28" i="1"/>
  <c r="CE28" i="1" s="1"/>
  <c r="CD28" i="1"/>
  <c r="CC28" i="1"/>
  <c r="CB28" i="1"/>
  <c r="CA28" i="1"/>
  <c r="BZ28" i="1"/>
  <c r="BY28" i="1"/>
  <c r="BX28" i="1"/>
  <c r="BW28" i="1"/>
  <c r="BU28" i="1"/>
  <c r="BV28" i="1"/>
  <c r="BT28" i="1"/>
  <c r="BY35" i="1"/>
  <c r="BX35" i="1"/>
  <c r="BW35" i="1"/>
  <c r="BV35" i="1"/>
  <c r="BU35" i="1"/>
  <c r="BT35" i="1"/>
  <c r="BS35" i="1"/>
  <c r="CH35" i="1"/>
  <c r="CF35" i="1"/>
  <c r="CE35" i="1" s="1"/>
  <c r="CC35" i="1"/>
  <c r="CB35" i="1"/>
  <c r="BZ35" i="1"/>
  <c r="CA35" i="1"/>
  <c r="CD35" i="1"/>
  <c r="BV156" i="1"/>
  <c r="BY156" i="1"/>
  <c r="BT156" i="1"/>
  <c r="BW156" i="1"/>
  <c r="CB156" i="1"/>
  <c r="CD156" i="1"/>
  <c r="CA156" i="1"/>
  <c r="CC156" i="1"/>
  <c r="BU156" i="1"/>
  <c r="BZ156" i="1"/>
  <c r="BX156" i="1"/>
  <c r="CF156" i="1"/>
  <c r="BS156" i="1"/>
  <c r="CF157" i="1"/>
  <c r="CE157" i="1" s="1"/>
  <c r="CH157" i="1"/>
  <c r="BS157" i="1"/>
  <c r="BW157" i="1"/>
  <c r="CA157" i="1"/>
  <c r="BT157" i="1"/>
  <c r="BY157" i="1"/>
  <c r="CB157" i="1"/>
  <c r="CC157" i="1"/>
  <c r="BV157" i="1"/>
  <c r="BZ157" i="1"/>
  <c r="BX157" i="1"/>
  <c r="CD157" i="1"/>
  <c r="BU157" i="1"/>
  <c r="BY119" i="1"/>
  <c r="CB119" i="1"/>
  <c r="BT119" i="1"/>
  <c r="BW119" i="1"/>
  <c r="CF119" i="1"/>
  <c r="CE119" i="1" s="1"/>
  <c r="CH119" i="1"/>
  <c r="BU119" i="1"/>
  <c r="BV119" i="1"/>
  <c r="BZ119" i="1"/>
  <c r="BS119" i="1"/>
  <c r="BX119" i="1"/>
  <c r="CA119" i="1"/>
  <c r="CD119" i="1"/>
  <c r="CC119" i="1"/>
  <c r="BT134" i="1"/>
  <c r="BV134" i="1"/>
  <c r="CB134" i="1"/>
  <c r="BY134" i="1"/>
  <c r="BW134" i="1"/>
  <c r="BU134" i="1"/>
  <c r="BX134" i="1"/>
  <c r="CF134" i="1"/>
  <c r="CE134" i="1" s="1"/>
  <c r="BZ134" i="1"/>
  <c r="BS134" i="1"/>
  <c r="CH134" i="1"/>
  <c r="CC134" i="1"/>
  <c r="CD134" i="1"/>
  <c r="CA134" i="1"/>
  <c r="CD95" i="1"/>
  <c r="BU95" i="1"/>
  <c r="BY95" i="1"/>
  <c r="CA95" i="1"/>
  <c r="CF95" i="1"/>
  <c r="CE95" i="1" s="1"/>
  <c r="CC95" i="1"/>
  <c r="CH95" i="1"/>
  <c r="BW95" i="1"/>
  <c r="BS95" i="1"/>
  <c r="BX95" i="1"/>
  <c r="BV95" i="1"/>
  <c r="BT95" i="1"/>
  <c r="BZ95" i="1"/>
  <c r="CB95" i="1"/>
  <c r="CD81" i="1"/>
  <c r="BW81" i="1"/>
  <c r="CC81" i="1"/>
  <c r="CH81" i="1"/>
  <c r="BU81" i="1"/>
  <c r="BV81" i="1"/>
  <c r="CB81" i="1"/>
  <c r="BS81" i="1"/>
  <c r="BZ81" i="1"/>
  <c r="BT81" i="1"/>
  <c r="CA81" i="1"/>
  <c r="CF81" i="1"/>
  <c r="CE81" i="1" s="1"/>
  <c r="BX81" i="1"/>
  <c r="BY81" i="1"/>
  <c r="CD60" i="1"/>
  <c r="BV60" i="1"/>
  <c r="CC60" i="1"/>
  <c r="CB60" i="1"/>
  <c r="CA60" i="1"/>
  <c r="BW60" i="1"/>
  <c r="BZ60" i="1"/>
  <c r="BY60" i="1"/>
  <c r="BX60" i="1"/>
  <c r="BU60" i="1"/>
  <c r="CF60" i="1"/>
  <c r="CE60" i="1" s="1"/>
  <c r="BT60" i="1"/>
  <c r="BS60" i="1"/>
  <c r="CD39" i="1"/>
  <c r="CF39" i="1"/>
  <c r="BV39" i="1"/>
  <c r="BW39" i="1"/>
  <c r="BS39" i="1"/>
  <c r="CC39" i="1"/>
  <c r="BY39" i="1"/>
  <c r="BT39" i="1"/>
  <c r="CA39" i="1"/>
  <c r="BX39" i="1"/>
  <c r="BZ39" i="1"/>
  <c r="CB39" i="1"/>
  <c r="BU39" i="1"/>
  <c r="CA83" i="1"/>
  <c r="BS83" i="1"/>
  <c r="BT83" i="1"/>
  <c r="BZ83" i="1"/>
  <c r="BU83" i="1"/>
  <c r="CB83" i="1"/>
  <c r="BX83" i="1"/>
  <c r="BY83" i="1"/>
  <c r="CH83" i="1"/>
  <c r="CC83" i="1"/>
  <c r="BW83" i="1"/>
  <c r="CF83" i="1"/>
  <c r="CE83" i="1" s="1"/>
  <c r="CD83" i="1"/>
  <c r="BV83" i="1"/>
  <c r="CD63" i="1"/>
  <c r="BS63" i="1"/>
  <c r="BV63" i="1"/>
  <c r="BW63" i="1"/>
  <c r="CB63" i="1"/>
  <c r="BU63" i="1"/>
  <c r="BZ63" i="1"/>
  <c r="CF63" i="1"/>
  <c r="CE63" i="1" s="1"/>
  <c r="BY63" i="1"/>
  <c r="BX63" i="1"/>
  <c r="BT63" i="1"/>
  <c r="CC63" i="1"/>
  <c r="CH63" i="1"/>
  <c r="CA63" i="1"/>
  <c r="BV106" i="1"/>
  <c r="CB106" i="1"/>
  <c r="CF106" i="1"/>
  <c r="CE106" i="1" s="1"/>
  <c r="BU106" i="1"/>
  <c r="BY106" i="1"/>
  <c r="BX106" i="1"/>
  <c r="CC106" i="1"/>
  <c r="BS106" i="1"/>
  <c r="CA106" i="1"/>
  <c r="CD106" i="1"/>
  <c r="BW106" i="1"/>
  <c r="BT106" i="1"/>
  <c r="BZ106" i="1"/>
  <c r="BS158" i="1"/>
  <c r="BO158" i="1" s="1"/>
  <c r="BP158" i="1" s="1"/>
  <c r="CF158" i="1"/>
  <c r="CE158" i="1" s="1"/>
  <c r="BW158" i="1"/>
  <c r="BY158" i="1"/>
  <c r="CC158" i="1"/>
  <c r="BV158" i="1"/>
  <c r="CD158" i="1"/>
  <c r="BX158" i="1"/>
  <c r="BT158" i="1"/>
  <c r="BU158" i="1"/>
  <c r="CA158" i="1"/>
  <c r="CB158" i="1"/>
  <c r="BZ158" i="1"/>
  <c r="BX124" i="1"/>
  <c r="BS124" i="1"/>
  <c r="CA124" i="1"/>
  <c r="BW124" i="1"/>
  <c r="CD124" i="1"/>
  <c r="CF124" i="1"/>
  <c r="CE124" i="1" s="1"/>
  <c r="BY124" i="1"/>
  <c r="BZ124" i="1"/>
  <c r="CC124" i="1"/>
  <c r="BU124" i="1"/>
  <c r="CB124" i="1"/>
  <c r="BV124" i="1"/>
  <c r="BT124" i="1"/>
  <c r="CH124" i="1"/>
  <c r="CF137" i="1"/>
  <c r="BV137" i="1"/>
  <c r="CB137" i="1"/>
  <c r="BX137" i="1"/>
  <c r="CD137" i="1"/>
  <c r="CA137" i="1"/>
  <c r="BT137" i="1"/>
  <c r="BW137" i="1"/>
  <c r="CC137" i="1"/>
  <c r="BS137" i="1"/>
  <c r="BZ137" i="1"/>
  <c r="BU137" i="1"/>
  <c r="BY137" i="1"/>
  <c r="BY99" i="1"/>
  <c r="BW99" i="1"/>
  <c r="CB99" i="1"/>
  <c r="CF99" i="1"/>
  <c r="CE99" i="1" s="1"/>
  <c r="BS99" i="1"/>
  <c r="CH99" i="1"/>
  <c r="BT99" i="1"/>
  <c r="CD99" i="1"/>
  <c r="BX99" i="1"/>
  <c r="CA99" i="1"/>
  <c r="BZ99" i="1"/>
  <c r="BU99" i="1"/>
  <c r="CC99" i="1"/>
  <c r="BV99" i="1"/>
  <c r="BU82" i="1"/>
  <c r="CA82" i="1"/>
  <c r="CC82" i="1"/>
  <c r="BW82" i="1"/>
  <c r="CD82" i="1"/>
  <c r="BY82" i="1"/>
  <c r="CF82" i="1"/>
  <c r="CE82" i="1" s="1"/>
  <c r="BS82" i="1"/>
  <c r="BT82" i="1"/>
  <c r="BV82" i="1"/>
  <c r="BX82" i="1"/>
  <c r="BZ82" i="1"/>
  <c r="CB82" i="1"/>
  <c r="BX64" i="1"/>
  <c r="CB64" i="1"/>
  <c r="BZ64" i="1"/>
  <c r="BY64" i="1"/>
  <c r="BV64" i="1"/>
  <c r="BS64" i="1"/>
  <c r="BW64" i="1"/>
  <c r="CF64" i="1"/>
  <c r="CC64" i="1"/>
  <c r="BU64" i="1"/>
  <c r="CD64" i="1"/>
  <c r="CA64" i="1"/>
  <c r="BT64" i="1"/>
  <c r="CH49" i="1"/>
  <c r="BY49" i="1"/>
  <c r="CA49" i="1"/>
  <c r="CB49" i="1"/>
  <c r="CC49" i="1"/>
  <c r="CF49" i="1"/>
  <c r="CE49" i="1" s="1"/>
  <c r="BV49" i="1"/>
  <c r="BT49" i="1"/>
  <c r="BW49" i="1"/>
  <c r="CD49" i="1"/>
  <c r="BZ49" i="1"/>
  <c r="BU49" i="1"/>
  <c r="BS49" i="1"/>
  <c r="BX49" i="1"/>
  <c r="CH68" i="1"/>
  <c r="BZ33" i="1"/>
  <c r="BY33" i="1"/>
  <c r="BX33" i="1"/>
  <c r="BW33" i="1"/>
  <c r="BV33" i="1"/>
  <c r="BU33" i="1"/>
  <c r="BT33" i="1"/>
  <c r="BS33" i="1"/>
  <c r="CH33" i="1"/>
  <c r="CD33" i="1"/>
  <c r="CC33" i="1"/>
  <c r="CF33" i="1"/>
  <c r="CE33" i="1" s="1"/>
  <c r="CB33" i="1"/>
  <c r="CA33" i="1"/>
  <c r="CA159" i="1"/>
  <c r="BY159" i="1"/>
  <c r="BU159" i="1"/>
  <c r="BT159" i="1"/>
  <c r="BW159" i="1"/>
  <c r="CF159" i="1"/>
  <c r="CE159" i="1" s="1"/>
  <c r="CD159" i="1"/>
  <c r="CC159" i="1"/>
  <c r="CB159" i="1"/>
  <c r="BS159" i="1"/>
  <c r="BZ159" i="1"/>
  <c r="BX159" i="1"/>
  <c r="BV159" i="1"/>
  <c r="BU112" i="1"/>
  <c r="BZ112" i="1"/>
  <c r="CD112" i="1"/>
  <c r="CF112" i="1"/>
  <c r="CE112" i="1" s="1"/>
  <c r="BT112" i="1"/>
  <c r="CB112" i="1"/>
  <c r="BY112" i="1"/>
  <c r="BW112" i="1"/>
  <c r="BV112" i="1"/>
  <c r="CC112" i="1"/>
  <c r="CA112" i="1"/>
  <c r="BS112" i="1"/>
  <c r="BX112" i="1"/>
  <c r="CF114" i="1"/>
  <c r="CE114" i="1" s="1"/>
  <c r="CC114" i="1"/>
  <c r="BX114" i="1"/>
  <c r="BS114" i="1"/>
  <c r="CD114" i="1"/>
  <c r="BY114" i="1"/>
  <c r="BV114" i="1"/>
  <c r="BW114" i="1"/>
  <c r="BT114" i="1"/>
  <c r="BZ114" i="1"/>
  <c r="CA114" i="1"/>
  <c r="BU114" i="1"/>
  <c r="CB114" i="1"/>
  <c r="BW126" i="1"/>
  <c r="BU126" i="1"/>
  <c r="CD126" i="1"/>
  <c r="CF126" i="1"/>
  <c r="CE126" i="1" s="1"/>
  <c r="BZ126" i="1"/>
  <c r="BX126" i="1"/>
  <c r="CA126" i="1"/>
  <c r="BY126" i="1"/>
  <c r="BT126" i="1"/>
  <c r="BV126" i="1"/>
  <c r="CC126" i="1"/>
  <c r="CB126" i="1"/>
  <c r="CH126" i="1"/>
  <c r="BS126" i="1"/>
  <c r="BX139" i="1"/>
  <c r="BZ139" i="1"/>
  <c r="CA139" i="1"/>
  <c r="CB139" i="1"/>
  <c r="CC139" i="1"/>
  <c r="CD139" i="1"/>
  <c r="BY139" i="1"/>
  <c r="BU139" i="1"/>
  <c r="BS139" i="1"/>
  <c r="BW139" i="1"/>
  <c r="BT139" i="1"/>
  <c r="BV139" i="1"/>
  <c r="CF139" i="1"/>
  <c r="CE139" i="1" s="1"/>
  <c r="CH139" i="1"/>
  <c r="BT76" i="1"/>
  <c r="BY76" i="1"/>
  <c r="BU76" i="1"/>
  <c r="CD76" i="1"/>
  <c r="BS76" i="1"/>
  <c r="BZ76" i="1"/>
  <c r="CA76" i="1"/>
  <c r="BV76" i="1"/>
  <c r="BX76" i="1"/>
  <c r="CB76" i="1"/>
  <c r="CF76" i="1"/>
  <c r="CE76" i="1" s="1"/>
  <c r="BW76" i="1"/>
  <c r="CC76" i="1"/>
  <c r="BS84" i="1"/>
  <c r="BV84" i="1"/>
  <c r="CB84" i="1"/>
  <c r="BX84" i="1"/>
  <c r="CD84" i="1"/>
  <c r="CC84" i="1"/>
  <c r="CH84" i="1"/>
  <c r="BZ84" i="1"/>
  <c r="BY84" i="1"/>
  <c r="BU84" i="1"/>
  <c r="CF84" i="1"/>
  <c r="CE84" i="1" s="1"/>
  <c r="BW84" i="1"/>
  <c r="CA84" i="1"/>
  <c r="BT84" i="1"/>
  <c r="CA56" i="1"/>
  <c r="CB56" i="1"/>
  <c r="BZ56" i="1"/>
  <c r="CH56" i="1"/>
  <c r="BY56" i="1"/>
  <c r="BS56" i="1"/>
  <c r="BT56" i="1"/>
  <c r="CF56" i="1"/>
  <c r="CE56" i="1" s="1"/>
  <c r="CC56" i="1"/>
  <c r="BW56" i="1"/>
  <c r="BV56" i="1"/>
  <c r="BU56" i="1"/>
  <c r="CD56" i="1"/>
  <c r="BX56" i="1"/>
  <c r="BX43" i="1"/>
  <c r="CA43" i="1"/>
  <c r="BW43" i="1"/>
  <c r="BZ43" i="1"/>
  <c r="CB43" i="1"/>
  <c r="CD43" i="1"/>
  <c r="BT43" i="1"/>
  <c r="BS43" i="1"/>
  <c r="CF43" i="1"/>
  <c r="CE43" i="1" s="1"/>
  <c r="BY43" i="1"/>
  <c r="BV43" i="1"/>
  <c r="CC43" i="1"/>
  <c r="BU43" i="1"/>
  <c r="BV152" i="1"/>
  <c r="BX152" i="1"/>
  <c r="BY152" i="1"/>
  <c r="BT152" i="1"/>
  <c r="BU152" i="1"/>
  <c r="CB152" i="1"/>
  <c r="CA152" i="1"/>
  <c r="BW152" i="1"/>
  <c r="BS152" i="1"/>
  <c r="CD152" i="1"/>
  <c r="BZ152" i="1"/>
  <c r="CF152" i="1"/>
  <c r="CC152" i="1"/>
  <c r="CD73" i="1"/>
  <c r="CC73" i="1"/>
  <c r="CF73" i="1"/>
  <c r="CE73" i="1" s="1"/>
  <c r="CB73" i="1"/>
  <c r="BU73" i="1"/>
  <c r="BX73" i="1"/>
  <c r="BY73" i="1"/>
  <c r="BV73" i="1"/>
  <c r="BS73" i="1"/>
  <c r="BZ73" i="1"/>
  <c r="CA73" i="1"/>
  <c r="BW73" i="1"/>
  <c r="BT73" i="1"/>
  <c r="CH73" i="1"/>
  <c r="BW113" i="1"/>
  <c r="CD113" i="1"/>
  <c r="BT113" i="1"/>
  <c r="CB113" i="1"/>
  <c r="BS113" i="1"/>
  <c r="CC113" i="1"/>
  <c r="BY113" i="1"/>
  <c r="CA113" i="1"/>
  <c r="BX113" i="1"/>
  <c r="BZ113" i="1"/>
  <c r="BU113" i="1"/>
  <c r="BV113" i="1"/>
  <c r="CF113" i="1"/>
  <c r="CE113" i="1" s="1"/>
  <c r="BW123" i="1"/>
  <c r="CF123" i="1"/>
  <c r="CE123" i="1" s="1"/>
  <c r="CH123" i="1"/>
  <c r="BV123" i="1"/>
  <c r="BT123" i="1"/>
  <c r="CC123" i="1"/>
  <c r="CD123" i="1"/>
  <c r="BX123" i="1"/>
  <c r="CA123" i="1"/>
  <c r="CB123" i="1"/>
  <c r="BY123" i="1"/>
  <c r="BZ123" i="1"/>
  <c r="BU123" i="1"/>
  <c r="BS123" i="1"/>
  <c r="BX127" i="1"/>
  <c r="BS127" i="1"/>
  <c r="BZ127" i="1"/>
  <c r="CD127" i="1"/>
  <c r="BY127" i="1"/>
  <c r="BU127" i="1"/>
  <c r="CF127" i="1"/>
  <c r="BW127" i="1"/>
  <c r="CA127" i="1"/>
  <c r="CB127" i="1"/>
  <c r="BT127" i="1"/>
  <c r="BV127" i="1"/>
  <c r="CC127" i="1"/>
  <c r="BZ162" i="1"/>
  <c r="CA162" i="1"/>
  <c r="CB162" i="1"/>
  <c r="CC162" i="1"/>
  <c r="CD162" i="1"/>
  <c r="BS162" i="1"/>
  <c r="BT162" i="1"/>
  <c r="BV162" i="1"/>
  <c r="BY162" i="1"/>
  <c r="BW162" i="1"/>
  <c r="BU162" i="1"/>
  <c r="BX162" i="1"/>
  <c r="CF162" i="1"/>
  <c r="CF90" i="1"/>
  <c r="CE90" i="1" s="1"/>
  <c r="BW90" i="1"/>
  <c r="CA90" i="1"/>
  <c r="BT90" i="1"/>
  <c r="CB90" i="1"/>
  <c r="BZ90" i="1"/>
  <c r="BX90" i="1"/>
  <c r="CC90" i="1"/>
  <c r="BS90" i="1"/>
  <c r="CD90" i="1"/>
  <c r="BU90" i="1"/>
  <c r="CH90" i="1"/>
  <c r="BV90" i="1"/>
  <c r="BY90" i="1"/>
  <c r="CC87" i="1"/>
  <c r="BU87" i="1"/>
  <c r="CF87" i="1"/>
  <c r="CE87" i="1" s="1"/>
  <c r="CH87" i="1"/>
  <c r="BV87" i="1"/>
  <c r="BY87" i="1"/>
  <c r="BS87" i="1"/>
  <c r="CA87" i="1"/>
  <c r="CB87" i="1"/>
  <c r="CD87" i="1"/>
  <c r="BT87" i="1"/>
  <c r="BW87" i="1"/>
  <c r="BZ87" i="1"/>
  <c r="BX87" i="1"/>
  <c r="BS55" i="1"/>
  <c r="BV55" i="1"/>
  <c r="CC55" i="1"/>
  <c r="BW55" i="1"/>
  <c r="CD55" i="1"/>
  <c r="CF55" i="1"/>
  <c r="CE55" i="1" s="1"/>
  <c r="BZ55" i="1"/>
  <c r="BY55" i="1"/>
  <c r="BU55" i="1"/>
  <c r="CA55" i="1"/>
  <c r="CH55" i="1"/>
  <c r="BX55" i="1"/>
  <c r="CB55" i="1"/>
  <c r="BT55" i="1"/>
  <c r="BY48" i="1"/>
  <c r="BU48" i="1"/>
  <c r="CC48" i="1"/>
  <c r="CD48" i="1"/>
  <c r="BZ48" i="1"/>
  <c r="CH48" i="1"/>
  <c r="CB48" i="1"/>
  <c r="BX48" i="1"/>
  <c r="BS48" i="1"/>
  <c r="BV48" i="1"/>
  <c r="CA48" i="1"/>
  <c r="BW48" i="1"/>
  <c r="BT48" i="1"/>
  <c r="CF48" i="1"/>
  <c r="CE48" i="1" s="1"/>
  <c r="CH100" i="1"/>
  <c r="CH38" i="1"/>
  <c r="CF38" i="1"/>
  <c r="CE38" i="1" s="1"/>
  <c r="CD38" i="1"/>
  <c r="CC38" i="1"/>
  <c r="CB38" i="1"/>
  <c r="CA38" i="1"/>
  <c r="BZ38" i="1"/>
  <c r="BY38" i="1"/>
  <c r="BX38" i="1"/>
  <c r="BW38" i="1"/>
  <c r="BV38" i="1"/>
  <c r="BT38" i="1"/>
  <c r="BS38" i="1"/>
  <c r="BU38" i="1"/>
  <c r="BW130" i="1"/>
  <c r="CF130" i="1"/>
  <c r="CE130" i="1" s="1"/>
  <c r="CD130" i="1"/>
  <c r="BS130" i="1"/>
  <c r="BV130" i="1"/>
  <c r="CB130" i="1"/>
  <c r="BU130" i="1"/>
  <c r="BY130" i="1"/>
  <c r="BX130" i="1"/>
  <c r="BT130" i="1"/>
  <c r="CA130" i="1"/>
  <c r="BZ130" i="1"/>
  <c r="CC130" i="1"/>
  <c r="BU107" i="1"/>
  <c r="BX107" i="1"/>
  <c r="CC107" i="1"/>
  <c r="BT107" i="1"/>
  <c r="CA107" i="1"/>
  <c r="BW107" i="1"/>
  <c r="CB107" i="1"/>
  <c r="BS107" i="1"/>
  <c r="BV107" i="1"/>
  <c r="CH107" i="1"/>
  <c r="BZ107" i="1"/>
  <c r="BY107" i="1"/>
  <c r="CD107" i="1"/>
  <c r="CF107" i="1"/>
  <c r="CE107" i="1" s="1"/>
  <c r="BY50" i="1"/>
  <c r="BX50" i="1"/>
  <c r="BZ50" i="1"/>
  <c r="CD50" i="1"/>
  <c r="BS50" i="1"/>
  <c r="BT50" i="1"/>
  <c r="BU50" i="1"/>
  <c r="CH50" i="1"/>
  <c r="CB50" i="1"/>
  <c r="CA50" i="1"/>
  <c r="CF50" i="1"/>
  <c r="CE50" i="1" s="1"/>
  <c r="CC50" i="1"/>
  <c r="BW50" i="1"/>
  <c r="BV50" i="1"/>
  <c r="CD116" i="1"/>
  <c r="CA116" i="1"/>
  <c r="BY116" i="1"/>
  <c r="BW116" i="1"/>
  <c r="CC116" i="1"/>
  <c r="CB116" i="1"/>
  <c r="BX116" i="1"/>
  <c r="CF116" i="1"/>
  <c r="CE116" i="1" s="1"/>
  <c r="BS116" i="1"/>
  <c r="BV116" i="1"/>
  <c r="BU116" i="1"/>
  <c r="BZ116" i="1"/>
  <c r="BT116" i="1"/>
  <c r="BZ142" i="1"/>
  <c r="BX142" i="1"/>
  <c r="CA142" i="1"/>
  <c r="CD142" i="1"/>
  <c r="BS142" i="1"/>
  <c r="BV142" i="1"/>
  <c r="CC142" i="1"/>
  <c r="CF142" i="1"/>
  <c r="CE142" i="1" s="1"/>
  <c r="BY142" i="1"/>
  <c r="CH142" i="1"/>
  <c r="BW142" i="1"/>
  <c r="BU142" i="1"/>
  <c r="BT142" i="1"/>
  <c r="CB142" i="1"/>
  <c r="BW128" i="1"/>
  <c r="BU128" i="1"/>
  <c r="BT128" i="1"/>
  <c r="BS128" i="1"/>
  <c r="CC128" i="1"/>
  <c r="CB128" i="1"/>
  <c r="CF128" i="1"/>
  <c r="CE128" i="1" s="1"/>
  <c r="CA128" i="1"/>
  <c r="CD128" i="1"/>
  <c r="BV128" i="1"/>
  <c r="BZ128" i="1"/>
  <c r="BY128" i="1"/>
  <c r="BX128" i="1"/>
  <c r="BV77" i="1"/>
  <c r="CB77" i="1"/>
  <c r="BS77" i="1"/>
  <c r="CA77" i="1"/>
  <c r="CD77" i="1"/>
  <c r="BT77" i="1"/>
  <c r="CF77" i="1"/>
  <c r="BU77" i="1"/>
  <c r="BY77" i="1"/>
  <c r="BX77" i="1"/>
  <c r="BZ77" i="1"/>
  <c r="BW77" i="1"/>
  <c r="CC77" i="1"/>
  <c r="BY91" i="1"/>
  <c r="CF91" i="1"/>
  <c r="CE91" i="1" s="1"/>
  <c r="BS91" i="1"/>
  <c r="CC91" i="1"/>
  <c r="CB91" i="1"/>
  <c r="CA91" i="1"/>
  <c r="BV91" i="1"/>
  <c r="BT91" i="1"/>
  <c r="BW91" i="1"/>
  <c r="BZ91" i="1"/>
  <c r="CD91" i="1"/>
  <c r="CH91" i="1"/>
  <c r="BX91" i="1"/>
  <c r="BU91" i="1"/>
  <c r="BS88" i="1"/>
  <c r="BU88" i="1"/>
  <c r="BW88" i="1"/>
  <c r="CA88" i="1"/>
  <c r="BX88" i="1"/>
  <c r="BZ88" i="1"/>
  <c r="CB88" i="1"/>
  <c r="CD88" i="1"/>
  <c r="CF88" i="1"/>
  <c r="CE88" i="1" s="1"/>
  <c r="CC88" i="1"/>
  <c r="BY88" i="1"/>
  <c r="BV88" i="1"/>
  <c r="BT88" i="1"/>
  <c r="BZ54" i="1"/>
  <c r="CA54" i="1"/>
  <c r="CB54" i="1"/>
  <c r="CD54" i="1"/>
  <c r="BV54" i="1"/>
  <c r="BY54" i="1"/>
  <c r="BU54" i="1"/>
  <c r="BS54" i="1"/>
  <c r="CC54" i="1"/>
  <c r="BT54" i="1"/>
  <c r="CF54" i="1"/>
  <c r="CE54" i="1" s="1"/>
  <c r="CH54" i="1"/>
  <c r="BW54" i="1"/>
  <c r="BX54" i="1"/>
  <c r="CA40" i="1"/>
  <c r="BV40" i="1"/>
  <c r="BW40" i="1"/>
  <c r="BY40" i="1"/>
  <c r="CD40" i="1"/>
  <c r="CH40" i="1"/>
  <c r="BT40" i="1"/>
  <c r="CF40" i="1"/>
  <c r="CE40" i="1" s="1"/>
  <c r="BU40" i="1"/>
  <c r="CC40" i="1"/>
  <c r="BS40" i="1"/>
  <c r="BX40" i="1"/>
  <c r="BZ40" i="1"/>
  <c r="CB40" i="1"/>
  <c r="CH159" i="1"/>
  <c r="CH82" i="1"/>
  <c r="CH62" i="1"/>
  <c r="CB133" i="1"/>
  <c r="BX133" i="1"/>
  <c r="CA133" i="1"/>
  <c r="BZ133" i="1"/>
  <c r="CD133" i="1"/>
  <c r="CC133" i="1"/>
  <c r="BW133" i="1"/>
  <c r="BV133" i="1"/>
  <c r="CF133" i="1"/>
  <c r="CE133" i="1" s="1"/>
  <c r="BU133" i="1"/>
  <c r="BT133" i="1"/>
  <c r="BY133" i="1"/>
  <c r="CH133" i="1"/>
  <c r="BS133" i="1"/>
  <c r="BV125" i="1"/>
  <c r="BT125" i="1"/>
  <c r="CF125" i="1"/>
  <c r="BU125" i="1"/>
  <c r="BZ125" i="1"/>
  <c r="CB125" i="1"/>
  <c r="CC125" i="1"/>
  <c r="BW125" i="1"/>
  <c r="BS125" i="1"/>
  <c r="CA125" i="1"/>
  <c r="BY125" i="1"/>
  <c r="CD125" i="1"/>
  <c r="BX125" i="1"/>
  <c r="CB151" i="1"/>
  <c r="BU151" i="1"/>
  <c r="CA151" i="1"/>
  <c r="BX151" i="1"/>
  <c r="BY151" i="1"/>
  <c r="CC151" i="1"/>
  <c r="CF151" i="1"/>
  <c r="CE151" i="1" s="1"/>
  <c r="BT151" i="1"/>
  <c r="BW151" i="1"/>
  <c r="CD151" i="1"/>
  <c r="BS151" i="1"/>
  <c r="BZ151" i="1"/>
  <c r="BV151" i="1"/>
  <c r="BU129" i="1"/>
  <c r="BT129" i="1"/>
  <c r="BS129" i="1"/>
  <c r="BW129" i="1"/>
  <c r="CF129" i="1"/>
  <c r="CE129" i="1" s="1"/>
  <c r="CA129" i="1"/>
  <c r="CD129" i="1"/>
  <c r="BZ129" i="1"/>
  <c r="CC129" i="1"/>
  <c r="BV129" i="1"/>
  <c r="BY129" i="1"/>
  <c r="CB129" i="1"/>
  <c r="BX129" i="1"/>
  <c r="CH78" i="1"/>
  <c r="CC78" i="1"/>
  <c r="CB78" i="1"/>
  <c r="BT78" i="1"/>
  <c r="BV78" i="1"/>
  <c r="BZ78" i="1"/>
  <c r="BW78" i="1"/>
  <c r="CA78" i="1"/>
  <c r="BS78" i="1"/>
  <c r="BX78" i="1"/>
  <c r="CD78" i="1"/>
  <c r="BY78" i="1"/>
  <c r="BU78" i="1"/>
  <c r="CF78" i="1"/>
  <c r="CE78" i="1" s="1"/>
  <c r="CA93" i="1"/>
  <c r="BX93" i="1"/>
  <c r="BW93" i="1"/>
  <c r="BT93" i="1"/>
  <c r="CD93" i="1"/>
  <c r="CB93" i="1"/>
  <c r="BS93" i="1"/>
  <c r="BY93" i="1"/>
  <c r="BV93" i="1"/>
  <c r="CC93" i="1"/>
  <c r="BZ93" i="1"/>
  <c r="BU93" i="1"/>
  <c r="CF93" i="1"/>
  <c r="BT94" i="1"/>
  <c r="CA94" i="1"/>
  <c r="BY94" i="1"/>
  <c r="CF94" i="1"/>
  <c r="CE94" i="1" s="1"/>
  <c r="BV94" i="1"/>
  <c r="BZ94" i="1"/>
  <c r="CD94" i="1"/>
  <c r="CH94" i="1"/>
  <c r="CC94" i="1"/>
  <c r="BW94" i="1"/>
  <c r="BS94" i="1"/>
  <c r="CB94" i="1"/>
  <c r="BU94" i="1"/>
  <c r="BX94" i="1"/>
  <c r="BS53" i="1"/>
  <c r="BV53" i="1"/>
  <c r="CH53" i="1"/>
  <c r="BX53" i="1"/>
  <c r="BY53" i="1"/>
  <c r="BW53" i="1"/>
  <c r="CC53" i="1"/>
  <c r="CF53" i="1"/>
  <c r="CE53" i="1" s="1"/>
  <c r="BZ53" i="1"/>
  <c r="BU53" i="1"/>
  <c r="BT53" i="1"/>
  <c r="CB53" i="1"/>
  <c r="CA53" i="1"/>
  <c r="CD53" i="1"/>
  <c r="BS44" i="1"/>
  <c r="CD44" i="1"/>
  <c r="BW44" i="1"/>
  <c r="CA44" i="1"/>
  <c r="BT44" i="1"/>
  <c r="BX44" i="1"/>
  <c r="BV44" i="1"/>
  <c r="BU44" i="1"/>
  <c r="CH44" i="1"/>
  <c r="CF44" i="1"/>
  <c r="CE44" i="1" s="1"/>
  <c r="BY44" i="1"/>
  <c r="CB44" i="1"/>
  <c r="CC44" i="1"/>
  <c r="BZ44" i="1"/>
  <c r="CH146" i="1"/>
  <c r="CH41" i="1"/>
  <c r="BX32" i="1"/>
  <c r="BW32" i="1"/>
  <c r="BV32" i="1"/>
  <c r="BU32" i="1"/>
  <c r="BT32" i="1"/>
  <c r="BS32" i="1"/>
  <c r="CH32" i="1"/>
  <c r="CF32" i="1"/>
  <c r="CE32" i="1" s="1"/>
  <c r="CD32" i="1"/>
  <c r="CB32" i="1"/>
  <c r="CA32" i="1"/>
  <c r="CC32" i="1"/>
  <c r="BZ32" i="1"/>
  <c r="BY32" i="1"/>
  <c r="CH158" i="1"/>
  <c r="CH147" i="1"/>
  <c r="CH76" i="1"/>
  <c r="CH129" i="1"/>
  <c r="CH112" i="1"/>
  <c r="BT253" i="1"/>
  <c r="BZ253" i="1"/>
  <c r="CD253" i="1"/>
  <c r="BU253" i="1"/>
  <c r="CF253" i="1"/>
  <c r="CE253" i="1" s="1"/>
  <c r="CH253" i="1"/>
  <c r="BX253" i="1"/>
  <c r="CA253" i="1"/>
  <c r="BV253" i="1"/>
  <c r="BW253" i="1"/>
  <c r="BS253" i="1"/>
  <c r="CC253" i="1"/>
  <c r="BY253" i="1"/>
  <c r="CB253" i="1"/>
  <c r="BS237" i="1"/>
  <c r="CF237" i="1"/>
  <c r="CE237" i="1" s="1"/>
  <c r="CB237" i="1"/>
  <c r="BT237" i="1"/>
  <c r="BY237" i="1"/>
  <c r="BX237" i="1"/>
  <c r="CD237" i="1"/>
  <c r="BV237" i="1"/>
  <c r="BU237" i="1"/>
  <c r="BZ237" i="1"/>
  <c r="BW237" i="1"/>
  <c r="CA237" i="1"/>
  <c r="CC237" i="1"/>
  <c r="BT223" i="1"/>
  <c r="CC223" i="1"/>
  <c r="CA223" i="1"/>
  <c r="BY223" i="1"/>
  <c r="CD223" i="1"/>
  <c r="BX223" i="1"/>
  <c r="BV223" i="1"/>
  <c r="BW223" i="1"/>
  <c r="CF223" i="1"/>
  <c r="BU223" i="1"/>
  <c r="BZ223" i="1"/>
  <c r="CB223" i="1"/>
  <c r="BS223" i="1"/>
  <c r="BY213" i="1"/>
  <c r="BW213" i="1"/>
  <c r="BT213" i="1"/>
  <c r="CF213" i="1"/>
  <c r="CC213" i="1"/>
  <c r="BS213" i="1"/>
  <c r="BX213" i="1"/>
  <c r="CD213" i="1"/>
  <c r="CB213" i="1"/>
  <c r="CA213" i="1"/>
  <c r="BU213" i="1"/>
  <c r="BZ213" i="1"/>
  <c r="BV213" i="1"/>
  <c r="BW189" i="1"/>
  <c r="CB189" i="1"/>
  <c r="CH189" i="1"/>
  <c r="BU189" i="1"/>
  <c r="CD189" i="1"/>
  <c r="BZ189" i="1"/>
  <c r="CF189" i="1"/>
  <c r="CE189" i="1" s="1"/>
  <c r="BV189" i="1"/>
  <c r="CA189" i="1"/>
  <c r="BY189" i="1"/>
  <c r="BX189" i="1"/>
  <c r="CC189" i="1"/>
  <c r="BS189" i="1"/>
  <c r="BT189" i="1"/>
  <c r="CA186" i="1"/>
  <c r="CF186" i="1"/>
  <c r="CD186" i="1"/>
  <c r="BT186" i="1"/>
  <c r="CC186" i="1"/>
  <c r="BW186" i="1"/>
  <c r="BY186" i="1"/>
  <c r="BS186" i="1"/>
  <c r="BV186" i="1"/>
  <c r="BZ186" i="1"/>
  <c r="CB186" i="1"/>
  <c r="BX186" i="1"/>
  <c r="BU186" i="1"/>
  <c r="BU176" i="1"/>
  <c r="BT176" i="1"/>
  <c r="CH176" i="1"/>
  <c r="BS176" i="1"/>
  <c r="CF176" i="1"/>
  <c r="CE176" i="1" s="1"/>
  <c r="CD176" i="1"/>
  <c r="BZ176" i="1"/>
  <c r="CA176" i="1"/>
  <c r="CC176" i="1"/>
  <c r="BV176" i="1"/>
  <c r="CB176" i="1"/>
  <c r="BX176" i="1"/>
  <c r="BW176" i="1"/>
  <c r="BY176" i="1"/>
  <c r="BZ170" i="1"/>
  <c r="CB170" i="1"/>
  <c r="BW170" i="1"/>
  <c r="BU170" i="1"/>
  <c r="BX170" i="1"/>
  <c r="CA170" i="1"/>
  <c r="CF170" i="1"/>
  <c r="BT170" i="1"/>
  <c r="BY170" i="1"/>
  <c r="CC170" i="1"/>
  <c r="CD170" i="1"/>
  <c r="BS170" i="1"/>
  <c r="BV170" i="1"/>
  <c r="BX274" i="1"/>
  <c r="BV274" i="1"/>
  <c r="BZ274" i="1"/>
  <c r="CD274" i="1"/>
  <c r="BT274" i="1"/>
  <c r="BU274" i="1"/>
  <c r="CH274" i="1"/>
  <c r="CA274" i="1"/>
  <c r="BW274" i="1"/>
  <c r="CF274" i="1"/>
  <c r="CE274" i="1" s="1"/>
  <c r="CC274" i="1"/>
  <c r="BS274" i="1"/>
  <c r="CB274" i="1"/>
  <c r="BY274" i="1"/>
  <c r="CA259" i="1"/>
  <c r="CD259" i="1"/>
  <c r="BX259" i="1"/>
  <c r="BU259" i="1"/>
  <c r="CF259" i="1"/>
  <c r="CE259" i="1" s="1"/>
  <c r="CB259" i="1"/>
  <c r="CC259" i="1"/>
  <c r="BV259" i="1"/>
  <c r="BW259" i="1"/>
  <c r="BZ259" i="1"/>
  <c r="BT259" i="1"/>
  <c r="BS259" i="1"/>
  <c r="BY259" i="1"/>
  <c r="BV254" i="1"/>
  <c r="BT254" i="1"/>
  <c r="BY254" i="1"/>
  <c r="BW254" i="1"/>
  <c r="CC254" i="1"/>
  <c r="CD254" i="1"/>
  <c r="CB254" i="1"/>
  <c r="BX254" i="1"/>
  <c r="BZ254" i="1"/>
  <c r="CA254" i="1"/>
  <c r="BS254" i="1"/>
  <c r="CF254" i="1"/>
  <c r="BU254" i="1"/>
  <c r="BV246" i="1"/>
  <c r="BT246" i="1"/>
  <c r="CH246" i="1"/>
  <c r="BX246" i="1"/>
  <c r="BU246" i="1"/>
  <c r="BW246" i="1"/>
  <c r="BY246" i="1"/>
  <c r="BS246" i="1"/>
  <c r="CB246" i="1"/>
  <c r="CD246" i="1"/>
  <c r="CF246" i="1"/>
  <c r="CE246" i="1" s="1"/>
  <c r="CA246" i="1"/>
  <c r="CC246" i="1"/>
  <c r="BZ246" i="1"/>
  <c r="BV238" i="1"/>
  <c r="BW238" i="1"/>
  <c r="BY238" i="1"/>
  <c r="BS238" i="1"/>
  <c r="CC238" i="1"/>
  <c r="CD238" i="1"/>
  <c r="BX238" i="1"/>
  <c r="CA238" i="1"/>
  <c r="CB238" i="1"/>
  <c r="CF238" i="1"/>
  <c r="BT238" i="1"/>
  <c r="BU238" i="1"/>
  <c r="BZ238" i="1"/>
  <c r="BS229" i="1"/>
  <c r="BZ229" i="1"/>
  <c r="BY229" i="1"/>
  <c r="CB229" i="1"/>
  <c r="BW229" i="1"/>
  <c r="BV229" i="1"/>
  <c r="CC229" i="1"/>
  <c r="CA229" i="1"/>
  <c r="BT229" i="1"/>
  <c r="CD229" i="1"/>
  <c r="BX229" i="1"/>
  <c r="CF229" i="1"/>
  <c r="BU229" i="1"/>
  <c r="CB221" i="1"/>
  <c r="BW221" i="1"/>
  <c r="BV221" i="1"/>
  <c r="BT221" i="1"/>
  <c r="CC221" i="1"/>
  <c r="BZ221" i="1"/>
  <c r="CF221" i="1"/>
  <c r="BS221" i="1"/>
  <c r="BU221" i="1"/>
  <c r="CD221" i="1"/>
  <c r="BY221" i="1"/>
  <c r="BX221" i="1"/>
  <c r="CA221" i="1"/>
  <c r="CD217" i="1"/>
  <c r="CC217" i="1"/>
  <c r="BZ217" i="1"/>
  <c r="CA217" i="1"/>
  <c r="BV217" i="1"/>
  <c r="BU217" i="1"/>
  <c r="CF217" i="1"/>
  <c r="CE217" i="1" s="1"/>
  <c r="BS217" i="1"/>
  <c r="CB217" i="1"/>
  <c r="BW217" i="1"/>
  <c r="BX217" i="1"/>
  <c r="CH217" i="1"/>
  <c r="BY217" i="1"/>
  <c r="BT217" i="1"/>
  <c r="BW206" i="1"/>
  <c r="BV206" i="1"/>
  <c r="CA206" i="1"/>
  <c r="CB206" i="1"/>
  <c r="BY206" i="1"/>
  <c r="BS206" i="1"/>
  <c r="CC206" i="1"/>
  <c r="BT206" i="1"/>
  <c r="CF206" i="1"/>
  <c r="BU206" i="1"/>
  <c r="CD206" i="1"/>
  <c r="BX206" i="1"/>
  <c r="BZ206" i="1"/>
  <c r="BW198" i="1"/>
  <c r="CC198" i="1"/>
  <c r="CH198" i="1"/>
  <c r="BX198" i="1"/>
  <c r="BV198" i="1"/>
  <c r="CD198" i="1"/>
  <c r="CA198" i="1"/>
  <c r="BZ198" i="1"/>
  <c r="BU198" i="1"/>
  <c r="BY198" i="1"/>
  <c r="CB198" i="1"/>
  <c r="BT198" i="1"/>
  <c r="BS198" i="1"/>
  <c r="CF198" i="1"/>
  <c r="CE198" i="1" s="1"/>
  <c r="CC190" i="1"/>
  <c r="BT190" i="1"/>
  <c r="BY190" i="1"/>
  <c r="BW190" i="1"/>
  <c r="CA190" i="1"/>
  <c r="BU190" i="1"/>
  <c r="BS190" i="1"/>
  <c r="CF190" i="1"/>
  <c r="CB190" i="1"/>
  <c r="BV190" i="1"/>
  <c r="BX190" i="1"/>
  <c r="BZ190" i="1"/>
  <c r="CD190" i="1"/>
  <c r="BU177" i="1"/>
  <c r="CC177" i="1"/>
  <c r="BT177" i="1"/>
  <c r="BV177" i="1"/>
  <c r="CH177" i="1"/>
  <c r="CA177" i="1"/>
  <c r="CB177" i="1"/>
  <c r="CD177" i="1"/>
  <c r="BX177" i="1"/>
  <c r="BW177" i="1"/>
  <c r="CF177" i="1"/>
  <c r="CE177" i="1" s="1"/>
  <c r="BY177" i="1"/>
  <c r="BS177" i="1"/>
  <c r="BZ177" i="1"/>
  <c r="BT174" i="1"/>
  <c r="BZ174" i="1"/>
  <c r="CA174" i="1"/>
  <c r="BV174" i="1"/>
  <c r="CF174" i="1"/>
  <c r="CE174" i="1" s="1"/>
  <c r="BS174" i="1"/>
  <c r="CD174" i="1"/>
  <c r="BY174" i="1"/>
  <c r="CB174" i="1"/>
  <c r="BX174" i="1"/>
  <c r="BU174" i="1"/>
  <c r="CC174" i="1"/>
  <c r="BW174" i="1"/>
  <c r="CH174" i="1"/>
  <c r="CB168" i="1"/>
  <c r="CF168" i="1"/>
  <c r="CE168" i="1" s="1"/>
  <c r="BV168" i="1"/>
  <c r="BS168" i="1"/>
  <c r="BT168" i="1"/>
  <c r="BX168" i="1"/>
  <c r="BY168" i="1"/>
  <c r="BZ168" i="1"/>
  <c r="BW168" i="1"/>
  <c r="BU168" i="1"/>
  <c r="CD168" i="1"/>
  <c r="CC168" i="1"/>
  <c r="CA168" i="1"/>
  <c r="BU239" i="1"/>
  <c r="CF239" i="1"/>
  <c r="BX239" i="1"/>
  <c r="BV239" i="1"/>
  <c r="CA239" i="1"/>
  <c r="BT239" i="1"/>
  <c r="BW239" i="1"/>
  <c r="CB239" i="1"/>
  <c r="BS239" i="1"/>
  <c r="CC239" i="1"/>
  <c r="BZ239" i="1"/>
  <c r="CD239" i="1"/>
  <c r="BY239" i="1"/>
  <c r="BZ178" i="1"/>
  <c r="CA178" i="1"/>
  <c r="BU178" i="1"/>
  <c r="CD178" i="1"/>
  <c r="CF178" i="1"/>
  <c r="CE178" i="1" s="1"/>
  <c r="BS178" i="1"/>
  <c r="CB178" i="1"/>
  <c r="BV178" i="1"/>
  <c r="BX178" i="1"/>
  <c r="BT178" i="1"/>
  <c r="BW178" i="1"/>
  <c r="CC178" i="1"/>
  <c r="BY178" i="1"/>
  <c r="BT273" i="1"/>
  <c r="BZ273" i="1"/>
  <c r="CD273" i="1"/>
  <c r="BU273" i="1"/>
  <c r="CA273" i="1"/>
  <c r="BY273" i="1"/>
  <c r="BV273" i="1"/>
  <c r="CF273" i="1"/>
  <c r="CE273" i="1" s="1"/>
  <c r="BS273" i="1"/>
  <c r="CB273" i="1"/>
  <c r="BW273" i="1"/>
  <c r="BX273" i="1"/>
  <c r="CC273" i="1"/>
  <c r="CH273" i="1"/>
  <c r="CA255" i="1"/>
  <c r="BV255" i="1"/>
  <c r="BX255" i="1"/>
  <c r="BY255" i="1"/>
  <c r="CB255" i="1"/>
  <c r="BU255" i="1"/>
  <c r="BS255" i="1"/>
  <c r="BZ255" i="1"/>
  <c r="CD255" i="1"/>
  <c r="CH255" i="1"/>
  <c r="BW255" i="1"/>
  <c r="CC255" i="1"/>
  <c r="CF255" i="1"/>
  <c r="CE255" i="1" s="1"/>
  <c r="BT255" i="1"/>
  <c r="BX230" i="1"/>
  <c r="BZ230" i="1"/>
  <c r="BT230" i="1"/>
  <c r="BW230" i="1"/>
  <c r="CD230" i="1"/>
  <c r="BU230" i="1"/>
  <c r="CB230" i="1"/>
  <c r="BS230" i="1"/>
  <c r="CA230" i="1"/>
  <c r="CC230" i="1"/>
  <c r="BV230" i="1"/>
  <c r="BY230" i="1"/>
  <c r="CF230" i="1"/>
  <c r="CF219" i="1"/>
  <c r="CE219" i="1" s="1"/>
  <c r="BU219" i="1"/>
  <c r="BY219" i="1"/>
  <c r="BZ219" i="1"/>
  <c r="BV219" i="1"/>
  <c r="CC219" i="1"/>
  <c r="CD219" i="1"/>
  <c r="BS219" i="1"/>
  <c r="CH219" i="1"/>
  <c r="BT219" i="1"/>
  <c r="CA219" i="1"/>
  <c r="CB219" i="1"/>
  <c r="BX219" i="1"/>
  <c r="BW219" i="1"/>
  <c r="CD199" i="1"/>
  <c r="BX199" i="1"/>
  <c r="BU199" i="1"/>
  <c r="BY199" i="1"/>
  <c r="CC199" i="1"/>
  <c r="CA199" i="1"/>
  <c r="BT199" i="1"/>
  <c r="BV199" i="1"/>
  <c r="BW199" i="1"/>
  <c r="CF199" i="1"/>
  <c r="CB199" i="1"/>
  <c r="BZ199" i="1"/>
  <c r="BS199" i="1"/>
  <c r="BV181" i="1"/>
  <c r="BY181" i="1"/>
  <c r="BW181" i="1"/>
  <c r="BT181" i="1"/>
  <c r="CC181" i="1"/>
  <c r="BX181" i="1"/>
  <c r="BS181" i="1"/>
  <c r="CF181" i="1"/>
  <c r="CA181" i="1"/>
  <c r="CD181" i="1"/>
  <c r="BU181" i="1"/>
  <c r="CB181" i="1"/>
  <c r="BZ181" i="1"/>
  <c r="CD266" i="1"/>
  <c r="CA266" i="1"/>
  <c r="BS266" i="1"/>
  <c r="CH266" i="1"/>
  <c r="CB266" i="1"/>
  <c r="BV266" i="1"/>
  <c r="BX266" i="1"/>
  <c r="BZ266" i="1"/>
  <c r="BT266" i="1"/>
  <c r="CC266" i="1"/>
  <c r="BY266" i="1"/>
  <c r="BW266" i="1"/>
  <c r="BU266" i="1"/>
  <c r="CF266" i="1"/>
  <c r="CE266" i="1" s="1"/>
  <c r="CC257" i="1"/>
  <c r="CB257" i="1"/>
  <c r="BY257" i="1"/>
  <c r="CA257" i="1"/>
  <c r="BT257" i="1"/>
  <c r="BU257" i="1"/>
  <c r="BW257" i="1"/>
  <c r="BS257" i="1"/>
  <c r="BV257" i="1"/>
  <c r="BZ257" i="1"/>
  <c r="CD257" i="1"/>
  <c r="BX257" i="1"/>
  <c r="CF257" i="1"/>
  <c r="CF256" i="1"/>
  <c r="CE256" i="1" s="1"/>
  <c r="CD256" i="1"/>
  <c r="BS256" i="1"/>
  <c r="CB256" i="1"/>
  <c r="BX256" i="1"/>
  <c r="BY256" i="1"/>
  <c r="CH256" i="1"/>
  <c r="BZ256" i="1"/>
  <c r="BW256" i="1"/>
  <c r="CC256" i="1"/>
  <c r="CA256" i="1"/>
  <c r="BV256" i="1"/>
  <c r="BT256" i="1"/>
  <c r="BU256" i="1"/>
  <c r="BV244" i="1"/>
  <c r="BS244" i="1"/>
  <c r="BW244" i="1"/>
  <c r="BU244" i="1"/>
  <c r="BT244" i="1"/>
  <c r="CD244" i="1"/>
  <c r="BX244" i="1"/>
  <c r="CA244" i="1"/>
  <c r="CB244" i="1"/>
  <c r="CC244" i="1"/>
  <c r="CF244" i="1"/>
  <c r="BZ244" i="1"/>
  <c r="BY244" i="1"/>
  <c r="CF235" i="1"/>
  <c r="CE235" i="1" s="1"/>
  <c r="BU235" i="1"/>
  <c r="CB235" i="1"/>
  <c r="BS235" i="1"/>
  <c r="CC235" i="1"/>
  <c r="BV235" i="1"/>
  <c r="BY235" i="1"/>
  <c r="BX235" i="1"/>
  <c r="CA235" i="1"/>
  <c r="BT235" i="1"/>
  <c r="BW235" i="1"/>
  <c r="CD235" i="1"/>
  <c r="CH235" i="1"/>
  <c r="BZ235" i="1"/>
  <c r="CB227" i="1"/>
  <c r="BS227" i="1"/>
  <c r="BU227" i="1"/>
  <c r="CC227" i="1"/>
  <c r="CF227" i="1"/>
  <c r="CE227" i="1" s="1"/>
  <c r="BV227" i="1"/>
  <c r="BT227" i="1"/>
  <c r="BZ227" i="1"/>
  <c r="BY227" i="1"/>
  <c r="CA227" i="1"/>
  <c r="BW227" i="1"/>
  <c r="BX227" i="1"/>
  <c r="CH227" i="1"/>
  <c r="CD227" i="1"/>
  <c r="BX222" i="1"/>
  <c r="BV222" i="1"/>
  <c r="CA222" i="1"/>
  <c r="BU222" i="1"/>
  <c r="CC222" i="1"/>
  <c r="BY222" i="1"/>
  <c r="BW222" i="1"/>
  <c r="CB222" i="1"/>
  <c r="CH222" i="1"/>
  <c r="CF222" i="1"/>
  <c r="CE222" i="1" s="1"/>
  <c r="CD222" i="1"/>
  <c r="BT222" i="1"/>
  <c r="BS222" i="1"/>
  <c r="BZ222" i="1"/>
  <c r="BT216" i="1"/>
  <c r="CC216" i="1"/>
  <c r="BW216" i="1"/>
  <c r="BY216" i="1"/>
  <c r="CH216" i="1"/>
  <c r="BU216" i="1"/>
  <c r="CA216" i="1"/>
  <c r="CB216" i="1"/>
  <c r="CD216" i="1"/>
  <c r="BS216" i="1"/>
  <c r="BZ216" i="1"/>
  <c r="BV216" i="1"/>
  <c r="CF216" i="1"/>
  <c r="CE216" i="1" s="1"/>
  <c r="BX216" i="1"/>
  <c r="BW205" i="1"/>
  <c r="CF205" i="1"/>
  <c r="BS205" i="1"/>
  <c r="BT205" i="1"/>
  <c r="BV205" i="1"/>
  <c r="CA205" i="1"/>
  <c r="BU205" i="1"/>
  <c r="CB205" i="1"/>
  <c r="CD205" i="1"/>
  <c r="BY205" i="1"/>
  <c r="BZ205" i="1"/>
  <c r="BX205" i="1"/>
  <c r="CC205" i="1"/>
  <c r="BT196" i="1"/>
  <c r="CA196" i="1"/>
  <c r="CB196" i="1"/>
  <c r="BU196" i="1"/>
  <c r="BV196" i="1"/>
  <c r="BS196" i="1"/>
  <c r="BX196" i="1"/>
  <c r="BY196" i="1"/>
  <c r="CH196" i="1"/>
  <c r="CD196" i="1"/>
  <c r="CC196" i="1"/>
  <c r="CF196" i="1"/>
  <c r="CE196" i="1" s="1"/>
  <c r="BZ196" i="1"/>
  <c r="BW196" i="1"/>
  <c r="CH184" i="1"/>
  <c r="BV184" i="1"/>
  <c r="BW184" i="1"/>
  <c r="BY184" i="1"/>
  <c r="BS184" i="1"/>
  <c r="CF184" i="1"/>
  <c r="CE184" i="1" s="1"/>
  <c r="CA184" i="1"/>
  <c r="CD184" i="1"/>
  <c r="BZ184" i="1"/>
  <c r="CC184" i="1"/>
  <c r="BU184" i="1"/>
  <c r="CB184" i="1"/>
  <c r="BX184" i="1"/>
  <c r="BT184" i="1"/>
  <c r="BY175" i="1"/>
  <c r="CA175" i="1"/>
  <c r="BU175" i="1"/>
  <c r="CD175" i="1"/>
  <c r="CF175" i="1"/>
  <c r="BS175" i="1"/>
  <c r="CB175" i="1"/>
  <c r="BV175" i="1"/>
  <c r="BX175" i="1"/>
  <c r="BT175" i="1"/>
  <c r="CC175" i="1"/>
  <c r="BZ175" i="1"/>
  <c r="BW175" i="1"/>
  <c r="BV180" i="1"/>
  <c r="BZ180" i="1"/>
  <c r="BW180" i="1"/>
  <c r="CB180" i="1"/>
  <c r="BY180" i="1"/>
  <c r="BT180" i="1"/>
  <c r="CA180" i="1"/>
  <c r="CD180" i="1"/>
  <c r="BS180" i="1"/>
  <c r="CF180" i="1"/>
  <c r="BX180" i="1"/>
  <c r="CC180" i="1"/>
  <c r="BU180" i="1"/>
  <c r="CC166" i="1"/>
  <c r="BW166" i="1"/>
  <c r="BZ166" i="1"/>
  <c r="BV166" i="1"/>
  <c r="BU166" i="1"/>
  <c r="BX166" i="1"/>
  <c r="CA166" i="1"/>
  <c r="CB166" i="1"/>
  <c r="CD166" i="1"/>
  <c r="BT166" i="1"/>
  <c r="BY166" i="1"/>
  <c r="CF166" i="1"/>
  <c r="BS166" i="1"/>
  <c r="BV258" i="1"/>
  <c r="CC258" i="1"/>
  <c r="BW258" i="1"/>
  <c r="BZ258" i="1"/>
  <c r="BT258" i="1"/>
  <c r="CD258" i="1"/>
  <c r="CA258" i="1"/>
  <c r="BY258" i="1"/>
  <c r="BX258" i="1"/>
  <c r="BS258" i="1"/>
  <c r="BU258" i="1"/>
  <c r="CH258" i="1"/>
  <c r="CB258" i="1"/>
  <c r="CF258" i="1"/>
  <c r="CE258" i="1" s="1"/>
  <c r="CB215" i="1"/>
  <c r="CC215" i="1"/>
  <c r="BX215" i="1"/>
  <c r="BZ215" i="1"/>
  <c r="CA215" i="1"/>
  <c r="BY215" i="1"/>
  <c r="CD215" i="1"/>
  <c r="BW215" i="1"/>
  <c r="BS215" i="1"/>
  <c r="CF215" i="1"/>
  <c r="BT215" i="1"/>
  <c r="BV215" i="1"/>
  <c r="BU215" i="1"/>
  <c r="BX267" i="1"/>
  <c r="BY267" i="1"/>
  <c r="BS267" i="1"/>
  <c r="CC267" i="1"/>
  <c r="BW267" i="1"/>
  <c r="BV267" i="1"/>
  <c r="CD267" i="1"/>
  <c r="BU267" i="1"/>
  <c r="CA267" i="1"/>
  <c r="BT267" i="1"/>
  <c r="CB267" i="1"/>
  <c r="CF267" i="1"/>
  <c r="BZ267" i="1"/>
  <c r="BW247" i="1"/>
  <c r="BV247" i="1"/>
  <c r="CB247" i="1"/>
  <c r="BX247" i="1"/>
  <c r="CD247" i="1"/>
  <c r="BU247" i="1"/>
  <c r="BS247" i="1"/>
  <c r="CF247" i="1"/>
  <c r="BZ247" i="1"/>
  <c r="CC247" i="1"/>
  <c r="CA247" i="1"/>
  <c r="BY247" i="1"/>
  <c r="BT247" i="1"/>
  <c r="BS220" i="1"/>
  <c r="CF220" i="1"/>
  <c r="CE220" i="1" s="1"/>
  <c r="BV220" i="1"/>
  <c r="CB220" i="1"/>
  <c r="CH220" i="1"/>
  <c r="BX220" i="1"/>
  <c r="BZ220" i="1"/>
  <c r="CA220" i="1"/>
  <c r="CC220" i="1"/>
  <c r="BY220" i="1"/>
  <c r="BW220" i="1"/>
  <c r="BU220" i="1"/>
  <c r="BT220" i="1"/>
  <c r="CD220" i="1"/>
  <c r="BT210" i="1"/>
  <c r="BY210" i="1"/>
  <c r="CC210" i="1"/>
  <c r="BS210" i="1"/>
  <c r="BW210" i="1"/>
  <c r="BX210" i="1"/>
  <c r="BV210" i="1"/>
  <c r="BU210" i="1"/>
  <c r="BZ210" i="1"/>
  <c r="CD210" i="1"/>
  <c r="CA210" i="1"/>
  <c r="CB210" i="1"/>
  <c r="CF210" i="1"/>
  <c r="BX191" i="1"/>
  <c r="CH191" i="1"/>
  <c r="BT191" i="1"/>
  <c r="CC191" i="1"/>
  <c r="BW191" i="1"/>
  <c r="BY191" i="1"/>
  <c r="CA191" i="1"/>
  <c r="CD191" i="1"/>
  <c r="CF191" i="1"/>
  <c r="CE191" i="1" s="1"/>
  <c r="BS191" i="1"/>
  <c r="CB191" i="1"/>
  <c r="BV191" i="1"/>
  <c r="BZ191" i="1"/>
  <c r="BU191" i="1"/>
  <c r="BZ163" i="1"/>
  <c r="CD163" i="1"/>
  <c r="CC163" i="1"/>
  <c r="BX163" i="1"/>
  <c r="CA163" i="1"/>
  <c r="BS163" i="1"/>
  <c r="BV163" i="1"/>
  <c r="BU163" i="1"/>
  <c r="BY163" i="1"/>
  <c r="BW163" i="1"/>
  <c r="CB163" i="1"/>
  <c r="CF163" i="1"/>
  <c r="BT163" i="1"/>
  <c r="BV275" i="1"/>
  <c r="BS275" i="1"/>
  <c r="BY275" i="1"/>
  <c r="BW275" i="1"/>
  <c r="CC275" i="1"/>
  <c r="CH275" i="1"/>
  <c r="BT275" i="1"/>
  <c r="CF275" i="1"/>
  <c r="CE275" i="1" s="1"/>
  <c r="BZ275" i="1"/>
  <c r="CB275" i="1"/>
  <c r="BU275" i="1"/>
  <c r="BX275" i="1"/>
  <c r="CD275" i="1"/>
  <c r="CA275" i="1"/>
  <c r="BV271" i="1"/>
  <c r="BT271" i="1"/>
  <c r="BY271" i="1"/>
  <c r="CF271" i="1"/>
  <c r="CC271" i="1"/>
  <c r="CA271" i="1"/>
  <c r="BZ271" i="1"/>
  <c r="BS271" i="1"/>
  <c r="BU271" i="1"/>
  <c r="CD271" i="1"/>
  <c r="BX271" i="1"/>
  <c r="BW271" i="1"/>
  <c r="CB271" i="1"/>
  <c r="CF260" i="1"/>
  <c r="CE260" i="1" s="1"/>
  <c r="CB260" i="1"/>
  <c r="BX260" i="1"/>
  <c r="CA260" i="1"/>
  <c r="BV260" i="1"/>
  <c r="BS260" i="1"/>
  <c r="BY260" i="1"/>
  <c r="CC260" i="1"/>
  <c r="BT260" i="1"/>
  <c r="BU260" i="1"/>
  <c r="BZ260" i="1"/>
  <c r="BW260" i="1"/>
  <c r="CD260" i="1"/>
  <c r="CC264" i="1"/>
  <c r="CF264" i="1"/>
  <c r="CE264" i="1" s="1"/>
  <c r="BW264" i="1"/>
  <c r="BY264" i="1"/>
  <c r="BZ264" i="1"/>
  <c r="BU264" i="1"/>
  <c r="BV264" i="1"/>
  <c r="BX264" i="1"/>
  <c r="CH264" i="1"/>
  <c r="CD264" i="1"/>
  <c r="CA264" i="1"/>
  <c r="BT264" i="1"/>
  <c r="CB264" i="1"/>
  <c r="BS264" i="1"/>
  <c r="CC240" i="1"/>
  <c r="BX240" i="1"/>
  <c r="BZ240" i="1"/>
  <c r="CA240" i="1"/>
  <c r="BW240" i="1"/>
  <c r="CD240" i="1"/>
  <c r="BY240" i="1"/>
  <c r="CB240" i="1"/>
  <c r="BV240" i="1"/>
  <c r="CF240" i="1"/>
  <c r="BU240" i="1"/>
  <c r="BT240" i="1"/>
  <c r="BS240" i="1"/>
  <c r="BX234" i="1"/>
  <c r="CB234" i="1"/>
  <c r="BY234" i="1"/>
  <c r="BU234" i="1"/>
  <c r="CA234" i="1"/>
  <c r="CC234" i="1"/>
  <c r="BS234" i="1"/>
  <c r="CD234" i="1"/>
  <c r="BT234" i="1"/>
  <c r="CF234" i="1"/>
  <c r="CE234" i="1" s="1"/>
  <c r="BV234" i="1"/>
  <c r="BW234" i="1"/>
  <c r="BZ234" i="1"/>
  <c r="CH234" i="1"/>
  <c r="CH228" i="1"/>
  <c r="BS228" i="1"/>
  <c r="BY228" i="1"/>
  <c r="BW228" i="1"/>
  <c r="CC228" i="1"/>
  <c r="BT228" i="1"/>
  <c r="BU228" i="1"/>
  <c r="BZ228" i="1"/>
  <c r="BV228" i="1"/>
  <c r="CD228" i="1"/>
  <c r="BX228" i="1"/>
  <c r="CA228" i="1"/>
  <c r="CF228" i="1"/>
  <c r="CE228" i="1" s="1"/>
  <c r="CB228" i="1"/>
  <c r="BV209" i="1"/>
  <c r="BX209" i="1"/>
  <c r="CH209" i="1"/>
  <c r="BT209" i="1"/>
  <c r="CC209" i="1"/>
  <c r="BW209" i="1"/>
  <c r="BU209" i="1"/>
  <c r="CA209" i="1"/>
  <c r="BY209" i="1"/>
  <c r="CD209" i="1"/>
  <c r="CF209" i="1"/>
  <c r="CE209" i="1" s="1"/>
  <c r="BZ209" i="1"/>
  <c r="CB209" i="1"/>
  <c r="BS209" i="1"/>
  <c r="BT204" i="1"/>
  <c r="BV204" i="1"/>
  <c r="CD204" i="1"/>
  <c r="BU204" i="1"/>
  <c r="BZ204" i="1"/>
  <c r="CA204" i="1"/>
  <c r="BW204" i="1"/>
  <c r="CF204" i="1"/>
  <c r="BX204" i="1"/>
  <c r="BY204" i="1"/>
  <c r="CC204" i="1"/>
  <c r="CB204" i="1"/>
  <c r="BS204" i="1"/>
  <c r="BY212" i="1"/>
  <c r="BZ212" i="1"/>
  <c r="BV212" i="1"/>
  <c r="CD212" i="1"/>
  <c r="BU212" i="1"/>
  <c r="CF212" i="1"/>
  <c r="CE212" i="1" s="1"/>
  <c r="BT212" i="1"/>
  <c r="BW212" i="1"/>
  <c r="CB212" i="1"/>
  <c r="BS212" i="1"/>
  <c r="CC212" i="1"/>
  <c r="CA212" i="1"/>
  <c r="BX212" i="1"/>
  <c r="BZ195" i="1"/>
  <c r="BS195" i="1"/>
  <c r="CA195" i="1"/>
  <c r="BT195" i="1"/>
  <c r="BU195" i="1"/>
  <c r="BY195" i="1"/>
  <c r="CC195" i="1"/>
  <c r="CB195" i="1"/>
  <c r="CF195" i="1"/>
  <c r="CE195" i="1" s="1"/>
  <c r="BV195" i="1"/>
  <c r="CD195" i="1"/>
  <c r="BX195" i="1"/>
  <c r="BW195" i="1"/>
  <c r="CA188" i="1"/>
  <c r="BY188" i="1"/>
  <c r="BX188" i="1"/>
  <c r="BU188" i="1"/>
  <c r="BT188" i="1"/>
  <c r="BW188" i="1"/>
  <c r="BV188" i="1"/>
  <c r="BZ188" i="1"/>
  <c r="CF188" i="1"/>
  <c r="CC188" i="1"/>
  <c r="CB188" i="1"/>
  <c r="CD188" i="1"/>
  <c r="BS188" i="1"/>
  <c r="BV172" i="1"/>
  <c r="CF172" i="1"/>
  <c r="CE172" i="1" s="1"/>
  <c r="CH172" i="1"/>
  <c r="CB172" i="1"/>
  <c r="CC172" i="1"/>
  <c r="BX172" i="1"/>
  <c r="BZ172" i="1"/>
  <c r="CD172" i="1"/>
  <c r="BY172" i="1"/>
  <c r="BW172" i="1"/>
  <c r="BU172" i="1"/>
  <c r="BS172" i="1"/>
  <c r="BT172" i="1"/>
  <c r="CA172" i="1"/>
  <c r="BU179" i="1"/>
  <c r="CB179" i="1"/>
  <c r="BV179" i="1"/>
  <c r="BS179" i="1"/>
  <c r="BW179" i="1"/>
  <c r="BZ179" i="1"/>
  <c r="CF179" i="1"/>
  <c r="CA179" i="1"/>
  <c r="BX179" i="1"/>
  <c r="CD179" i="1"/>
  <c r="CC179" i="1"/>
  <c r="BT179" i="1"/>
  <c r="BY179" i="1"/>
  <c r="BZ167" i="1"/>
  <c r="BY167" i="1"/>
  <c r="CF167" i="1"/>
  <c r="CD167" i="1"/>
  <c r="BV167" i="1"/>
  <c r="BW167" i="1"/>
  <c r="BS167" i="1"/>
  <c r="BT167" i="1"/>
  <c r="CA167" i="1"/>
  <c r="CB167" i="1"/>
  <c r="BX167" i="1"/>
  <c r="BU167" i="1"/>
  <c r="CC167" i="1"/>
  <c r="BT245" i="1"/>
  <c r="BY245" i="1"/>
  <c r="CA245" i="1"/>
  <c r="BU245" i="1"/>
  <c r="BW245" i="1"/>
  <c r="CF245" i="1"/>
  <c r="CD245" i="1"/>
  <c r="BZ245" i="1"/>
  <c r="BV245" i="1"/>
  <c r="BX245" i="1"/>
  <c r="BS245" i="1"/>
  <c r="CC245" i="1"/>
  <c r="CB245" i="1"/>
  <c r="BW197" i="1"/>
  <c r="BV197" i="1"/>
  <c r="BS197" i="1"/>
  <c r="BY197" i="1"/>
  <c r="BT197" i="1"/>
  <c r="CC197" i="1"/>
  <c r="BZ197" i="1"/>
  <c r="BX197" i="1"/>
  <c r="CA197" i="1"/>
  <c r="CB197" i="1"/>
  <c r="BU197" i="1"/>
  <c r="CD197" i="1"/>
  <c r="CF197" i="1"/>
  <c r="BV269" i="1"/>
  <c r="CF269" i="1"/>
  <c r="BS269" i="1"/>
  <c r="BT269" i="1"/>
  <c r="CB269" i="1"/>
  <c r="BZ269" i="1"/>
  <c r="BW269" i="1"/>
  <c r="CC269" i="1"/>
  <c r="BU269" i="1"/>
  <c r="CA269" i="1"/>
  <c r="CD269" i="1"/>
  <c r="BY269" i="1"/>
  <c r="BX269" i="1"/>
  <c r="BZ268" i="1"/>
  <c r="BX268" i="1"/>
  <c r="CF268" i="1"/>
  <c r="CC268" i="1"/>
  <c r="BT268" i="1"/>
  <c r="CA268" i="1"/>
  <c r="BS268" i="1"/>
  <c r="CB268" i="1"/>
  <c r="CD268" i="1"/>
  <c r="BW268" i="1"/>
  <c r="BV268" i="1"/>
  <c r="BU268" i="1"/>
  <c r="BY268" i="1"/>
  <c r="CH261" i="1"/>
  <c r="CB261" i="1"/>
  <c r="CF261" i="1"/>
  <c r="CE261" i="1" s="1"/>
  <c r="CD261" i="1"/>
  <c r="BW261" i="1"/>
  <c r="CC261" i="1"/>
  <c r="BT261" i="1"/>
  <c r="BZ261" i="1"/>
  <c r="BS261" i="1"/>
  <c r="BY261" i="1"/>
  <c r="BU261" i="1"/>
  <c r="CA261" i="1"/>
  <c r="BV261" i="1"/>
  <c r="BX261" i="1"/>
  <c r="BZ263" i="1"/>
  <c r="CD263" i="1"/>
  <c r="CC263" i="1"/>
  <c r="CA263" i="1"/>
  <c r="CF263" i="1"/>
  <c r="BV263" i="1"/>
  <c r="BU263" i="1"/>
  <c r="BS263" i="1"/>
  <c r="CB263" i="1"/>
  <c r="BY263" i="1"/>
  <c r="BT263" i="1"/>
  <c r="BW263" i="1"/>
  <c r="BX263" i="1"/>
  <c r="BX241" i="1"/>
  <c r="CC241" i="1"/>
  <c r="BT241" i="1"/>
  <c r="BV241" i="1"/>
  <c r="BW241" i="1"/>
  <c r="BY241" i="1"/>
  <c r="BZ241" i="1"/>
  <c r="CF241" i="1"/>
  <c r="CE241" i="1" s="1"/>
  <c r="BS241" i="1"/>
  <c r="CB241" i="1"/>
  <c r="CD241" i="1"/>
  <c r="BU241" i="1"/>
  <c r="CH241" i="1"/>
  <c r="CA241" i="1"/>
  <c r="CC233" i="1"/>
  <c r="BV233" i="1"/>
  <c r="BS233" i="1"/>
  <c r="CA233" i="1"/>
  <c r="CB233" i="1"/>
  <c r="BW233" i="1"/>
  <c r="BT233" i="1"/>
  <c r="CF233" i="1"/>
  <c r="CE233" i="1" s="1"/>
  <c r="BZ233" i="1"/>
  <c r="BU233" i="1"/>
  <c r="CH233" i="1"/>
  <c r="CD233" i="1"/>
  <c r="BY233" i="1"/>
  <c r="BX233" i="1"/>
  <c r="BV226" i="1"/>
  <c r="BZ226" i="1"/>
  <c r="BX226" i="1"/>
  <c r="BU226" i="1"/>
  <c r="BT226" i="1"/>
  <c r="BS226" i="1"/>
  <c r="CF226" i="1"/>
  <c r="CA226" i="1"/>
  <c r="CB226" i="1"/>
  <c r="BY226" i="1"/>
  <c r="CC226" i="1"/>
  <c r="BW226" i="1"/>
  <c r="CD226" i="1"/>
  <c r="CD203" i="1"/>
  <c r="BX203" i="1"/>
  <c r="BT203" i="1"/>
  <c r="CF203" i="1"/>
  <c r="CA203" i="1"/>
  <c r="BU203" i="1"/>
  <c r="BS203" i="1"/>
  <c r="CB203" i="1"/>
  <c r="BY203" i="1"/>
  <c r="CC203" i="1"/>
  <c r="BZ203" i="1"/>
  <c r="BV203" i="1"/>
  <c r="BW203" i="1"/>
  <c r="CD218" i="1"/>
  <c r="CA218" i="1"/>
  <c r="BT218" i="1"/>
  <c r="CF218" i="1"/>
  <c r="CE218" i="1" s="1"/>
  <c r="BV218" i="1"/>
  <c r="CH218" i="1"/>
  <c r="BX218" i="1"/>
  <c r="BU218" i="1"/>
  <c r="BY218" i="1"/>
  <c r="CC218" i="1"/>
  <c r="BZ218" i="1"/>
  <c r="CB218" i="1"/>
  <c r="BS218" i="1"/>
  <c r="BW218" i="1"/>
  <c r="BY202" i="1"/>
  <c r="BZ202" i="1"/>
  <c r="BT202" i="1"/>
  <c r="BW202" i="1"/>
  <c r="CD202" i="1"/>
  <c r="BU202" i="1"/>
  <c r="CF202" i="1"/>
  <c r="BX202" i="1"/>
  <c r="CB202" i="1"/>
  <c r="CC202" i="1"/>
  <c r="BS202" i="1"/>
  <c r="BV202" i="1"/>
  <c r="CA202" i="1"/>
  <c r="CC194" i="1"/>
  <c r="BV194" i="1"/>
  <c r="BY194" i="1"/>
  <c r="BX194" i="1"/>
  <c r="BZ194" i="1"/>
  <c r="BS194" i="1"/>
  <c r="BT194" i="1"/>
  <c r="BU194" i="1"/>
  <c r="CD194" i="1"/>
  <c r="BW194" i="1"/>
  <c r="CF194" i="1"/>
  <c r="CB194" i="1"/>
  <c r="CA194" i="1"/>
  <c r="BZ183" i="1"/>
  <c r="CA183" i="1"/>
  <c r="CC183" i="1"/>
  <c r="CB183" i="1"/>
  <c r="BU183" i="1"/>
  <c r="BS183" i="1"/>
  <c r="CF183" i="1"/>
  <c r="BX183" i="1"/>
  <c r="BT183" i="1"/>
  <c r="BW183" i="1"/>
  <c r="CD183" i="1"/>
  <c r="BV183" i="1"/>
  <c r="BY183" i="1"/>
  <c r="BY173" i="1"/>
  <c r="CC173" i="1"/>
  <c r="BT173" i="1"/>
  <c r="CA173" i="1"/>
  <c r="CD173" i="1"/>
  <c r="BZ173" i="1"/>
  <c r="BX173" i="1"/>
  <c r="CB173" i="1"/>
  <c r="CF173" i="1"/>
  <c r="BV173" i="1"/>
  <c r="BU173" i="1"/>
  <c r="BS173" i="1"/>
  <c r="BW173" i="1"/>
  <c r="CA169" i="1"/>
  <c r="BV169" i="1"/>
  <c r="BS169" i="1"/>
  <c r="CD169" i="1"/>
  <c r="BX169" i="1"/>
  <c r="BT169" i="1"/>
  <c r="BY169" i="1"/>
  <c r="CB169" i="1"/>
  <c r="CF169" i="1"/>
  <c r="BW169" i="1"/>
  <c r="BZ169" i="1"/>
  <c r="BU169" i="1"/>
  <c r="CC169" i="1"/>
  <c r="BZ164" i="1"/>
  <c r="BX164" i="1"/>
  <c r="BW164" i="1"/>
  <c r="CA164" i="1"/>
  <c r="BT164" i="1"/>
  <c r="CD164" i="1"/>
  <c r="BS164" i="1"/>
  <c r="BV164" i="1"/>
  <c r="CF164" i="1"/>
  <c r="CE164" i="1" s="1"/>
  <c r="CB164" i="1"/>
  <c r="BY164" i="1"/>
  <c r="BU164" i="1"/>
  <c r="CC164" i="1"/>
  <c r="CH232" i="1"/>
  <c r="CF232" i="1"/>
  <c r="CE232" i="1" s="1"/>
  <c r="BY232" i="1"/>
  <c r="CA232" i="1"/>
  <c r="BW232" i="1"/>
  <c r="CC232" i="1"/>
  <c r="BU232" i="1"/>
  <c r="CD232" i="1"/>
  <c r="BX232" i="1"/>
  <c r="BZ232" i="1"/>
  <c r="CB232" i="1"/>
  <c r="BS232" i="1"/>
  <c r="BV232" i="1"/>
  <c r="BT232" i="1"/>
  <c r="CD262" i="1"/>
  <c r="CA262" i="1"/>
  <c r="BT262" i="1"/>
  <c r="CC262" i="1"/>
  <c r="CF262" i="1"/>
  <c r="BU262" i="1"/>
  <c r="BS262" i="1"/>
  <c r="BV262" i="1"/>
  <c r="BY262" i="1"/>
  <c r="BW262" i="1"/>
  <c r="BZ262" i="1"/>
  <c r="CB262" i="1"/>
  <c r="BX262" i="1"/>
  <c r="CC270" i="1"/>
  <c r="BW270" i="1"/>
  <c r="BS270" i="1"/>
  <c r="BT270" i="1"/>
  <c r="CF270" i="1"/>
  <c r="CE270" i="1" s="1"/>
  <c r="BV270" i="1"/>
  <c r="CA270" i="1"/>
  <c r="BX270" i="1"/>
  <c r="BU270" i="1"/>
  <c r="BY270" i="1"/>
  <c r="CH270" i="1"/>
  <c r="CD270" i="1"/>
  <c r="BZ270" i="1"/>
  <c r="CB270" i="1"/>
  <c r="BW249" i="1"/>
  <c r="CD249" i="1"/>
  <c r="BX249" i="1"/>
  <c r="CC249" i="1"/>
  <c r="CA249" i="1"/>
  <c r="BT249" i="1"/>
  <c r="BV249" i="1"/>
  <c r="BS249" i="1"/>
  <c r="BZ249" i="1"/>
  <c r="CF249" i="1"/>
  <c r="BU249" i="1"/>
  <c r="BY249" i="1"/>
  <c r="CB249" i="1"/>
  <c r="CC251" i="1"/>
  <c r="CB251" i="1"/>
  <c r="BV251" i="1"/>
  <c r="CA251" i="1"/>
  <c r="BU251" i="1"/>
  <c r="BT251" i="1"/>
  <c r="BW251" i="1"/>
  <c r="CD251" i="1"/>
  <c r="CF251" i="1"/>
  <c r="BS251" i="1"/>
  <c r="BX251" i="1"/>
  <c r="BY251" i="1"/>
  <c r="BZ251" i="1"/>
  <c r="BS250" i="1"/>
  <c r="BU250" i="1"/>
  <c r="BX250" i="1"/>
  <c r="BT250" i="1"/>
  <c r="CH250" i="1"/>
  <c r="BW250" i="1"/>
  <c r="CC250" i="1"/>
  <c r="BY250" i="1"/>
  <c r="BZ250" i="1"/>
  <c r="CD250" i="1"/>
  <c r="CB250" i="1"/>
  <c r="CF250" i="1"/>
  <c r="CE250" i="1" s="1"/>
  <c r="CA250" i="1"/>
  <c r="BV250" i="1"/>
  <c r="CA242" i="1"/>
  <c r="BW242" i="1"/>
  <c r="BY242" i="1"/>
  <c r="CD242" i="1"/>
  <c r="CF242" i="1"/>
  <c r="CE242" i="1" s="1"/>
  <c r="CC242" i="1"/>
  <c r="BZ242" i="1"/>
  <c r="BT242" i="1"/>
  <c r="BV242" i="1"/>
  <c r="CB242" i="1"/>
  <c r="BX242" i="1"/>
  <c r="BU242" i="1"/>
  <c r="BS242" i="1"/>
  <c r="BT236" i="1"/>
  <c r="BV236" i="1"/>
  <c r="CA236" i="1"/>
  <c r="CC236" i="1"/>
  <c r="BZ236" i="1"/>
  <c r="CD236" i="1"/>
  <c r="CF236" i="1"/>
  <c r="BS236" i="1"/>
  <c r="BX236" i="1"/>
  <c r="BY236" i="1"/>
  <c r="BU236" i="1"/>
  <c r="CB236" i="1"/>
  <c r="BW236" i="1"/>
  <c r="CA225" i="1"/>
  <c r="CD225" i="1"/>
  <c r="BZ225" i="1"/>
  <c r="BS225" i="1"/>
  <c r="CB225" i="1"/>
  <c r="BW225" i="1"/>
  <c r="BX225" i="1"/>
  <c r="BU225" i="1"/>
  <c r="BT225" i="1"/>
  <c r="CC225" i="1"/>
  <c r="BY225" i="1"/>
  <c r="BV225" i="1"/>
  <c r="CF225" i="1"/>
  <c r="CH208" i="1"/>
  <c r="BT208" i="1"/>
  <c r="BY208" i="1"/>
  <c r="BW208" i="1"/>
  <c r="CC208" i="1"/>
  <c r="CA208" i="1"/>
  <c r="CF208" i="1"/>
  <c r="CE208" i="1" s="1"/>
  <c r="CD208" i="1"/>
  <c r="BU208" i="1"/>
  <c r="BS208" i="1"/>
  <c r="BX208" i="1"/>
  <c r="CB208" i="1"/>
  <c r="BV208" i="1"/>
  <c r="BZ208" i="1"/>
  <c r="CB207" i="1"/>
  <c r="BV207" i="1"/>
  <c r="CF207" i="1"/>
  <c r="BZ207" i="1"/>
  <c r="BT207" i="1"/>
  <c r="CC207" i="1"/>
  <c r="BX207" i="1"/>
  <c r="BW207" i="1"/>
  <c r="CA207" i="1"/>
  <c r="BU207" i="1"/>
  <c r="BS207" i="1"/>
  <c r="BY207" i="1"/>
  <c r="CD207" i="1"/>
  <c r="CF201" i="1"/>
  <c r="CE201" i="1" s="1"/>
  <c r="CC201" i="1"/>
  <c r="BZ201" i="1"/>
  <c r="CB201" i="1"/>
  <c r="CD201" i="1"/>
  <c r="BW201" i="1"/>
  <c r="BV201" i="1"/>
  <c r="CH201" i="1"/>
  <c r="BS201" i="1"/>
  <c r="BU201" i="1"/>
  <c r="CA201" i="1"/>
  <c r="BY201" i="1"/>
  <c r="BT201" i="1"/>
  <c r="BX201" i="1"/>
  <c r="BV192" i="1"/>
  <c r="BT192" i="1"/>
  <c r="BZ192" i="1"/>
  <c r="BX192" i="1"/>
  <c r="BU192" i="1"/>
  <c r="CA192" i="1"/>
  <c r="CC192" i="1"/>
  <c r="BW192" i="1"/>
  <c r="CB192" i="1"/>
  <c r="BS192" i="1"/>
  <c r="BY192" i="1"/>
  <c r="CD192" i="1"/>
  <c r="CF192" i="1"/>
  <c r="CA185" i="1"/>
  <c r="CB185" i="1"/>
  <c r="BV185" i="1"/>
  <c r="BX185" i="1"/>
  <c r="BU185" i="1"/>
  <c r="CH185" i="1"/>
  <c r="BZ185" i="1"/>
  <c r="BW185" i="1"/>
  <c r="CD185" i="1"/>
  <c r="BS185" i="1"/>
  <c r="CC185" i="1"/>
  <c r="BY185" i="1"/>
  <c r="CF185" i="1"/>
  <c r="CE185" i="1" s="1"/>
  <c r="BT185" i="1"/>
  <c r="BS171" i="1"/>
  <c r="BU171" i="1"/>
  <c r="BT171" i="1"/>
  <c r="BZ171" i="1"/>
  <c r="CD171" i="1"/>
  <c r="CC171" i="1"/>
  <c r="BX171" i="1"/>
  <c r="CA171" i="1"/>
  <c r="BW171" i="1"/>
  <c r="BY171" i="1"/>
  <c r="BV171" i="1"/>
  <c r="CB171" i="1"/>
  <c r="CF171" i="1"/>
  <c r="BX165" i="1"/>
  <c r="BU165" i="1"/>
  <c r="BS165" i="1"/>
  <c r="CC165" i="1"/>
  <c r="BW165" i="1"/>
  <c r="BT165" i="1"/>
  <c r="CD165" i="1"/>
  <c r="CF165" i="1"/>
  <c r="CB165" i="1"/>
  <c r="BV165" i="1"/>
  <c r="CA165" i="1"/>
  <c r="BY165" i="1"/>
  <c r="BZ165" i="1"/>
  <c r="BX272" i="1"/>
  <c r="BY272" i="1"/>
  <c r="CF272" i="1"/>
  <c r="CE272" i="1" s="1"/>
  <c r="CB272" i="1"/>
  <c r="BW272" i="1"/>
  <c r="CC272" i="1"/>
  <c r="BZ272" i="1"/>
  <c r="CD272" i="1"/>
  <c r="BT272" i="1"/>
  <c r="BU272" i="1"/>
  <c r="CA272" i="1"/>
  <c r="BV272" i="1"/>
  <c r="BS272" i="1"/>
  <c r="BX265" i="1"/>
  <c r="CC265" i="1"/>
  <c r="BZ265" i="1"/>
  <c r="BU265" i="1"/>
  <c r="BW265" i="1"/>
  <c r="BV265" i="1"/>
  <c r="CH265" i="1"/>
  <c r="CF265" i="1"/>
  <c r="CE265" i="1" s="1"/>
  <c r="CD265" i="1"/>
  <c r="BS265" i="1"/>
  <c r="CB265" i="1"/>
  <c r="BT265" i="1"/>
  <c r="CA265" i="1"/>
  <c r="BY265" i="1"/>
  <c r="BY252" i="1"/>
  <c r="BT252" i="1"/>
  <c r="BV252" i="1"/>
  <c r="CB252" i="1"/>
  <c r="BU252" i="1"/>
  <c r="BW252" i="1"/>
  <c r="BX252" i="1"/>
  <c r="CF252" i="1"/>
  <c r="CE252" i="1" s="1"/>
  <c r="BZ252" i="1"/>
  <c r="CA252" i="1"/>
  <c r="CH252" i="1"/>
  <c r="CD252" i="1"/>
  <c r="BS252" i="1"/>
  <c r="CC252" i="1"/>
  <c r="CA248" i="1"/>
  <c r="BX248" i="1"/>
  <c r="BY248" i="1"/>
  <c r="BT248" i="1"/>
  <c r="BU248" i="1"/>
  <c r="CF248" i="1"/>
  <c r="CE248" i="1" s="1"/>
  <c r="BW248" i="1"/>
  <c r="CB248" i="1"/>
  <c r="BZ248" i="1"/>
  <c r="CD248" i="1"/>
  <c r="BS248" i="1"/>
  <c r="CC248" i="1"/>
  <c r="BV248" i="1"/>
  <c r="BY243" i="1"/>
  <c r="BV243" i="1"/>
  <c r="CC243" i="1"/>
  <c r="CF243" i="1"/>
  <c r="CE243" i="1" s="1"/>
  <c r="BT243" i="1"/>
  <c r="BS243" i="1"/>
  <c r="CB243" i="1"/>
  <c r="CA243" i="1"/>
  <c r="CD243" i="1"/>
  <c r="BZ243" i="1"/>
  <c r="CH243" i="1"/>
  <c r="BW243" i="1"/>
  <c r="BX243" i="1"/>
  <c r="BU243" i="1"/>
  <c r="BZ231" i="1"/>
  <c r="CB231" i="1"/>
  <c r="CD231" i="1"/>
  <c r="BV231" i="1"/>
  <c r="CF231" i="1"/>
  <c r="CC231" i="1"/>
  <c r="BU231" i="1"/>
  <c r="BY231" i="1"/>
  <c r="BT231" i="1"/>
  <c r="BW231" i="1"/>
  <c r="CA231" i="1"/>
  <c r="BX231" i="1"/>
  <c r="BS231" i="1"/>
  <c r="CD224" i="1"/>
  <c r="BX224" i="1"/>
  <c r="BY224" i="1"/>
  <c r="BZ224" i="1"/>
  <c r="BT224" i="1"/>
  <c r="BW224" i="1"/>
  <c r="BV224" i="1"/>
  <c r="CC224" i="1"/>
  <c r="CF224" i="1"/>
  <c r="CE224" i="1" s="1"/>
  <c r="CA224" i="1"/>
  <c r="BU224" i="1"/>
  <c r="CH224" i="1"/>
  <c r="CB224" i="1"/>
  <c r="BS224" i="1"/>
  <c r="BV214" i="1"/>
  <c r="BX214" i="1"/>
  <c r="BT214" i="1"/>
  <c r="BW214" i="1"/>
  <c r="CC214" i="1"/>
  <c r="BS214" i="1"/>
  <c r="BY214" i="1"/>
  <c r="CD214" i="1"/>
  <c r="BU214" i="1"/>
  <c r="CA214" i="1"/>
  <c r="CB214" i="1"/>
  <c r="BZ214" i="1"/>
  <c r="CF214" i="1"/>
  <c r="CE214" i="1" s="1"/>
  <c r="CF211" i="1"/>
  <c r="CE211" i="1" s="1"/>
  <c r="CH211" i="1"/>
  <c r="BZ211" i="1"/>
  <c r="CB211" i="1"/>
  <c r="BV211" i="1"/>
  <c r="BU211" i="1"/>
  <c r="CD211" i="1"/>
  <c r="CC211" i="1"/>
  <c r="BY211" i="1"/>
  <c r="BX211" i="1"/>
  <c r="BT211" i="1"/>
  <c r="CA211" i="1"/>
  <c r="BW211" i="1"/>
  <c r="BS211" i="1"/>
  <c r="BV200" i="1"/>
  <c r="BX200" i="1"/>
  <c r="BS200" i="1"/>
  <c r="BU200" i="1"/>
  <c r="CD200" i="1"/>
  <c r="CF200" i="1"/>
  <c r="BT200" i="1"/>
  <c r="CB200" i="1"/>
  <c r="BY200" i="1"/>
  <c r="BW200" i="1"/>
  <c r="CA200" i="1"/>
  <c r="BZ200" i="1"/>
  <c r="CC200" i="1"/>
  <c r="CB193" i="1"/>
  <c r="BV193" i="1"/>
  <c r="BU193" i="1"/>
  <c r="CD193" i="1"/>
  <c r="BW193" i="1"/>
  <c r="CC193" i="1"/>
  <c r="BZ193" i="1"/>
  <c r="CF193" i="1"/>
  <c r="BT193" i="1"/>
  <c r="BY193" i="1"/>
  <c r="BS193" i="1"/>
  <c r="BX193" i="1"/>
  <c r="CA193" i="1"/>
  <c r="BT187" i="1"/>
  <c r="BV187" i="1"/>
  <c r="BY187" i="1"/>
  <c r="CA187" i="1"/>
  <c r="BW187" i="1"/>
  <c r="CB187" i="1"/>
  <c r="BU187" i="1"/>
  <c r="CD187" i="1"/>
  <c r="CC187" i="1"/>
  <c r="BX187" i="1"/>
  <c r="BZ187" i="1"/>
  <c r="BS187" i="1"/>
  <c r="CF187" i="1"/>
  <c r="BT182" i="1"/>
  <c r="BW182" i="1"/>
  <c r="BU182" i="1"/>
  <c r="CB182" i="1"/>
  <c r="CD182" i="1"/>
  <c r="BZ182" i="1"/>
  <c r="CF182" i="1"/>
  <c r="CE182" i="1" s="1"/>
  <c r="BY182" i="1"/>
  <c r="BX182" i="1"/>
  <c r="CC182" i="1"/>
  <c r="CH182" i="1"/>
  <c r="CA182" i="1"/>
  <c r="BS182" i="1"/>
  <c r="BV182" i="1"/>
  <c r="CC333" i="1"/>
  <c r="CA333" i="1"/>
  <c r="BT333" i="1"/>
  <c r="BU333" i="1"/>
  <c r="BV333" i="1"/>
  <c r="CB333" i="1"/>
  <c r="BW333" i="1"/>
  <c r="BS333" i="1"/>
  <c r="BY333" i="1"/>
  <c r="CD333" i="1"/>
  <c r="CF333" i="1"/>
  <c r="BX333" i="1"/>
  <c r="BZ333" i="1"/>
  <c r="BS326" i="1"/>
  <c r="BV326" i="1"/>
  <c r="CB326" i="1"/>
  <c r="CD326" i="1"/>
  <c r="CF326" i="1"/>
  <c r="CC326" i="1"/>
  <c r="BU326" i="1"/>
  <c r="BY326" i="1"/>
  <c r="BT326" i="1"/>
  <c r="BZ326" i="1"/>
  <c r="CA326" i="1"/>
  <c r="BW326" i="1"/>
  <c r="BX326" i="1"/>
  <c r="BZ306" i="1"/>
  <c r="CB306" i="1"/>
  <c r="BV306" i="1"/>
  <c r="BW306" i="1"/>
  <c r="CA306" i="1"/>
  <c r="CF306" i="1"/>
  <c r="BS306" i="1"/>
  <c r="BU306" i="1"/>
  <c r="BX306" i="1"/>
  <c r="CC306" i="1"/>
  <c r="BY306" i="1"/>
  <c r="CD306" i="1"/>
  <c r="BT306" i="1"/>
  <c r="BS288" i="1"/>
  <c r="BW288" i="1"/>
  <c r="CB288" i="1"/>
  <c r="CD288" i="1"/>
  <c r="BU288" i="1"/>
  <c r="BZ288" i="1"/>
  <c r="BT288" i="1"/>
  <c r="BV288" i="1"/>
  <c r="CA288" i="1"/>
  <c r="BX288" i="1"/>
  <c r="BY288" i="1"/>
  <c r="CC288" i="1"/>
  <c r="CF288" i="1"/>
  <c r="CB318" i="1"/>
  <c r="CD318" i="1"/>
  <c r="BZ318" i="1"/>
  <c r="BY318" i="1"/>
  <c r="BS318" i="1"/>
  <c r="BT318" i="1"/>
  <c r="BW318" i="1"/>
  <c r="BV318" i="1"/>
  <c r="CF318" i="1"/>
  <c r="CE318" i="1" s="1"/>
  <c r="BU318" i="1"/>
  <c r="BX318" i="1"/>
  <c r="CC318" i="1"/>
  <c r="CA318" i="1"/>
  <c r="BW309" i="1"/>
  <c r="BT309" i="1"/>
  <c r="CD309" i="1"/>
  <c r="BS309" i="1"/>
  <c r="BX309" i="1"/>
  <c r="BY309" i="1"/>
  <c r="BZ309" i="1"/>
  <c r="BU309" i="1"/>
  <c r="CC309" i="1"/>
  <c r="BV309" i="1"/>
  <c r="CB309" i="1"/>
  <c r="CA309" i="1"/>
  <c r="CF309" i="1"/>
  <c r="CE309" i="1" s="1"/>
  <c r="BW286" i="1"/>
  <c r="BT286" i="1"/>
  <c r="BZ286" i="1"/>
  <c r="CA286" i="1"/>
  <c r="CC286" i="1"/>
  <c r="BV286" i="1"/>
  <c r="BY286" i="1"/>
  <c r="CD286" i="1"/>
  <c r="BU286" i="1"/>
  <c r="BS286" i="1"/>
  <c r="CF286" i="1"/>
  <c r="CE286" i="1" s="1"/>
  <c r="CB286" i="1"/>
  <c r="BX286" i="1"/>
  <c r="BU337" i="1"/>
  <c r="CC337" i="1"/>
  <c r="BT337" i="1"/>
  <c r="BW337" i="1"/>
  <c r="BY337" i="1"/>
  <c r="BV337" i="1"/>
  <c r="BZ337" i="1"/>
  <c r="BX337" i="1"/>
  <c r="CB337" i="1"/>
  <c r="BS337" i="1"/>
  <c r="CF337" i="1"/>
  <c r="CE337" i="1" s="1"/>
  <c r="CD337" i="1"/>
  <c r="CA337" i="1"/>
  <c r="BV330" i="1"/>
  <c r="CH330" i="1"/>
  <c r="CF330" i="1"/>
  <c r="CE330" i="1" s="1"/>
  <c r="BX330" i="1"/>
  <c r="BY330" i="1"/>
  <c r="CB330" i="1"/>
  <c r="BT330" i="1"/>
  <c r="CA330" i="1"/>
  <c r="BW330" i="1"/>
  <c r="CC330" i="1"/>
  <c r="CD330" i="1"/>
  <c r="BU330" i="1"/>
  <c r="BS330" i="1"/>
  <c r="BZ330" i="1"/>
  <c r="CD327" i="1"/>
  <c r="BW327" i="1"/>
  <c r="BX327" i="1"/>
  <c r="BY327" i="1"/>
  <c r="CB327" i="1"/>
  <c r="BV327" i="1"/>
  <c r="CF327" i="1"/>
  <c r="CE327" i="1" s="1"/>
  <c r="BS327" i="1"/>
  <c r="CA327" i="1"/>
  <c r="BU327" i="1"/>
  <c r="CC327" i="1"/>
  <c r="BZ327" i="1"/>
  <c r="BT327" i="1"/>
  <c r="CH300" i="1"/>
  <c r="CB300" i="1"/>
  <c r="BU300" i="1"/>
  <c r="BX300" i="1"/>
  <c r="BZ300" i="1"/>
  <c r="BT300" i="1"/>
  <c r="CD300" i="1"/>
  <c r="BW300" i="1"/>
  <c r="BY300" i="1"/>
  <c r="BS300" i="1"/>
  <c r="CC300" i="1"/>
  <c r="BV300" i="1"/>
  <c r="CF300" i="1"/>
  <c r="CE300" i="1" s="1"/>
  <c r="CA300" i="1"/>
  <c r="CB304" i="1"/>
  <c r="CC304" i="1"/>
  <c r="BW304" i="1"/>
  <c r="BY304" i="1"/>
  <c r="BT304" i="1"/>
  <c r="BU304" i="1"/>
  <c r="CD304" i="1"/>
  <c r="CA304" i="1"/>
  <c r="BS304" i="1"/>
  <c r="CH304" i="1"/>
  <c r="BV304" i="1"/>
  <c r="CF304" i="1"/>
  <c r="CE304" i="1" s="1"/>
  <c r="BX304" i="1"/>
  <c r="BZ304" i="1"/>
  <c r="BS313" i="1"/>
  <c r="CB313" i="1"/>
  <c r="CC313" i="1"/>
  <c r="BY313" i="1"/>
  <c r="BU313" i="1"/>
  <c r="CD313" i="1"/>
  <c r="BT313" i="1"/>
  <c r="BV313" i="1"/>
  <c r="CF313" i="1"/>
  <c r="BZ313" i="1"/>
  <c r="CA313" i="1"/>
  <c r="BW313" i="1"/>
  <c r="BX313" i="1"/>
  <c r="BW284" i="1"/>
  <c r="BX284" i="1"/>
  <c r="BV284" i="1"/>
  <c r="CH284" i="1"/>
  <c r="CF284" i="1"/>
  <c r="CE284" i="1" s="1"/>
  <c r="CC284" i="1"/>
  <c r="CD284" i="1"/>
  <c r="BS284" i="1"/>
  <c r="CA284" i="1"/>
  <c r="BT284" i="1"/>
  <c r="BU284" i="1"/>
  <c r="CB284" i="1"/>
  <c r="BZ284" i="1"/>
  <c r="BY284" i="1"/>
  <c r="BS281" i="1"/>
  <c r="BW281" i="1"/>
  <c r="BX281" i="1"/>
  <c r="BU281" i="1"/>
  <c r="CA281" i="1"/>
  <c r="CC281" i="1"/>
  <c r="CF281" i="1"/>
  <c r="CD281" i="1"/>
  <c r="BY281" i="1"/>
  <c r="BZ281" i="1"/>
  <c r="CB281" i="1"/>
  <c r="BV281" i="1"/>
  <c r="BT281" i="1"/>
  <c r="CB294" i="1"/>
  <c r="BX294" i="1"/>
  <c r="CD294" i="1"/>
  <c r="CA294" i="1"/>
  <c r="BZ294" i="1"/>
  <c r="BW294" i="1"/>
  <c r="BV294" i="1"/>
  <c r="BU294" i="1"/>
  <c r="CC294" i="1"/>
  <c r="BS294" i="1"/>
  <c r="BT294" i="1"/>
  <c r="CF294" i="1"/>
  <c r="BY294" i="1"/>
  <c r="BW331" i="1"/>
  <c r="BZ331" i="1"/>
  <c r="CB331" i="1"/>
  <c r="CA331" i="1"/>
  <c r="BX331" i="1"/>
  <c r="BV331" i="1"/>
  <c r="BU331" i="1"/>
  <c r="CD331" i="1"/>
  <c r="BS331" i="1"/>
  <c r="CF331" i="1"/>
  <c r="BY331" i="1"/>
  <c r="BT331" i="1"/>
  <c r="CC331" i="1"/>
  <c r="BZ305" i="1"/>
  <c r="CC305" i="1"/>
  <c r="CA305" i="1"/>
  <c r="BY305" i="1"/>
  <c r="BW305" i="1"/>
  <c r="BU305" i="1"/>
  <c r="BS305" i="1"/>
  <c r="CF305" i="1"/>
  <c r="CE305" i="1" s="1"/>
  <c r="BX305" i="1"/>
  <c r="BV305" i="1"/>
  <c r="CB305" i="1"/>
  <c r="BT305" i="1"/>
  <c r="CD305" i="1"/>
  <c r="BS293" i="1"/>
  <c r="BY293" i="1"/>
  <c r="CC293" i="1"/>
  <c r="BW293" i="1"/>
  <c r="BU293" i="1"/>
  <c r="BZ293" i="1"/>
  <c r="CF293" i="1"/>
  <c r="CD293" i="1"/>
  <c r="CB293" i="1"/>
  <c r="CA293" i="1"/>
  <c r="BV293" i="1"/>
  <c r="BX293" i="1"/>
  <c r="BT293" i="1"/>
  <c r="CD277" i="1"/>
  <c r="CH277" i="1"/>
  <c r="CC277" i="1"/>
  <c r="CB277" i="1"/>
  <c r="BS277" i="1"/>
  <c r="BX277" i="1"/>
  <c r="BW277" i="1"/>
  <c r="CA277" i="1"/>
  <c r="BZ277" i="1"/>
  <c r="CF277" i="1"/>
  <c r="CE277" i="1" s="1"/>
  <c r="BV277" i="1"/>
  <c r="BY277" i="1"/>
  <c r="BU277" i="1"/>
  <c r="BT277" i="1"/>
  <c r="BY329" i="1"/>
  <c r="BS329" i="1"/>
  <c r="BZ329" i="1"/>
  <c r="CF329" i="1"/>
  <c r="BW329" i="1"/>
  <c r="CB329" i="1"/>
  <c r="CD329" i="1"/>
  <c r="BX329" i="1"/>
  <c r="BU329" i="1"/>
  <c r="BT329" i="1"/>
  <c r="BV329" i="1"/>
  <c r="CA329" i="1"/>
  <c r="CC329" i="1"/>
  <c r="BT312" i="1"/>
  <c r="BY312" i="1"/>
  <c r="CA312" i="1"/>
  <c r="CC312" i="1"/>
  <c r="BW312" i="1"/>
  <c r="BS312" i="1"/>
  <c r="CD312" i="1"/>
  <c r="CF312" i="1"/>
  <c r="CB312" i="1"/>
  <c r="BX312" i="1"/>
  <c r="BU312" i="1"/>
  <c r="BV312" i="1"/>
  <c r="BZ312" i="1"/>
  <c r="BY311" i="1"/>
  <c r="CB311" i="1"/>
  <c r="BW311" i="1"/>
  <c r="CF311" i="1"/>
  <c r="CE311" i="1" s="1"/>
  <c r="BV311" i="1"/>
  <c r="BT311" i="1"/>
  <c r="BZ311" i="1"/>
  <c r="BX311" i="1"/>
  <c r="CC311" i="1"/>
  <c r="CD311" i="1"/>
  <c r="BS311" i="1"/>
  <c r="CA311" i="1"/>
  <c r="BU311" i="1"/>
  <c r="CB297" i="1"/>
  <c r="BV297" i="1"/>
  <c r="BU297" i="1"/>
  <c r="CF297" i="1"/>
  <c r="BS297" i="1"/>
  <c r="BY297" i="1"/>
  <c r="BT297" i="1"/>
  <c r="CC297" i="1"/>
  <c r="BX297" i="1"/>
  <c r="BZ297" i="1"/>
  <c r="BW297" i="1"/>
  <c r="CD297" i="1"/>
  <c r="CA297" i="1"/>
  <c r="CB335" i="1"/>
  <c r="BU335" i="1"/>
  <c r="CC335" i="1"/>
  <c r="BX335" i="1"/>
  <c r="CD335" i="1"/>
  <c r="BT335" i="1"/>
  <c r="BZ335" i="1"/>
  <c r="BV335" i="1"/>
  <c r="BS335" i="1"/>
  <c r="CF335" i="1"/>
  <c r="CA335" i="1"/>
  <c r="BY335" i="1"/>
  <c r="BW335" i="1"/>
  <c r="BS322" i="1"/>
  <c r="BV322" i="1"/>
  <c r="BW322" i="1"/>
  <c r="CH322" i="1"/>
  <c r="BY322" i="1"/>
  <c r="CB322" i="1"/>
  <c r="BX322" i="1"/>
  <c r="CA322" i="1"/>
  <c r="BU322" i="1"/>
  <c r="BZ322" i="1"/>
  <c r="CF322" i="1"/>
  <c r="CE322" i="1" s="1"/>
  <c r="BT322" i="1"/>
  <c r="CC322" i="1"/>
  <c r="CD322" i="1"/>
  <c r="BU319" i="1"/>
  <c r="BZ319" i="1"/>
  <c r="BX319" i="1"/>
  <c r="BW319" i="1"/>
  <c r="BT319" i="1"/>
  <c r="CD319" i="1"/>
  <c r="BV319" i="1"/>
  <c r="CF319" i="1"/>
  <c r="CE319" i="1" s="1"/>
  <c r="CB319" i="1"/>
  <c r="CA319" i="1"/>
  <c r="BS319" i="1"/>
  <c r="CC319" i="1"/>
  <c r="BY319" i="1"/>
  <c r="BY314" i="1"/>
  <c r="CC314" i="1"/>
  <c r="CB314" i="1"/>
  <c r="BX314" i="1"/>
  <c r="CD314" i="1"/>
  <c r="BV314" i="1"/>
  <c r="CF314" i="1"/>
  <c r="BS314" i="1"/>
  <c r="BT314" i="1"/>
  <c r="BW314" i="1"/>
  <c r="BU314" i="1"/>
  <c r="BZ314" i="1"/>
  <c r="CA314" i="1"/>
  <c r="BX307" i="1"/>
  <c r="BS307" i="1"/>
  <c r="BZ307" i="1"/>
  <c r="BT307" i="1"/>
  <c r="CF307" i="1"/>
  <c r="CE307" i="1" s="1"/>
  <c r="BW307" i="1"/>
  <c r="BY307" i="1"/>
  <c r="CA307" i="1"/>
  <c r="BU307" i="1"/>
  <c r="CB307" i="1"/>
  <c r="CD307" i="1"/>
  <c r="CC307" i="1"/>
  <c r="BV307" i="1"/>
  <c r="BW296" i="1"/>
  <c r="BX296" i="1"/>
  <c r="CA296" i="1"/>
  <c r="BT296" i="1"/>
  <c r="BZ296" i="1"/>
  <c r="BV296" i="1"/>
  <c r="CC296" i="1"/>
  <c r="CF296" i="1"/>
  <c r="CE296" i="1" s="1"/>
  <c r="BS296" i="1"/>
  <c r="CB296" i="1"/>
  <c r="CD296" i="1"/>
  <c r="BY296" i="1"/>
  <c r="BU296" i="1"/>
  <c r="BX287" i="1"/>
  <c r="CC287" i="1"/>
  <c r="CB287" i="1"/>
  <c r="BV287" i="1"/>
  <c r="BW287" i="1"/>
  <c r="BT287" i="1"/>
  <c r="BY287" i="1"/>
  <c r="BZ287" i="1"/>
  <c r="BU287" i="1"/>
  <c r="CF287" i="1"/>
  <c r="CE287" i="1" s="1"/>
  <c r="CH287" i="1"/>
  <c r="CA287" i="1"/>
  <c r="BS287" i="1"/>
  <c r="CD287" i="1"/>
  <c r="BX282" i="1"/>
  <c r="BS282" i="1"/>
  <c r="CC282" i="1"/>
  <c r="CF282" i="1"/>
  <c r="CE282" i="1" s="1"/>
  <c r="CB282" i="1"/>
  <c r="CD282" i="1"/>
  <c r="CA282" i="1"/>
  <c r="BY282" i="1"/>
  <c r="BZ282" i="1"/>
  <c r="BW282" i="1"/>
  <c r="BU282" i="1"/>
  <c r="BT282" i="1"/>
  <c r="BV282" i="1"/>
  <c r="CB303" i="1"/>
  <c r="BX303" i="1"/>
  <c r="BV303" i="1"/>
  <c r="BT303" i="1"/>
  <c r="BZ303" i="1"/>
  <c r="BW303" i="1"/>
  <c r="CC303" i="1"/>
  <c r="CD303" i="1"/>
  <c r="CF303" i="1"/>
  <c r="CA303" i="1"/>
  <c r="BS303" i="1"/>
  <c r="BU303" i="1"/>
  <c r="BY303" i="1"/>
  <c r="BW276" i="1"/>
  <c r="BZ276" i="1"/>
  <c r="BY276" i="1"/>
  <c r="BS276" i="1"/>
  <c r="CB276" i="1"/>
  <c r="CC276" i="1"/>
  <c r="CF276" i="1"/>
  <c r="BU276" i="1"/>
  <c r="BT276" i="1"/>
  <c r="BX276" i="1"/>
  <c r="CA276" i="1"/>
  <c r="CD276" i="1"/>
  <c r="BV276" i="1"/>
  <c r="BX310" i="1"/>
  <c r="BV310" i="1"/>
  <c r="BS310" i="1"/>
  <c r="BW310" i="1"/>
  <c r="BZ310" i="1"/>
  <c r="CH310" i="1"/>
  <c r="BU310" i="1"/>
  <c r="CB310" i="1"/>
  <c r="BY310" i="1"/>
  <c r="CF310" i="1"/>
  <c r="CE310" i="1" s="1"/>
  <c r="CA310" i="1"/>
  <c r="CD310" i="1"/>
  <c r="BT310" i="1"/>
  <c r="CC310" i="1"/>
  <c r="CB334" i="1"/>
  <c r="BS334" i="1"/>
  <c r="BX334" i="1"/>
  <c r="CA334" i="1"/>
  <c r="CH334" i="1"/>
  <c r="CF334" i="1"/>
  <c r="CE334" i="1" s="1"/>
  <c r="BV334" i="1"/>
  <c r="BT334" i="1"/>
  <c r="CC334" i="1"/>
  <c r="BZ334" i="1"/>
  <c r="BU334" i="1"/>
  <c r="CD334" i="1"/>
  <c r="BY334" i="1"/>
  <c r="BW334" i="1"/>
  <c r="BV323" i="1"/>
  <c r="BT323" i="1"/>
  <c r="CC323" i="1"/>
  <c r="CB323" i="1"/>
  <c r="BS323" i="1"/>
  <c r="BY323" i="1"/>
  <c r="BU323" i="1"/>
  <c r="CD323" i="1"/>
  <c r="BZ323" i="1"/>
  <c r="CF323" i="1"/>
  <c r="BX323" i="1"/>
  <c r="CA323" i="1"/>
  <c r="BW323" i="1"/>
  <c r="BV321" i="1"/>
  <c r="CB321" i="1"/>
  <c r="CH321" i="1"/>
  <c r="CA321" i="1"/>
  <c r="BT321" i="1"/>
  <c r="CF321" i="1"/>
  <c r="CE321" i="1" s="1"/>
  <c r="BU321" i="1"/>
  <c r="BW321" i="1"/>
  <c r="BX321" i="1"/>
  <c r="BY321" i="1"/>
  <c r="CD321" i="1"/>
  <c r="BZ321" i="1"/>
  <c r="CC321" i="1"/>
  <c r="BS321" i="1"/>
  <c r="CC315" i="1"/>
  <c r="CB315" i="1"/>
  <c r="BY315" i="1"/>
  <c r="BV315" i="1"/>
  <c r="CF315" i="1"/>
  <c r="BZ315" i="1"/>
  <c r="BS315" i="1"/>
  <c r="CA315" i="1"/>
  <c r="BX315" i="1"/>
  <c r="BU315" i="1"/>
  <c r="BW315" i="1"/>
  <c r="BT315" i="1"/>
  <c r="CD315" i="1"/>
  <c r="CB308" i="1"/>
  <c r="CC308" i="1"/>
  <c r="BX308" i="1"/>
  <c r="BZ308" i="1"/>
  <c r="BT308" i="1"/>
  <c r="BV308" i="1"/>
  <c r="CD308" i="1"/>
  <c r="BU308" i="1"/>
  <c r="CA308" i="1"/>
  <c r="BY308" i="1"/>
  <c r="CF308" i="1"/>
  <c r="BW308" i="1"/>
  <c r="BS308" i="1"/>
  <c r="BW292" i="1"/>
  <c r="BT292" i="1"/>
  <c r="BZ292" i="1"/>
  <c r="CA292" i="1"/>
  <c r="BU292" i="1"/>
  <c r="CD292" i="1"/>
  <c r="CF292" i="1"/>
  <c r="CE292" i="1" s="1"/>
  <c r="BS292" i="1"/>
  <c r="BY292" i="1"/>
  <c r="CC292" i="1"/>
  <c r="BV292" i="1"/>
  <c r="CH292" i="1"/>
  <c r="BX292" i="1"/>
  <c r="CB292" i="1"/>
  <c r="CD290" i="1"/>
  <c r="BS290" i="1"/>
  <c r="CB290" i="1"/>
  <c r="BU290" i="1"/>
  <c r="BW290" i="1"/>
  <c r="CC290" i="1"/>
  <c r="BY290" i="1"/>
  <c r="BX290" i="1"/>
  <c r="CF290" i="1"/>
  <c r="CE290" i="1" s="1"/>
  <c r="CA290" i="1"/>
  <c r="BZ290" i="1"/>
  <c r="BT290" i="1"/>
  <c r="BV290" i="1"/>
  <c r="CD280" i="1"/>
  <c r="BS280" i="1"/>
  <c r="CF280" i="1"/>
  <c r="CB280" i="1"/>
  <c r="CA280" i="1"/>
  <c r="BV280" i="1"/>
  <c r="BY280" i="1"/>
  <c r="BT280" i="1"/>
  <c r="BU280" i="1"/>
  <c r="BZ280" i="1"/>
  <c r="CC280" i="1"/>
  <c r="BX280" i="1"/>
  <c r="BW280" i="1"/>
  <c r="BW336" i="1"/>
  <c r="CC336" i="1"/>
  <c r="BX336" i="1"/>
  <c r="BV336" i="1"/>
  <c r="CB336" i="1"/>
  <c r="CD336" i="1"/>
  <c r="BT336" i="1"/>
  <c r="BU336" i="1"/>
  <c r="BY336" i="1"/>
  <c r="BS336" i="1"/>
  <c r="CA336" i="1"/>
  <c r="BZ336" i="1"/>
  <c r="CF336" i="1"/>
  <c r="CE336" i="1" s="1"/>
  <c r="BS324" i="1"/>
  <c r="BW324" i="1"/>
  <c r="CC324" i="1"/>
  <c r="BX324" i="1"/>
  <c r="CD324" i="1"/>
  <c r="BV324" i="1"/>
  <c r="CF324" i="1"/>
  <c r="CB324" i="1"/>
  <c r="BY324" i="1"/>
  <c r="BT324" i="1"/>
  <c r="BZ324" i="1"/>
  <c r="CA324" i="1"/>
  <c r="BU324" i="1"/>
  <c r="CB320" i="1"/>
  <c r="BY320" i="1"/>
  <c r="BV320" i="1"/>
  <c r="CC320" i="1"/>
  <c r="CA320" i="1"/>
  <c r="CD320" i="1"/>
  <c r="BZ320" i="1"/>
  <c r="BW320" i="1"/>
  <c r="BU320" i="1"/>
  <c r="BS320" i="1"/>
  <c r="CF320" i="1"/>
  <c r="CE320" i="1" s="1"/>
  <c r="BT320" i="1"/>
  <c r="BX320" i="1"/>
  <c r="BU302" i="1"/>
  <c r="BY302" i="1"/>
  <c r="BS302" i="1"/>
  <c r="BT302" i="1"/>
  <c r="CD302" i="1"/>
  <c r="CF302" i="1"/>
  <c r="CB302" i="1"/>
  <c r="BW302" i="1"/>
  <c r="BV302" i="1"/>
  <c r="CA302" i="1"/>
  <c r="CC302" i="1"/>
  <c r="BX302" i="1"/>
  <c r="BZ302" i="1"/>
  <c r="CH298" i="1"/>
  <c r="CB298" i="1"/>
  <c r="BU298" i="1"/>
  <c r="BT298" i="1"/>
  <c r="BV298" i="1"/>
  <c r="BW298" i="1"/>
  <c r="BZ298" i="1"/>
  <c r="CA298" i="1"/>
  <c r="BY298" i="1"/>
  <c r="BS298" i="1"/>
  <c r="CD298" i="1"/>
  <c r="CC298" i="1"/>
  <c r="CF298" i="1"/>
  <c r="CE298" i="1" s="1"/>
  <c r="BX298" i="1"/>
  <c r="BT295" i="1"/>
  <c r="CD295" i="1"/>
  <c r="BS295" i="1"/>
  <c r="BY295" i="1"/>
  <c r="BX295" i="1"/>
  <c r="CB295" i="1"/>
  <c r="CA295" i="1"/>
  <c r="BU295" i="1"/>
  <c r="BZ295" i="1"/>
  <c r="BW295" i="1"/>
  <c r="CC295" i="1"/>
  <c r="BV295" i="1"/>
  <c r="CF295" i="1"/>
  <c r="BT285" i="1"/>
  <c r="BW285" i="1"/>
  <c r="BZ285" i="1"/>
  <c r="CC285" i="1"/>
  <c r="BS285" i="1"/>
  <c r="BY285" i="1"/>
  <c r="CD285" i="1"/>
  <c r="BU285" i="1"/>
  <c r="CF285" i="1"/>
  <c r="CA285" i="1"/>
  <c r="BX285" i="1"/>
  <c r="CB285" i="1"/>
  <c r="BV285" i="1"/>
  <c r="BW279" i="1"/>
  <c r="BU279" i="1"/>
  <c r="BV279" i="1"/>
  <c r="BS279" i="1"/>
  <c r="BX279" i="1"/>
  <c r="CC279" i="1"/>
  <c r="BZ279" i="1"/>
  <c r="BT279" i="1"/>
  <c r="CD279" i="1"/>
  <c r="CF279" i="1"/>
  <c r="BY279" i="1"/>
  <c r="CA279" i="1"/>
  <c r="CB279" i="1"/>
  <c r="BW317" i="1"/>
  <c r="CF317" i="1"/>
  <c r="CE317" i="1" s="1"/>
  <c r="BZ317" i="1"/>
  <c r="BV317" i="1"/>
  <c r="CH317" i="1"/>
  <c r="BT317" i="1"/>
  <c r="BU317" i="1"/>
  <c r="BS317" i="1"/>
  <c r="BY317" i="1"/>
  <c r="CC317" i="1"/>
  <c r="CD317" i="1"/>
  <c r="BX317" i="1"/>
  <c r="CA317" i="1"/>
  <c r="CB317" i="1"/>
  <c r="BY328" i="1"/>
  <c r="CB328" i="1"/>
  <c r="BT328" i="1"/>
  <c r="CA328" i="1"/>
  <c r="BW328" i="1"/>
  <c r="CD328" i="1"/>
  <c r="CF328" i="1"/>
  <c r="CC328" i="1"/>
  <c r="BV328" i="1"/>
  <c r="BZ328" i="1"/>
  <c r="BU328" i="1"/>
  <c r="BX328" i="1"/>
  <c r="BS328" i="1"/>
  <c r="BW283" i="1"/>
  <c r="CF283" i="1"/>
  <c r="CC283" i="1"/>
  <c r="CA283" i="1"/>
  <c r="CD283" i="1"/>
  <c r="BX283" i="1"/>
  <c r="BU283" i="1"/>
  <c r="BV283" i="1"/>
  <c r="BS283" i="1"/>
  <c r="BZ283" i="1"/>
  <c r="CB283" i="1"/>
  <c r="BY283" i="1"/>
  <c r="BT283" i="1"/>
  <c r="BT332" i="1"/>
  <c r="BU332" i="1"/>
  <c r="CF332" i="1"/>
  <c r="CE332" i="1" s="1"/>
  <c r="BS332" i="1"/>
  <c r="CA332" i="1"/>
  <c r="BY332" i="1"/>
  <c r="BW332" i="1"/>
  <c r="CB332" i="1"/>
  <c r="BX332" i="1"/>
  <c r="BZ332" i="1"/>
  <c r="CD332" i="1"/>
  <c r="CC332" i="1"/>
  <c r="BV332" i="1"/>
  <c r="BU325" i="1"/>
  <c r="BY325" i="1"/>
  <c r="CB325" i="1"/>
  <c r="BV325" i="1"/>
  <c r="CF325" i="1"/>
  <c r="CE325" i="1" s="1"/>
  <c r="BZ325" i="1"/>
  <c r="BT325" i="1"/>
  <c r="CA325" i="1"/>
  <c r="BX325" i="1"/>
  <c r="CD325" i="1"/>
  <c r="BW325" i="1"/>
  <c r="BS325" i="1"/>
  <c r="CC325" i="1"/>
  <c r="CF316" i="1"/>
  <c r="BT316" i="1"/>
  <c r="BZ316" i="1"/>
  <c r="CB316" i="1"/>
  <c r="BY316" i="1"/>
  <c r="BU316" i="1"/>
  <c r="BW316" i="1"/>
  <c r="CD316" i="1"/>
  <c r="BV316" i="1"/>
  <c r="BS316" i="1"/>
  <c r="BX316" i="1"/>
  <c r="CC316" i="1"/>
  <c r="CA316" i="1"/>
  <c r="BU301" i="1"/>
  <c r="BZ301" i="1"/>
  <c r="CB301" i="1"/>
  <c r="CD301" i="1"/>
  <c r="CF301" i="1"/>
  <c r="BV301" i="1"/>
  <c r="BT301" i="1"/>
  <c r="BX301" i="1"/>
  <c r="BS301" i="1"/>
  <c r="BW301" i="1"/>
  <c r="CC301" i="1"/>
  <c r="CA301" i="1"/>
  <c r="BY301" i="1"/>
  <c r="BW299" i="1"/>
  <c r="CC299" i="1"/>
  <c r="CB299" i="1"/>
  <c r="BY299" i="1"/>
  <c r="BX299" i="1"/>
  <c r="CH299" i="1"/>
  <c r="BS299" i="1"/>
  <c r="BV299" i="1"/>
  <c r="CF299" i="1"/>
  <c r="CE299" i="1" s="1"/>
  <c r="CA299" i="1"/>
  <c r="BU299" i="1"/>
  <c r="CD299" i="1"/>
  <c r="BT299" i="1"/>
  <c r="BZ299" i="1"/>
  <c r="BU291" i="1"/>
  <c r="BZ291" i="1"/>
  <c r="BX291" i="1"/>
  <c r="BV291" i="1"/>
  <c r="BW291" i="1"/>
  <c r="CA291" i="1"/>
  <c r="BY291" i="1"/>
  <c r="CB291" i="1"/>
  <c r="CD291" i="1"/>
  <c r="CC291" i="1"/>
  <c r="BS291" i="1"/>
  <c r="CF291" i="1"/>
  <c r="BT291" i="1"/>
  <c r="BZ289" i="1"/>
  <c r="BW289" i="1"/>
  <c r="CF289" i="1"/>
  <c r="BY289" i="1"/>
  <c r="BV289" i="1"/>
  <c r="BT289" i="1"/>
  <c r="CB289" i="1"/>
  <c r="BU289" i="1"/>
  <c r="CA289" i="1"/>
  <c r="CD289" i="1"/>
  <c r="CC289" i="1"/>
  <c r="BS289" i="1"/>
  <c r="BX289" i="1"/>
  <c r="BV278" i="1"/>
  <c r="BZ278" i="1"/>
  <c r="BX278" i="1"/>
  <c r="CC278" i="1"/>
  <c r="CB278" i="1"/>
  <c r="CA278" i="1"/>
  <c r="CD278" i="1"/>
  <c r="BS278" i="1"/>
  <c r="CF278" i="1"/>
  <c r="CE278" i="1" s="1"/>
  <c r="CH278" i="1"/>
  <c r="BT278" i="1"/>
  <c r="BU278" i="1"/>
  <c r="BW278" i="1"/>
  <c r="BY278" i="1"/>
  <c r="CD338" i="1"/>
  <c r="BS338" i="1"/>
  <c r="BV338" i="1"/>
  <c r="BZ338" i="1"/>
  <c r="BY338" i="1"/>
  <c r="BU338" i="1"/>
  <c r="CB338" i="1"/>
  <c r="BW338" i="1"/>
  <c r="CF338" i="1"/>
  <c r="CA338" i="1"/>
  <c r="BX338" i="1"/>
  <c r="CC338" i="1"/>
  <c r="BT338" i="1"/>
  <c r="BV339" i="1"/>
  <c r="BU339" i="1"/>
  <c r="BX339" i="1"/>
  <c r="CA339" i="1"/>
  <c r="CF339" i="1"/>
  <c r="BZ339" i="1"/>
  <c r="BT339" i="1"/>
  <c r="BW339" i="1"/>
  <c r="CD339" i="1"/>
  <c r="BY339" i="1"/>
  <c r="CB339" i="1"/>
  <c r="CC339" i="1"/>
  <c r="BS339" i="1"/>
  <c r="BU346" i="1"/>
  <c r="CB346" i="1"/>
  <c r="BV346" i="1"/>
  <c r="BZ346" i="1"/>
  <c r="CC346" i="1"/>
  <c r="BW346" i="1"/>
  <c r="BX346" i="1"/>
  <c r="CD346" i="1"/>
  <c r="BT346" i="1"/>
  <c r="BS346" i="1"/>
  <c r="CF346" i="1"/>
  <c r="CA346" i="1"/>
  <c r="BY346" i="1"/>
  <c r="CD340" i="1"/>
  <c r="BU340" i="1"/>
  <c r="BY340" i="1"/>
  <c r="BX340" i="1"/>
  <c r="CC340" i="1"/>
  <c r="BZ340" i="1"/>
  <c r="BT340" i="1"/>
  <c r="BW340" i="1"/>
  <c r="BV340" i="1"/>
  <c r="CA340" i="1"/>
  <c r="CB340" i="1"/>
  <c r="BS340" i="1"/>
  <c r="CF340" i="1"/>
  <c r="BV342" i="1"/>
  <c r="BX342" i="1"/>
  <c r="BY342" i="1"/>
  <c r="BW342" i="1"/>
  <c r="CA342" i="1"/>
  <c r="BT342" i="1"/>
  <c r="CB342" i="1"/>
  <c r="CC342" i="1"/>
  <c r="BS342" i="1"/>
  <c r="CF342" i="1"/>
  <c r="BU342" i="1"/>
  <c r="CD342" i="1"/>
  <c r="BZ342" i="1"/>
  <c r="BT345" i="1"/>
  <c r="BS345" i="1"/>
  <c r="CB345" i="1"/>
  <c r="BU345" i="1"/>
  <c r="BZ345" i="1"/>
  <c r="CC345" i="1"/>
  <c r="BX345" i="1"/>
  <c r="CF345" i="1"/>
  <c r="CE345" i="1" s="1"/>
  <c r="BW345" i="1"/>
  <c r="BV345" i="1"/>
  <c r="CD345" i="1"/>
  <c r="BY345" i="1"/>
  <c r="CA345" i="1"/>
  <c r="BY347" i="1"/>
  <c r="BS347" i="1"/>
  <c r="BU347" i="1"/>
  <c r="BT347" i="1"/>
  <c r="CC347" i="1"/>
  <c r="BW347" i="1"/>
  <c r="CD347" i="1"/>
  <c r="BZ347" i="1"/>
  <c r="BX347" i="1"/>
  <c r="CA347" i="1"/>
  <c r="CB347" i="1"/>
  <c r="BV347" i="1"/>
  <c r="CF347" i="1"/>
  <c r="BY343" i="1"/>
  <c r="CC343" i="1"/>
  <c r="BZ343" i="1"/>
  <c r="CD343" i="1"/>
  <c r="CF343" i="1"/>
  <c r="BU343" i="1"/>
  <c r="BV343" i="1"/>
  <c r="BW343" i="1"/>
  <c r="CB343" i="1"/>
  <c r="BX343" i="1"/>
  <c r="BS343" i="1"/>
  <c r="CA343" i="1"/>
  <c r="BT343" i="1"/>
  <c r="BV341" i="1"/>
  <c r="BW341" i="1"/>
  <c r="BT341" i="1"/>
  <c r="CC341" i="1"/>
  <c r="BZ341" i="1"/>
  <c r="BS341" i="1"/>
  <c r="CF341" i="1"/>
  <c r="CA341" i="1"/>
  <c r="CB341" i="1"/>
  <c r="BU341" i="1"/>
  <c r="BY341" i="1"/>
  <c r="BX341" i="1"/>
  <c r="CD341" i="1"/>
  <c r="CC348" i="1"/>
  <c r="BT348" i="1"/>
  <c r="BY348" i="1"/>
  <c r="BX348" i="1"/>
  <c r="BU348" i="1"/>
  <c r="CB348" i="1"/>
  <c r="CA348" i="1"/>
  <c r="CD348" i="1"/>
  <c r="BV348" i="1"/>
  <c r="BS348" i="1"/>
  <c r="CF348" i="1"/>
  <c r="BW348" i="1"/>
  <c r="BZ348" i="1"/>
  <c r="BS344" i="1"/>
  <c r="BT344" i="1"/>
  <c r="CC344" i="1"/>
  <c r="BX344" i="1"/>
  <c r="BW344" i="1"/>
  <c r="BU344" i="1"/>
  <c r="CD344" i="1"/>
  <c r="BY344" i="1"/>
  <c r="BV344" i="1"/>
  <c r="BZ344" i="1"/>
  <c r="CB344" i="1"/>
  <c r="CA344" i="1"/>
  <c r="CF344" i="1"/>
  <c r="CE344" i="1" s="1"/>
  <c r="BV354" i="1"/>
  <c r="BY354" i="1"/>
  <c r="BS354" i="1"/>
  <c r="CB354" i="1"/>
  <c r="BZ354" i="1"/>
  <c r="BU354" i="1"/>
  <c r="BW354" i="1"/>
  <c r="CC354" i="1"/>
  <c r="CD354" i="1"/>
  <c r="CF354" i="1"/>
  <c r="CE354" i="1" s="1"/>
  <c r="CA354" i="1"/>
  <c r="BT354" i="1"/>
  <c r="BX354" i="1"/>
  <c r="BW349" i="1"/>
  <c r="BS349" i="1"/>
  <c r="BX349" i="1"/>
  <c r="CD349" i="1"/>
  <c r="BV349" i="1"/>
  <c r="BZ349" i="1"/>
  <c r="BU349" i="1"/>
  <c r="BY349" i="1"/>
  <c r="CC349" i="1"/>
  <c r="CA349" i="1"/>
  <c r="CF349" i="1"/>
  <c r="CB349" i="1"/>
  <c r="BT349" i="1"/>
  <c r="CC356" i="1"/>
  <c r="BX356" i="1"/>
  <c r="BU356" i="1"/>
  <c r="BZ356" i="1"/>
  <c r="CB356" i="1"/>
  <c r="CD356" i="1"/>
  <c r="CF356" i="1"/>
  <c r="BV356" i="1"/>
  <c r="CA356" i="1"/>
  <c r="BS356" i="1"/>
  <c r="BW356" i="1"/>
  <c r="BY356" i="1"/>
  <c r="BT356" i="1"/>
  <c r="CD359" i="1"/>
  <c r="CB359" i="1"/>
  <c r="BS359" i="1"/>
  <c r="CF359" i="1"/>
  <c r="BV359" i="1"/>
  <c r="BT359" i="1"/>
  <c r="BX359" i="1"/>
  <c r="BU359" i="1"/>
  <c r="BY359" i="1"/>
  <c r="CC359" i="1"/>
  <c r="BW359" i="1"/>
  <c r="BZ359" i="1"/>
  <c r="CA359" i="1"/>
  <c r="CA360" i="1"/>
  <c r="BU360" i="1"/>
  <c r="CF360" i="1"/>
  <c r="BS360" i="1"/>
  <c r="CB360" i="1"/>
  <c r="CD360" i="1"/>
  <c r="BX360" i="1"/>
  <c r="CC360" i="1"/>
  <c r="BW360" i="1"/>
  <c r="BY360" i="1"/>
  <c r="BZ360" i="1"/>
  <c r="BV360" i="1"/>
  <c r="BT360" i="1"/>
  <c r="BX352" i="1"/>
  <c r="CC352" i="1"/>
  <c r="BS352" i="1"/>
  <c r="BZ352" i="1"/>
  <c r="CF352" i="1"/>
  <c r="CA352" i="1"/>
  <c r="BV352" i="1"/>
  <c r="BW352" i="1"/>
  <c r="CB352" i="1"/>
  <c r="BU352" i="1"/>
  <c r="BY352" i="1"/>
  <c r="BT352" i="1"/>
  <c r="CD352" i="1"/>
  <c r="CA357" i="1"/>
  <c r="BW357" i="1"/>
  <c r="BT357" i="1"/>
  <c r="BV357" i="1"/>
  <c r="BU357" i="1"/>
  <c r="BY357" i="1"/>
  <c r="CB357" i="1"/>
  <c r="BS357" i="1"/>
  <c r="CC357" i="1"/>
  <c r="CD357" i="1"/>
  <c r="BX357" i="1"/>
  <c r="CF357" i="1"/>
  <c r="CE357" i="1" s="1"/>
  <c r="BZ357" i="1"/>
  <c r="CA358" i="1"/>
  <c r="BZ358" i="1"/>
  <c r="BW358" i="1"/>
  <c r="CC358" i="1"/>
  <c r="BS358" i="1"/>
  <c r="BY358" i="1"/>
  <c r="CD358" i="1"/>
  <c r="BU358" i="1"/>
  <c r="BX358" i="1"/>
  <c r="BT358" i="1"/>
  <c r="CB358" i="1"/>
  <c r="BV358" i="1"/>
  <c r="CF358" i="1"/>
  <c r="BY351" i="1"/>
  <c r="CD351" i="1"/>
  <c r="CA351" i="1"/>
  <c r="BS351" i="1"/>
  <c r="BV351" i="1"/>
  <c r="BX351" i="1"/>
  <c r="CF351" i="1"/>
  <c r="BU351" i="1"/>
  <c r="BZ351" i="1"/>
  <c r="CC351" i="1"/>
  <c r="BW351" i="1"/>
  <c r="BT351" i="1"/>
  <c r="CB351" i="1"/>
  <c r="BU353" i="1"/>
  <c r="BZ353" i="1"/>
  <c r="BX353" i="1"/>
  <c r="CA353" i="1"/>
  <c r="BW353" i="1"/>
  <c r="BS353" i="1"/>
  <c r="BV353" i="1"/>
  <c r="BY353" i="1"/>
  <c r="CB353" i="1"/>
  <c r="BT353" i="1"/>
  <c r="CF353" i="1"/>
  <c r="CD353" i="1"/>
  <c r="CC353" i="1"/>
  <c r="CC355" i="1"/>
  <c r="BW355" i="1"/>
  <c r="BS355" i="1"/>
  <c r="CB355" i="1"/>
  <c r="CA355" i="1"/>
  <c r="BY355" i="1"/>
  <c r="BV355" i="1"/>
  <c r="BT355" i="1"/>
  <c r="CD355" i="1"/>
  <c r="BX355" i="1"/>
  <c r="CF355" i="1"/>
  <c r="BZ355" i="1"/>
  <c r="BU355" i="1"/>
  <c r="CF350" i="1"/>
  <c r="BW350" i="1"/>
  <c r="BV350" i="1"/>
  <c r="BY350" i="1"/>
  <c r="BU350" i="1"/>
  <c r="CC350" i="1"/>
  <c r="BX350" i="1"/>
  <c r="CA350" i="1"/>
  <c r="CD350" i="1"/>
  <c r="CB350" i="1"/>
  <c r="BS350" i="1"/>
  <c r="BT350" i="1"/>
  <c r="BZ350"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8" i="1" l="1"/>
  <c r="BR158" i="1" s="1"/>
  <c r="BO125" i="1"/>
  <c r="CR142" i="1"/>
  <c r="CG142" i="1"/>
  <c r="BQ50" i="1"/>
  <c r="BR50" i="1" s="1"/>
  <c r="BO50" i="1"/>
  <c r="BP50" i="1" s="1"/>
  <c r="CG55" i="1"/>
  <c r="CR55" i="1"/>
  <c r="BQ139" i="1"/>
  <c r="BR139" i="1" s="1"/>
  <c r="BO139" i="1"/>
  <c r="BP139" i="1" s="1"/>
  <c r="BO114" i="1"/>
  <c r="BQ114" i="1"/>
  <c r="BR114" i="1" s="1"/>
  <c r="CE137" i="1"/>
  <c r="CR122" i="1"/>
  <c r="CG122" i="1"/>
  <c r="BQ75" i="1"/>
  <c r="BR75" i="1" s="1"/>
  <c r="BO75" i="1"/>
  <c r="BP75" i="1" s="1"/>
  <c r="CR120" i="1"/>
  <c r="CG120" i="1"/>
  <c r="BQ147" i="1"/>
  <c r="BR147" i="1" s="1"/>
  <c r="BO147" i="1"/>
  <c r="BP147" i="1" s="1"/>
  <c r="CR94" i="1"/>
  <c r="CG94" i="1"/>
  <c r="BQ38" i="1"/>
  <c r="BR38" i="1" s="1"/>
  <c r="BO38" i="1"/>
  <c r="BP38" i="1" s="1"/>
  <c r="BO123" i="1"/>
  <c r="BP123" i="1" s="1"/>
  <c r="BQ123" i="1"/>
  <c r="BR123" i="1" s="1"/>
  <c r="BO73" i="1"/>
  <c r="BP73" i="1" s="1"/>
  <c r="BQ73" i="1"/>
  <c r="BR73" i="1" s="1"/>
  <c r="CE64" i="1"/>
  <c r="CR124" i="1"/>
  <c r="CG124" i="1"/>
  <c r="BQ106" i="1"/>
  <c r="BR106" i="1" s="1"/>
  <c r="BO106" i="1"/>
  <c r="BQ121" i="1"/>
  <c r="BR121" i="1" s="1"/>
  <c r="BO121" i="1"/>
  <c r="BP121" i="1" s="1"/>
  <c r="BO66" i="1"/>
  <c r="CR79" i="1"/>
  <c r="CG79" i="1"/>
  <c r="BO101" i="1"/>
  <c r="BP101" i="1" s="1"/>
  <c r="BQ101" i="1"/>
  <c r="BR101" i="1" s="1"/>
  <c r="BQ144" i="1"/>
  <c r="BR144" i="1" s="1"/>
  <c r="BO144" i="1"/>
  <c r="BP144" i="1" s="1"/>
  <c r="BQ131" i="1"/>
  <c r="BR131" i="1" s="1"/>
  <c r="BO131" i="1"/>
  <c r="BP131" i="1" s="1"/>
  <c r="BP125" i="1"/>
  <c r="CH125" i="1"/>
  <c r="BO87" i="1"/>
  <c r="BP87" i="1" s="1"/>
  <c r="BQ87" i="1"/>
  <c r="BR87" i="1" s="1"/>
  <c r="CG28" i="1"/>
  <c r="CR28" i="1"/>
  <c r="CR104" i="1"/>
  <c r="CG104" i="1"/>
  <c r="BO154" i="1"/>
  <c r="BQ154" i="1"/>
  <c r="BR154" i="1" s="1"/>
  <c r="BQ71" i="1"/>
  <c r="BR71" i="1" s="1"/>
  <c r="BO71" i="1"/>
  <c r="BP71" i="1" s="1"/>
  <c r="CR36" i="1"/>
  <c r="CG36" i="1"/>
  <c r="BO59" i="1"/>
  <c r="BQ59" i="1"/>
  <c r="BR59" i="1" s="1"/>
  <c r="BO68" i="1"/>
  <c r="BP68" i="1" s="1"/>
  <c r="BQ68" i="1"/>
  <c r="BR68" i="1" s="1"/>
  <c r="CE323" i="1"/>
  <c r="CR78" i="1"/>
  <c r="CG78" i="1"/>
  <c r="BQ151" i="1"/>
  <c r="BR151" i="1" s="1"/>
  <c r="BO151" i="1"/>
  <c r="BP151" i="1" s="1"/>
  <c r="CG40" i="1"/>
  <c r="CR40" i="1"/>
  <c r="BO88" i="1"/>
  <c r="BP88" i="1" s="1"/>
  <c r="BQ88" i="1"/>
  <c r="BR88" i="1" s="1"/>
  <c r="BQ64" i="1"/>
  <c r="BR64" i="1" s="1"/>
  <c r="BO63" i="1"/>
  <c r="BP63" i="1" s="1"/>
  <c r="BQ63" i="1"/>
  <c r="BR63" i="1" s="1"/>
  <c r="BQ39" i="1"/>
  <c r="BR39" i="1" s="1"/>
  <c r="BO39" i="1"/>
  <c r="BO119" i="1"/>
  <c r="BP119" i="1" s="1"/>
  <c r="BQ119" i="1"/>
  <c r="BR119" i="1" s="1"/>
  <c r="BO28" i="1"/>
  <c r="BP28" i="1" s="1"/>
  <c r="BQ28" i="1"/>
  <c r="BR28" i="1" s="1"/>
  <c r="BO92" i="1"/>
  <c r="BP92" i="1" s="1"/>
  <c r="BQ92" i="1"/>
  <c r="BR92" i="1" s="1"/>
  <c r="BQ110" i="1"/>
  <c r="BR110" i="1" s="1"/>
  <c r="BO110" i="1"/>
  <c r="CG30" i="1"/>
  <c r="CR30" i="1"/>
  <c r="CG70" i="1"/>
  <c r="CR70" i="1"/>
  <c r="CR160" i="1"/>
  <c r="CG160" i="1"/>
  <c r="BO36" i="1"/>
  <c r="BP36" i="1" s="1"/>
  <c r="BQ36" i="1"/>
  <c r="BR36" i="1" s="1"/>
  <c r="CE148" i="1"/>
  <c r="BQ132" i="1"/>
  <c r="BR132" i="1" s="1"/>
  <c r="BO132" i="1"/>
  <c r="BP132" i="1" s="1"/>
  <c r="CR37" i="1"/>
  <c r="CG37" i="1"/>
  <c r="CE210" i="1"/>
  <c r="CG44" i="1"/>
  <c r="CR44" i="1"/>
  <c r="BO48" i="1"/>
  <c r="BP48" i="1" s="1"/>
  <c r="BQ48" i="1"/>
  <c r="BR48" i="1" s="1"/>
  <c r="BQ159" i="1"/>
  <c r="BR159" i="1" s="1"/>
  <c r="BO159" i="1"/>
  <c r="BP159" i="1" s="1"/>
  <c r="CR33" i="1"/>
  <c r="CG33" i="1"/>
  <c r="CG134" i="1"/>
  <c r="CR134" i="1"/>
  <c r="CR61" i="1"/>
  <c r="CG61" i="1"/>
  <c r="CR105" i="1"/>
  <c r="CG105" i="1"/>
  <c r="BO30" i="1"/>
  <c r="BP30" i="1" s="1"/>
  <c r="BQ30" i="1"/>
  <c r="BR30" i="1" s="1"/>
  <c r="BO120" i="1"/>
  <c r="BP120" i="1" s="1"/>
  <c r="BQ120" i="1"/>
  <c r="BR120" i="1" s="1"/>
  <c r="CR86" i="1"/>
  <c r="CG86" i="1"/>
  <c r="BO67" i="1"/>
  <c r="BQ67" i="1"/>
  <c r="BR67" i="1" s="1"/>
  <c r="BQ37" i="1"/>
  <c r="BR37" i="1" s="1"/>
  <c r="BO37" i="1"/>
  <c r="BP37" i="1" s="1"/>
  <c r="CG47" i="1"/>
  <c r="CR47" i="1"/>
  <c r="CG131" i="1"/>
  <c r="CR131" i="1"/>
  <c r="BQ142" i="1"/>
  <c r="BR142" i="1" s="1"/>
  <c r="BO142" i="1"/>
  <c r="BP142" i="1" s="1"/>
  <c r="CR87" i="1"/>
  <c r="CG87" i="1"/>
  <c r="BQ112" i="1"/>
  <c r="BR112" i="1" s="1"/>
  <c r="BO112" i="1"/>
  <c r="BP112" i="1" s="1"/>
  <c r="BQ33" i="1"/>
  <c r="BR33" i="1" s="1"/>
  <c r="BO33" i="1"/>
  <c r="BP33" i="1" s="1"/>
  <c r="BQ134" i="1"/>
  <c r="BR134" i="1" s="1"/>
  <c r="BO134" i="1"/>
  <c r="BP134" i="1" s="1"/>
  <c r="CR161" i="1"/>
  <c r="CG161" i="1"/>
  <c r="BQ160" i="1"/>
  <c r="BR160" i="1" s="1"/>
  <c r="BO160" i="1"/>
  <c r="BP160" i="1" s="1"/>
  <c r="BQ86" i="1"/>
  <c r="BR86" i="1" s="1"/>
  <c r="BO86" i="1"/>
  <c r="BP86" i="1" s="1"/>
  <c r="BQ85" i="1"/>
  <c r="BR85" i="1" s="1"/>
  <c r="BO85" i="1"/>
  <c r="BO102" i="1"/>
  <c r="BP102" i="1" s="1"/>
  <c r="BQ102" i="1"/>
  <c r="BR102" i="1" s="1"/>
  <c r="BO146" i="1"/>
  <c r="BP146" i="1" s="1"/>
  <c r="BQ146" i="1"/>
  <c r="BR146" i="1" s="1"/>
  <c r="CR109" i="1"/>
  <c r="CG109" i="1"/>
  <c r="CG51" i="1"/>
  <c r="CR51" i="1"/>
  <c r="BO153" i="1"/>
  <c r="BP153" i="1" s="1"/>
  <c r="BQ153" i="1"/>
  <c r="BR153" i="1" s="1"/>
  <c r="CE175" i="1"/>
  <c r="CR32" i="1"/>
  <c r="CG32" i="1"/>
  <c r="CR91" i="1"/>
  <c r="CG91" i="1"/>
  <c r="BQ76" i="1"/>
  <c r="BR76" i="1" s="1"/>
  <c r="BO76" i="1"/>
  <c r="BP76" i="1" s="1"/>
  <c r="CE39" i="1"/>
  <c r="CG92" i="1"/>
  <c r="CR92" i="1"/>
  <c r="CE103" i="1"/>
  <c r="BO97" i="1"/>
  <c r="BP97" i="1" s="1"/>
  <c r="BQ97" i="1"/>
  <c r="BR97" i="1" s="1"/>
  <c r="BQ117" i="1"/>
  <c r="BR117" i="1" s="1"/>
  <c r="BO117" i="1"/>
  <c r="BP117" i="1" s="1"/>
  <c r="BO140" i="1"/>
  <c r="BQ140" i="1"/>
  <c r="BR140" i="1" s="1"/>
  <c r="CG71" i="1"/>
  <c r="CR71" i="1"/>
  <c r="CG72" i="1"/>
  <c r="CR72" i="1"/>
  <c r="BQ111" i="1"/>
  <c r="BR111" i="1" s="1"/>
  <c r="BO111" i="1"/>
  <c r="BP111" i="1" s="1"/>
  <c r="BO143" i="1"/>
  <c r="BQ47" i="1"/>
  <c r="BR47" i="1" s="1"/>
  <c r="BO47" i="1"/>
  <c r="BP47" i="1" s="1"/>
  <c r="BQ51" i="1"/>
  <c r="BR51" i="1" s="1"/>
  <c r="BO51" i="1"/>
  <c r="BP51" i="1" s="1"/>
  <c r="CE294" i="1"/>
  <c r="CE257" i="1"/>
  <c r="BQ32" i="1"/>
  <c r="BR32" i="1" s="1"/>
  <c r="BO32" i="1"/>
  <c r="BP32" i="1" s="1"/>
  <c r="CR48" i="1"/>
  <c r="CG48" i="1"/>
  <c r="CE162" i="1"/>
  <c r="BQ113" i="1"/>
  <c r="BR113" i="1" s="1"/>
  <c r="BO113" i="1"/>
  <c r="BP113" i="1" s="1"/>
  <c r="CG84" i="1"/>
  <c r="CR84" i="1"/>
  <c r="BO137" i="1"/>
  <c r="CG83" i="1"/>
  <c r="CR83" i="1"/>
  <c r="CG119" i="1"/>
  <c r="CR119" i="1"/>
  <c r="BQ161" i="1"/>
  <c r="BR161" i="1" s="1"/>
  <c r="BO161" i="1"/>
  <c r="BP161" i="1" s="1"/>
  <c r="CE110" i="1"/>
  <c r="BQ70" i="1"/>
  <c r="BR70" i="1" s="1"/>
  <c r="BO70" i="1"/>
  <c r="BP70" i="1" s="1"/>
  <c r="BQ145" i="1"/>
  <c r="BR145" i="1" s="1"/>
  <c r="BO145" i="1"/>
  <c r="BP145" i="1" s="1"/>
  <c r="BO115" i="1"/>
  <c r="BP115" i="1" s="1"/>
  <c r="BQ115" i="1"/>
  <c r="BR115" i="1" s="1"/>
  <c r="CR31" i="1"/>
  <c r="CG31" i="1"/>
  <c r="CR136" i="1"/>
  <c r="CG136" i="1"/>
  <c r="CG53" i="1"/>
  <c r="CR53" i="1"/>
  <c r="CE125" i="1"/>
  <c r="CE77" i="1"/>
  <c r="BO128" i="1"/>
  <c r="BP128" i="1" s="1"/>
  <c r="BQ128" i="1"/>
  <c r="BR128" i="1" s="1"/>
  <c r="BO162" i="1"/>
  <c r="BO127" i="1"/>
  <c r="BQ137" i="1"/>
  <c r="BR137" i="1" s="1"/>
  <c r="CG63" i="1"/>
  <c r="CR63" i="1"/>
  <c r="BO60" i="1"/>
  <c r="BQ60" i="1"/>
  <c r="BR60" i="1" s="1"/>
  <c r="BO95" i="1"/>
  <c r="BP95" i="1" s="1"/>
  <c r="BQ95" i="1"/>
  <c r="BR95" i="1" s="1"/>
  <c r="BO157" i="1"/>
  <c r="BP157" i="1" s="1"/>
  <c r="BQ157" i="1"/>
  <c r="BR157" i="1" s="1"/>
  <c r="CR65" i="1"/>
  <c r="CG65" i="1"/>
  <c r="BO122" i="1"/>
  <c r="BP122" i="1" s="1"/>
  <c r="BQ122" i="1"/>
  <c r="BR122" i="1" s="1"/>
  <c r="CR149" i="1"/>
  <c r="CG149" i="1"/>
  <c r="BO105" i="1"/>
  <c r="BP105" i="1" s="1"/>
  <c r="BQ105" i="1"/>
  <c r="BR105" i="1" s="1"/>
  <c r="CR29" i="1"/>
  <c r="CG29" i="1"/>
  <c r="BQ58" i="1"/>
  <c r="BR58" i="1" s="1"/>
  <c r="BO58" i="1"/>
  <c r="BP58" i="1" s="1"/>
  <c r="BQ79" i="1"/>
  <c r="BR79" i="1" s="1"/>
  <c r="BO79" i="1"/>
  <c r="BP79" i="1" s="1"/>
  <c r="CR101" i="1"/>
  <c r="CG101" i="1"/>
  <c r="BO109" i="1"/>
  <c r="BP109" i="1" s="1"/>
  <c r="BQ109" i="1"/>
  <c r="BR109" i="1" s="1"/>
  <c r="BQ31" i="1"/>
  <c r="BR31" i="1" s="1"/>
  <c r="BO31" i="1"/>
  <c r="BP31" i="1" s="1"/>
  <c r="BO42" i="1"/>
  <c r="BQ42" i="1"/>
  <c r="BR42" i="1" s="1"/>
  <c r="CE93" i="1"/>
  <c r="CR107" i="1"/>
  <c r="CG107" i="1"/>
  <c r="BQ126" i="1"/>
  <c r="BR126" i="1" s="1"/>
  <c r="BO126" i="1"/>
  <c r="BP126" i="1" s="1"/>
  <c r="CG157" i="1"/>
  <c r="CR157" i="1"/>
  <c r="CG102" i="1"/>
  <c r="CR102" i="1"/>
  <c r="CR144" i="1"/>
  <c r="CG144" i="1"/>
  <c r="BQ89" i="1"/>
  <c r="BR89" i="1" s="1"/>
  <c r="BO89" i="1"/>
  <c r="BP89" i="1" s="1"/>
  <c r="CE303" i="1"/>
  <c r="BO53" i="1"/>
  <c r="BP53" i="1" s="1"/>
  <c r="BQ53" i="1"/>
  <c r="BR53" i="1" s="1"/>
  <c r="BQ55" i="1"/>
  <c r="BR55" i="1" s="1"/>
  <c r="BO55" i="1"/>
  <c r="BP55" i="1" s="1"/>
  <c r="CE127" i="1"/>
  <c r="BO43" i="1"/>
  <c r="BQ43" i="1"/>
  <c r="BR43" i="1" s="1"/>
  <c r="BQ56" i="1"/>
  <c r="BR56" i="1" s="1"/>
  <c r="BO56" i="1"/>
  <c r="BP56" i="1" s="1"/>
  <c r="CG126" i="1"/>
  <c r="CR126" i="1"/>
  <c r="CR95" i="1"/>
  <c r="CG95" i="1"/>
  <c r="CR121" i="1"/>
  <c r="CG121" i="1"/>
  <c r="BO57" i="1"/>
  <c r="BQ57" i="1"/>
  <c r="BR57" i="1" s="1"/>
  <c r="BQ104" i="1"/>
  <c r="BR104" i="1" s="1"/>
  <c r="BO104" i="1"/>
  <c r="BP104" i="1" s="1"/>
  <c r="BO41" i="1"/>
  <c r="BP41" i="1" s="1"/>
  <c r="BQ41" i="1"/>
  <c r="BR41" i="1" s="1"/>
  <c r="BQ138" i="1"/>
  <c r="BR138" i="1" s="1"/>
  <c r="BO138" i="1"/>
  <c r="BP138" i="1" s="1"/>
  <c r="CG52" i="1"/>
  <c r="CR52" i="1"/>
  <c r="BO80" i="1"/>
  <c r="BP80" i="1" s="1"/>
  <c r="BQ80" i="1"/>
  <c r="BR80" i="1" s="1"/>
  <c r="BQ135" i="1"/>
  <c r="BR135" i="1" s="1"/>
  <c r="BO135" i="1"/>
  <c r="BP135" i="1" s="1"/>
  <c r="BO78" i="1"/>
  <c r="BP78" i="1" s="1"/>
  <c r="BQ78" i="1"/>
  <c r="BR78" i="1" s="1"/>
  <c r="BQ133" i="1"/>
  <c r="BR133" i="1" s="1"/>
  <c r="BO133" i="1"/>
  <c r="BP133" i="1" s="1"/>
  <c r="CG54" i="1"/>
  <c r="CR54" i="1"/>
  <c r="BQ107" i="1"/>
  <c r="BR107" i="1" s="1"/>
  <c r="BO107" i="1"/>
  <c r="BP107" i="1" s="1"/>
  <c r="CR90" i="1"/>
  <c r="CG90" i="1"/>
  <c r="CE152" i="1"/>
  <c r="CR139" i="1"/>
  <c r="CG139" i="1"/>
  <c r="CG49" i="1"/>
  <c r="CR49" i="1"/>
  <c r="BO81" i="1"/>
  <c r="BP81" i="1" s="1"/>
  <c r="BQ81" i="1"/>
  <c r="BR81" i="1" s="1"/>
  <c r="BO156" i="1"/>
  <c r="BQ156" i="1"/>
  <c r="BR156" i="1" s="1"/>
  <c r="CG98" i="1"/>
  <c r="CR98" i="1"/>
  <c r="BQ52" i="1"/>
  <c r="BR52" i="1" s="1"/>
  <c r="BO52" i="1"/>
  <c r="BP52" i="1" s="1"/>
  <c r="BQ29" i="1"/>
  <c r="BR29" i="1" s="1"/>
  <c r="BO29" i="1"/>
  <c r="BP29" i="1" s="1"/>
  <c r="BO148" i="1"/>
  <c r="BQ148" i="1"/>
  <c r="BR148" i="1" s="1"/>
  <c r="BO46" i="1"/>
  <c r="BQ46" i="1"/>
  <c r="BR46" i="1" s="1"/>
  <c r="CR135" i="1"/>
  <c r="CG135" i="1"/>
  <c r="BO44" i="1"/>
  <c r="BP44" i="1" s="1"/>
  <c r="BQ44" i="1"/>
  <c r="BR44" i="1" s="1"/>
  <c r="CR133" i="1"/>
  <c r="CG133" i="1"/>
  <c r="BO77" i="1"/>
  <c r="BQ77" i="1"/>
  <c r="BR77" i="1" s="1"/>
  <c r="BQ130" i="1"/>
  <c r="BR130" i="1" s="1"/>
  <c r="BO130" i="1"/>
  <c r="BP130" i="1" s="1"/>
  <c r="CG123" i="1"/>
  <c r="CR123" i="1"/>
  <c r="CG73" i="1"/>
  <c r="CR73" i="1"/>
  <c r="CG56" i="1"/>
  <c r="CR56" i="1"/>
  <c r="BO64" i="1"/>
  <c r="CE156" i="1"/>
  <c r="BO61" i="1"/>
  <c r="BP61" i="1" s="1"/>
  <c r="BQ61" i="1"/>
  <c r="BR61" i="1" s="1"/>
  <c r="CR118" i="1"/>
  <c r="CG118" i="1"/>
  <c r="BQ66" i="1"/>
  <c r="BR66" i="1" s="1"/>
  <c r="BO62" i="1"/>
  <c r="BP62" i="1" s="1"/>
  <c r="BQ62" i="1"/>
  <c r="BR62" i="1" s="1"/>
  <c r="BO93" i="1"/>
  <c r="CR50" i="1"/>
  <c r="CG50" i="1"/>
  <c r="CG38" i="1"/>
  <c r="CR38" i="1"/>
  <c r="BQ84" i="1"/>
  <c r="BR84" i="1" s="1"/>
  <c r="BO84" i="1"/>
  <c r="BP84" i="1" s="1"/>
  <c r="BO124" i="1"/>
  <c r="BP124" i="1" s="1"/>
  <c r="BQ124" i="1"/>
  <c r="BR124" i="1" s="1"/>
  <c r="BQ45" i="1"/>
  <c r="BR45" i="1" s="1"/>
  <c r="BO45" i="1"/>
  <c r="BP45" i="1" s="1"/>
  <c r="BO65" i="1"/>
  <c r="BP65" i="1" s="1"/>
  <c r="BQ65" i="1"/>
  <c r="BR65" i="1" s="1"/>
  <c r="BO69" i="1"/>
  <c r="BP69" i="1" s="1"/>
  <c r="BQ69" i="1"/>
  <c r="BR69" i="1" s="1"/>
  <c r="BQ103" i="1"/>
  <c r="BR103" i="1" s="1"/>
  <c r="BO103" i="1"/>
  <c r="BQ155" i="1"/>
  <c r="BR155" i="1" s="1"/>
  <c r="BO155" i="1"/>
  <c r="BP155" i="1" s="1"/>
  <c r="BQ34" i="1"/>
  <c r="BR34" i="1" s="1"/>
  <c r="BO34" i="1"/>
  <c r="BO96" i="1"/>
  <c r="BP96" i="1" s="1"/>
  <c r="BQ96" i="1"/>
  <c r="BR96" i="1" s="1"/>
  <c r="CG97" i="1"/>
  <c r="CR97" i="1"/>
  <c r="CE85" i="1"/>
  <c r="BO150" i="1"/>
  <c r="BQ150" i="1"/>
  <c r="BR150" i="1" s="1"/>
  <c r="BQ72" i="1"/>
  <c r="BR72" i="1" s="1"/>
  <c r="BO72" i="1"/>
  <c r="BP72" i="1" s="1"/>
  <c r="CG145" i="1"/>
  <c r="CR145" i="1"/>
  <c r="CE358" i="1"/>
  <c r="BQ94" i="1"/>
  <c r="BR94" i="1" s="1"/>
  <c r="BO94" i="1"/>
  <c r="BP94" i="1" s="1"/>
  <c r="BQ129" i="1"/>
  <c r="BR129" i="1" s="1"/>
  <c r="BO129" i="1"/>
  <c r="BP129" i="1" s="1"/>
  <c r="BQ125" i="1"/>
  <c r="BR125" i="1" s="1"/>
  <c r="BO40" i="1"/>
  <c r="BP40" i="1" s="1"/>
  <c r="BQ40" i="1"/>
  <c r="BR40" i="1" s="1"/>
  <c r="BO116" i="1"/>
  <c r="BP116" i="1" s="1"/>
  <c r="BQ116" i="1"/>
  <c r="BR116" i="1" s="1"/>
  <c r="BO90" i="1"/>
  <c r="BP90" i="1" s="1"/>
  <c r="BQ90" i="1"/>
  <c r="BR90" i="1" s="1"/>
  <c r="BQ162" i="1"/>
  <c r="BR162" i="1" s="1"/>
  <c r="BO152" i="1"/>
  <c r="BQ152" i="1"/>
  <c r="BR152" i="1" s="1"/>
  <c r="BQ82" i="1"/>
  <c r="BR82" i="1" s="1"/>
  <c r="BO82" i="1"/>
  <c r="BP82" i="1" s="1"/>
  <c r="CR99" i="1"/>
  <c r="CG99" i="1"/>
  <c r="BO83" i="1"/>
  <c r="BP83" i="1" s="1"/>
  <c r="BQ83" i="1"/>
  <c r="BR83" i="1" s="1"/>
  <c r="CG35" i="1"/>
  <c r="CR35" i="1"/>
  <c r="BO108" i="1"/>
  <c r="BO118" i="1"/>
  <c r="BP118" i="1" s="1"/>
  <c r="BQ118" i="1"/>
  <c r="BR118" i="1" s="1"/>
  <c r="CG138" i="1"/>
  <c r="CR138" i="1"/>
  <c r="CG111" i="1"/>
  <c r="CR111" i="1"/>
  <c r="BQ74" i="1"/>
  <c r="BR74" i="1" s="1"/>
  <c r="BO74" i="1"/>
  <c r="BQ93" i="1"/>
  <c r="BR93" i="1" s="1"/>
  <c r="BQ54" i="1"/>
  <c r="BR54" i="1" s="1"/>
  <c r="BO54" i="1"/>
  <c r="BP54" i="1" s="1"/>
  <c r="BO91" i="1"/>
  <c r="BP91" i="1" s="1"/>
  <c r="BQ91" i="1"/>
  <c r="BR91" i="1" s="1"/>
  <c r="BQ127" i="1"/>
  <c r="BR127" i="1" s="1"/>
  <c r="BQ49" i="1"/>
  <c r="BR49" i="1" s="1"/>
  <c r="BO49" i="1"/>
  <c r="BP49" i="1" s="1"/>
  <c r="BQ99" i="1"/>
  <c r="BR99" i="1" s="1"/>
  <c r="BO99" i="1"/>
  <c r="BP99" i="1" s="1"/>
  <c r="CG81" i="1"/>
  <c r="CR81" i="1"/>
  <c r="BO35" i="1"/>
  <c r="BP35" i="1" s="1"/>
  <c r="BQ35" i="1"/>
  <c r="BR35" i="1" s="1"/>
  <c r="BQ98" i="1"/>
  <c r="BR98" i="1" s="1"/>
  <c r="BO98" i="1"/>
  <c r="BP98" i="1" s="1"/>
  <c r="BQ149" i="1"/>
  <c r="BR149" i="1" s="1"/>
  <c r="BO149" i="1"/>
  <c r="BP149" i="1" s="1"/>
  <c r="CE66" i="1"/>
  <c r="BQ143" i="1"/>
  <c r="BR143" i="1" s="1"/>
  <c r="BQ100" i="1"/>
  <c r="BR100" i="1" s="1"/>
  <c r="BO100" i="1"/>
  <c r="BP100" i="1" s="1"/>
  <c r="CG58" i="1"/>
  <c r="CR58" i="1"/>
  <c r="BQ141" i="1"/>
  <c r="BR141" i="1" s="1"/>
  <c r="BO141" i="1"/>
  <c r="BP141" i="1" s="1"/>
  <c r="CG115" i="1"/>
  <c r="CR115" i="1"/>
  <c r="BO136" i="1"/>
  <c r="BP136" i="1" s="1"/>
  <c r="BQ136" i="1"/>
  <c r="BR136" i="1" s="1"/>
  <c r="CE203" i="1"/>
  <c r="CE297" i="1"/>
  <c r="CE313" i="1"/>
  <c r="CE268" i="1"/>
  <c r="CE215" i="1"/>
  <c r="CE339" i="1"/>
  <c r="CE213" i="1"/>
  <c r="CE170" i="1"/>
  <c r="CE190" i="1"/>
  <c r="CE289" i="1"/>
  <c r="CE355" i="1"/>
  <c r="CE341" i="1"/>
  <c r="CE276" i="1"/>
  <c r="CE205" i="1"/>
  <c r="CE187" i="1"/>
  <c r="CE263" i="1"/>
  <c r="CE166" i="1"/>
  <c r="CE199" i="1"/>
  <c r="CE193" i="1"/>
  <c r="CE179" i="1"/>
  <c r="CE306" i="1"/>
  <c r="CE335" i="1"/>
  <c r="CE226" i="1"/>
  <c r="CE254" i="1"/>
  <c r="CE183" i="1"/>
  <c r="CE280" i="1"/>
  <c r="CE239" i="1"/>
  <c r="CE324" i="1"/>
  <c r="CE231" i="1"/>
  <c r="CE236" i="1"/>
  <c r="CE351" i="1"/>
  <c r="CE251" i="1"/>
  <c r="CE343" i="1"/>
  <c r="CE291" i="1"/>
  <c r="CE293" i="1"/>
  <c r="CE281" i="1"/>
  <c r="CE171" i="1"/>
  <c r="CE271" i="1"/>
  <c r="CE267" i="1"/>
  <c r="CE165" i="1"/>
  <c r="CE207" i="1"/>
  <c r="CE188" i="1"/>
  <c r="CE240" i="1"/>
  <c r="CE181" i="1"/>
  <c r="CE223" i="1"/>
  <c r="CE202" i="1"/>
  <c r="CE229" i="1"/>
  <c r="CE331" i="1"/>
  <c r="CE163" i="1"/>
  <c r="CE206" i="1"/>
  <c r="CE238" i="1"/>
  <c r="CE353" i="1"/>
  <c r="CE342" i="1"/>
  <c r="CE316" i="1"/>
  <c r="CE285" i="1"/>
  <c r="CE225" i="1"/>
  <c r="CE173" i="1"/>
  <c r="CE197" i="1"/>
  <c r="CE283" i="1"/>
  <c r="CE249" i="1"/>
  <c r="CE194" i="1"/>
  <c r="CE308" i="1"/>
  <c r="CE326" i="1"/>
  <c r="CE262" i="1"/>
  <c r="CE230" i="1"/>
  <c r="BQ243" i="1"/>
  <c r="BR243" i="1" s="1"/>
  <c r="BO243" i="1"/>
  <c r="BP243" i="1" s="1"/>
  <c r="BQ272" i="1"/>
  <c r="BR272" i="1" s="1"/>
  <c r="BO272" i="1"/>
  <c r="BQ183" i="1"/>
  <c r="BR183" i="1" s="1"/>
  <c r="BO183" i="1"/>
  <c r="CG274" i="1"/>
  <c r="CR274" i="1"/>
  <c r="CG265" i="1"/>
  <c r="CR265" i="1"/>
  <c r="BQ165" i="1"/>
  <c r="BR165" i="1" s="1"/>
  <c r="BO165" i="1"/>
  <c r="BQ192" i="1"/>
  <c r="BR192" i="1" s="1"/>
  <c r="BO192" i="1"/>
  <c r="CR201" i="1"/>
  <c r="CG201" i="1"/>
  <c r="BO242" i="1"/>
  <c r="BQ242" i="1"/>
  <c r="BR242" i="1" s="1"/>
  <c r="BQ249" i="1"/>
  <c r="BR249" i="1" s="1"/>
  <c r="BO249" i="1"/>
  <c r="CE169" i="1"/>
  <c r="BQ188" i="1"/>
  <c r="BR188" i="1" s="1"/>
  <c r="BO188" i="1"/>
  <c r="BO271" i="1"/>
  <c r="BQ271" i="1"/>
  <c r="BR271" i="1" s="1"/>
  <c r="CG220" i="1"/>
  <c r="CR220" i="1"/>
  <c r="CG258" i="1"/>
  <c r="CR258" i="1"/>
  <c r="CE180" i="1"/>
  <c r="BO184" i="1"/>
  <c r="BP184" i="1" s="1"/>
  <c r="BQ184" i="1"/>
  <c r="BR184" i="1" s="1"/>
  <c r="BQ222" i="1"/>
  <c r="BR222" i="1" s="1"/>
  <c r="BO222" i="1"/>
  <c r="BP222" i="1" s="1"/>
  <c r="BO230" i="1"/>
  <c r="BQ230" i="1"/>
  <c r="BR230" i="1" s="1"/>
  <c r="BQ177" i="1"/>
  <c r="BR177" i="1" s="1"/>
  <c r="BO177" i="1"/>
  <c r="BP177" i="1" s="1"/>
  <c r="CR177" i="1"/>
  <c r="CG177" i="1"/>
  <c r="CR189" i="1"/>
  <c r="CG189" i="1"/>
  <c r="BQ253" i="1"/>
  <c r="BR253" i="1" s="1"/>
  <c r="BO253" i="1"/>
  <c r="BP253" i="1" s="1"/>
  <c r="BO251" i="1"/>
  <c r="BQ251" i="1"/>
  <c r="BR251" i="1" s="1"/>
  <c r="BO209" i="1"/>
  <c r="BP209" i="1" s="1"/>
  <c r="BQ209" i="1"/>
  <c r="BR209" i="1" s="1"/>
  <c r="BQ191" i="1"/>
  <c r="BR191" i="1" s="1"/>
  <c r="BO191" i="1"/>
  <c r="BP191" i="1" s="1"/>
  <c r="CG191" i="1"/>
  <c r="CR191" i="1"/>
  <c r="CG218" i="1"/>
  <c r="CR218" i="1"/>
  <c r="CE167" i="1"/>
  <c r="BQ228" i="1"/>
  <c r="BR228" i="1" s="1"/>
  <c r="BO228" i="1"/>
  <c r="BP228" i="1" s="1"/>
  <c r="BQ240" i="1"/>
  <c r="BR240" i="1" s="1"/>
  <c r="BO240" i="1"/>
  <c r="CR275" i="1"/>
  <c r="CG275" i="1"/>
  <c r="BO180" i="1"/>
  <c r="BQ180" i="1"/>
  <c r="BR180" i="1" s="1"/>
  <c r="BO175" i="1"/>
  <c r="BQ175" i="1"/>
  <c r="BR175" i="1" s="1"/>
  <c r="BO227" i="1"/>
  <c r="BP227" i="1" s="1"/>
  <c r="BQ227" i="1"/>
  <c r="BR227" i="1" s="1"/>
  <c r="BO256" i="1"/>
  <c r="BP256" i="1" s="1"/>
  <c r="BQ256" i="1"/>
  <c r="BR256" i="1" s="1"/>
  <c r="CR219" i="1"/>
  <c r="CG219" i="1"/>
  <c r="BO178" i="1"/>
  <c r="BQ178" i="1"/>
  <c r="BR178" i="1" s="1"/>
  <c r="CG174" i="1"/>
  <c r="CR174" i="1"/>
  <c r="BQ174" i="1"/>
  <c r="BR174" i="1" s="1"/>
  <c r="BO174" i="1"/>
  <c r="BP174" i="1" s="1"/>
  <c r="BQ206" i="1"/>
  <c r="BR206" i="1" s="1"/>
  <c r="BO206" i="1"/>
  <c r="CG217" i="1"/>
  <c r="CR217" i="1"/>
  <c r="CR246" i="1"/>
  <c r="CG246" i="1"/>
  <c r="BQ223" i="1"/>
  <c r="BR223" i="1" s="1"/>
  <c r="BO223" i="1"/>
  <c r="CG185" i="1"/>
  <c r="CR185" i="1"/>
  <c r="BO236" i="1"/>
  <c r="BQ236" i="1"/>
  <c r="BR236" i="1" s="1"/>
  <c r="BQ182" i="1"/>
  <c r="BR182" i="1" s="1"/>
  <c r="BO182" i="1"/>
  <c r="BP182" i="1" s="1"/>
  <c r="CE200" i="1"/>
  <c r="BO231" i="1"/>
  <c r="BQ231" i="1"/>
  <c r="BR231" i="1" s="1"/>
  <c r="CG232" i="1"/>
  <c r="CR232" i="1"/>
  <c r="BO197" i="1"/>
  <c r="BQ197" i="1"/>
  <c r="BR197" i="1" s="1"/>
  <c r="CE340" i="1"/>
  <c r="CE279" i="1"/>
  <c r="CE295" i="1"/>
  <c r="CR243" i="1"/>
  <c r="CG243" i="1"/>
  <c r="BO207" i="1"/>
  <c r="BQ207" i="1"/>
  <c r="BR207" i="1" s="1"/>
  <c r="BO208" i="1"/>
  <c r="BP208" i="1" s="1"/>
  <c r="BQ208" i="1"/>
  <c r="BR208" i="1" s="1"/>
  <c r="BO173" i="1"/>
  <c r="BQ173" i="1"/>
  <c r="BR173" i="1" s="1"/>
  <c r="BO218" i="1"/>
  <c r="BP218" i="1" s="1"/>
  <c r="BQ218" i="1"/>
  <c r="BR218" i="1" s="1"/>
  <c r="CR241" i="1"/>
  <c r="CG241" i="1"/>
  <c r="BO261" i="1"/>
  <c r="BP261" i="1" s="1"/>
  <c r="BQ261" i="1"/>
  <c r="BR261" i="1" s="1"/>
  <c r="CR261" i="1"/>
  <c r="CG261" i="1"/>
  <c r="BO268" i="1"/>
  <c r="BQ268" i="1"/>
  <c r="BR268" i="1" s="1"/>
  <c r="BQ195" i="1"/>
  <c r="BR195" i="1" s="1"/>
  <c r="BO195" i="1"/>
  <c r="BO204" i="1"/>
  <c r="BQ204" i="1"/>
  <c r="BR204" i="1" s="1"/>
  <c r="CR209" i="1"/>
  <c r="CG209" i="1"/>
  <c r="CR228" i="1"/>
  <c r="CG228" i="1"/>
  <c r="BO234" i="1"/>
  <c r="BP234" i="1" s="1"/>
  <c r="BQ234" i="1"/>
  <c r="BR234" i="1" s="1"/>
  <c r="BQ210" i="1"/>
  <c r="BR210" i="1" s="1"/>
  <c r="BO210" i="1"/>
  <c r="CE247" i="1"/>
  <c r="BQ258" i="1"/>
  <c r="BR258" i="1" s="1"/>
  <c r="BO258" i="1"/>
  <c r="BP258" i="1" s="1"/>
  <c r="CR196" i="1"/>
  <c r="CG196" i="1"/>
  <c r="CR216" i="1"/>
  <c r="CG216" i="1"/>
  <c r="BO257" i="1"/>
  <c r="BQ257" i="1"/>
  <c r="BR257" i="1" s="1"/>
  <c r="BQ219" i="1"/>
  <c r="BR219" i="1" s="1"/>
  <c r="BO219" i="1"/>
  <c r="BP219" i="1" s="1"/>
  <c r="BO221" i="1"/>
  <c r="BQ221" i="1"/>
  <c r="BR221" i="1" s="1"/>
  <c r="BO238" i="1"/>
  <c r="BQ238" i="1"/>
  <c r="BR238" i="1" s="1"/>
  <c r="BO274" i="1"/>
  <c r="BP274" i="1" s="1"/>
  <c r="BQ274" i="1"/>
  <c r="BR274" i="1" s="1"/>
  <c r="BQ213" i="1"/>
  <c r="BR213" i="1" s="1"/>
  <c r="BO213" i="1"/>
  <c r="CG234" i="1"/>
  <c r="CR234" i="1"/>
  <c r="BQ247" i="1"/>
  <c r="BR247" i="1" s="1"/>
  <c r="BO247" i="1"/>
  <c r="CE244" i="1"/>
  <c r="BO273" i="1"/>
  <c r="BP273" i="1" s="1"/>
  <c r="BQ273" i="1"/>
  <c r="BR273" i="1" s="1"/>
  <c r="BQ239" i="1"/>
  <c r="BR239" i="1" s="1"/>
  <c r="BO239" i="1"/>
  <c r="BQ190" i="1"/>
  <c r="BR190" i="1" s="1"/>
  <c r="BO190" i="1"/>
  <c r="CE221" i="1"/>
  <c r="BQ259" i="1"/>
  <c r="BR259" i="1" s="1"/>
  <c r="BO259" i="1"/>
  <c r="CE186" i="1"/>
  <c r="BO201" i="1"/>
  <c r="BP201" i="1" s="1"/>
  <c r="BQ201" i="1"/>
  <c r="BR201" i="1" s="1"/>
  <c r="CE204" i="1"/>
  <c r="BQ229" i="1"/>
  <c r="BR229" i="1" s="1"/>
  <c r="BO229" i="1"/>
  <c r="CE333" i="1"/>
  <c r="CR211" i="1"/>
  <c r="CG211" i="1"/>
  <c r="BQ185" i="1"/>
  <c r="BR185" i="1" s="1"/>
  <c r="BO185" i="1"/>
  <c r="BP185" i="1" s="1"/>
  <c r="CG208" i="1"/>
  <c r="CR208" i="1"/>
  <c r="CE315" i="1"/>
  <c r="BQ200" i="1"/>
  <c r="BR200" i="1" s="1"/>
  <c r="BO200" i="1"/>
  <c r="BQ214" i="1"/>
  <c r="BR214" i="1" s="1"/>
  <c r="BO214" i="1"/>
  <c r="BQ252" i="1"/>
  <c r="BR252" i="1" s="1"/>
  <c r="BO252" i="1"/>
  <c r="BP252" i="1" s="1"/>
  <c r="BQ263" i="1"/>
  <c r="BR263" i="1" s="1"/>
  <c r="BO263" i="1"/>
  <c r="CE269" i="1"/>
  <c r="BQ172" i="1"/>
  <c r="BR172" i="1" s="1"/>
  <c r="BO172" i="1"/>
  <c r="BP172" i="1" s="1"/>
  <c r="CR264" i="1"/>
  <c r="CG264" i="1"/>
  <c r="BO260" i="1"/>
  <c r="BQ260" i="1"/>
  <c r="BR260" i="1" s="1"/>
  <c r="BO163" i="1"/>
  <c r="BQ163" i="1"/>
  <c r="BR163" i="1" s="1"/>
  <c r="BQ220" i="1"/>
  <c r="BR220" i="1" s="1"/>
  <c r="BO220" i="1"/>
  <c r="BP220" i="1" s="1"/>
  <c r="BQ215" i="1"/>
  <c r="BR215" i="1" s="1"/>
  <c r="BO215" i="1"/>
  <c r="CR184" i="1"/>
  <c r="CG184" i="1"/>
  <c r="CG222" i="1"/>
  <c r="CR222" i="1"/>
  <c r="CR235" i="1"/>
  <c r="CG235" i="1"/>
  <c r="BQ244" i="1"/>
  <c r="BR244" i="1" s="1"/>
  <c r="BO244" i="1"/>
  <c r="CR266" i="1"/>
  <c r="CG266" i="1"/>
  <c r="CG255" i="1"/>
  <c r="CR255" i="1"/>
  <c r="BO198" i="1"/>
  <c r="BP198" i="1" s="1"/>
  <c r="BQ198" i="1"/>
  <c r="BR198" i="1" s="1"/>
  <c r="BO246" i="1"/>
  <c r="BP246" i="1" s="1"/>
  <c r="BQ246" i="1"/>
  <c r="BR246" i="1" s="1"/>
  <c r="BQ176" i="1"/>
  <c r="BR176" i="1" s="1"/>
  <c r="BO176" i="1"/>
  <c r="BP176" i="1" s="1"/>
  <c r="BQ237" i="1"/>
  <c r="BR237" i="1" s="1"/>
  <c r="BO237" i="1"/>
  <c r="BQ187" i="1"/>
  <c r="BR187" i="1" s="1"/>
  <c r="BO187" i="1"/>
  <c r="BO211" i="1"/>
  <c r="BP211" i="1" s="1"/>
  <c r="BQ211" i="1"/>
  <c r="BR211" i="1" s="1"/>
  <c r="BO264" i="1"/>
  <c r="BP264" i="1" s="1"/>
  <c r="BQ264" i="1"/>
  <c r="BR264" i="1" s="1"/>
  <c r="BO166" i="1"/>
  <c r="BQ166" i="1"/>
  <c r="BR166" i="1" s="1"/>
  <c r="BO255" i="1"/>
  <c r="BP255" i="1" s="1"/>
  <c r="BQ255" i="1"/>
  <c r="BR255" i="1" s="1"/>
  <c r="CE356" i="1"/>
  <c r="CG182" i="1"/>
  <c r="CR182" i="1"/>
  <c r="BO224" i="1"/>
  <c r="BP224" i="1" s="1"/>
  <c r="BQ224" i="1"/>
  <c r="BR224" i="1" s="1"/>
  <c r="BQ269" i="1"/>
  <c r="BR269" i="1" s="1"/>
  <c r="BO269" i="1"/>
  <c r="CG224" i="1"/>
  <c r="CR224" i="1"/>
  <c r="BQ265" i="1"/>
  <c r="BR265" i="1" s="1"/>
  <c r="BO265" i="1"/>
  <c r="BP265" i="1" s="1"/>
  <c r="CE192" i="1"/>
  <c r="BQ262" i="1"/>
  <c r="BR262" i="1" s="1"/>
  <c r="BO262" i="1"/>
  <c r="BQ164" i="1"/>
  <c r="BR164" i="1" s="1"/>
  <c r="BO164" i="1"/>
  <c r="BQ194" i="1"/>
  <c r="BR194" i="1" s="1"/>
  <c r="BO194" i="1"/>
  <c r="BQ202" i="1"/>
  <c r="BR202" i="1" s="1"/>
  <c r="BO202" i="1"/>
  <c r="BQ226" i="1"/>
  <c r="BR226" i="1" s="1"/>
  <c r="BO226" i="1"/>
  <c r="BQ167" i="1"/>
  <c r="BR167" i="1" s="1"/>
  <c r="BO167" i="1"/>
  <c r="CG172" i="1"/>
  <c r="CR172" i="1"/>
  <c r="BO275" i="1"/>
  <c r="BP275" i="1" s="1"/>
  <c r="BQ275" i="1"/>
  <c r="BR275" i="1" s="1"/>
  <c r="BO267" i="1"/>
  <c r="BQ267" i="1"/>
  <c r="BR267" i="1" s="1"/>
  <c r="BO196" i="1"/>
  <c r="BP196" i="1" s="1"/>
  <c r="BQ196" i="1"/>
  <c r="BR196" i="1" s="1"/>
  <c r="BQ205" i="1"/>
  <c r="BR205" i="1" s="1"/>
  <c r="BO205" i="1"/>
  <c r="BQ216" i="1"/>
  <c r="BR216" i="1" s="1"/>
  <c r="BO216" i="1"/>
  <c r="BP216" i="1" s="1"/>
  <c r="BQ235" i="1"/>
  <c r="BR235" i="1" s="1"/>
  <c r="BO235" i="1"/>
  <c r="BP235" i="1" s="1"/>
  <c r="CG256" i="1"/>
  <c r="CR256" i="1"/>
  <c r="BQ266" i="1"/>
  <c r="BR266" i="1" s="1"/>
  <c r="BO266" i="1"/>
  <c r="BP266" i="1" s="1"/>
  <c r="BO168" i="1"/>
  <c r="BQ168" i="1"/>
  <c r="BR168" i="1" s="1"/>
  <c r="BO217" i="1"/>
  <c r="BP217" i="1" s="1"/>
  <c r="BQ217" i="1"/>
  <c r="BR217" i="1" s="1"/>
  <c r="BO170" i="1"/>
  <c r="BQ170" i="1"/>
  <c r="BR170" i="1" s="1"/>
  <c r="CG176" i="1"/>
  <c r="CR176" i="1"/>
  <c r="BQ186" i="1"/>
  <c r="BR186" i="1" s="1"/>
  <c r="BO186" i="1"/>
  <c r="CG253" i="1"/>
  <c r="CR253" i="1"/>
  <c r="BO193" i="1"/>
  <c r="BQ193" i="1"/>
  <c r="BR193" i="1" s="1"/>
  <c r="BQ248" i="1"/>
  <c r="BR248" i="1" s="1"/>
  <c r="BO248" i="1"/>
  <c r="CR250" i="1"/>
  <c r="CG250" i="1"/>
  <c r="BQ212" i="1"/>
  <c r="BR212" i="1" s="1"/>
  <c r="BO212" i="1"/>
  <c r="CE346" i="1"/>
  <c r="BO250" i="1"/>
  <c r="BP250" i="1" s="1"/>
  <c r="BQ250" i="1"/>
  <c r="BR250" i="1" s="1"/>
  <c r="CR270" i="1"/>
  <c r="CG270" i="1"/>
  <c r="BO270" i="1"/>
  <c r="BP270" i="1" s="1"/>
  <c r="BQ270" i="1"/>
  <c r="BR270" i="1" s="1"/>
  <c r="CE245" i="1"/>
  <c r="CR252" i="1"/>
  <c r="CG252" i="1"/>
  <c r="BO171" i="1"/>
  <c r="BQ171" i="1"/>
  <c r="BR171" i="1" s="1"/>
  <c r="BQ225" i="1"/>
  <c r="BR225" i="1" s="1"/>
  <c r="BO225" i="1"/>
  <c r="BQ232" i="1"/>
  <c r="BR232" i="1" s="1"/>
  <c r="BO232" i="1"/>
  <c r="BP232" i="1" s="1"/>
  <c r="BQ169" i="1"/>
  <c r="BR169" i="1" s="1"/>
  <c r="BO169" i="1"/>
  <c r="BO203" i="1"/>
  <c r="BQ203" i="1"/>
  <c r="BR203" i="1" s="1"/>
  <c r="CG233" i="1"/>
  <c r="CR233" i="1"/>
  <c r="BO233" i="1"/>
  <c r="BP233" i="1" s="1"/>
  <c r="BQ233" i="1"/>
  <c r="BR233" i="1" s="1"/>
  <c r="BQ241" i="1"/>
  <c r="BR241" i="1" s="1"/>
  <c r="BO241" i="1"/>
  <c r="BP241" i="1" s="1"/>
  <c r="BQ245" i="1"/>
  <c r="BR245" i="1" s="1"/>
  <c r="BO245" i="1"/>
  <c r="BQ179" i="1"/>
  <c r="BR179" i="1" s="1"/>
  <c r="BO179" i="1"/>
  <c r="CR227" i="1"/>
  <c r="CG227" i="1"/>
  <c r="BQ181" i="1"/>
  <c r="BR181" i="1" s="1"/>
  <c r="BO181" i="1"/>
  <c r="BO199" i="1"/>
  <c r="BQ199" i="1"/>
  <c r="BR199" i="1" s="1"/>
  <c r="CG273" i="1"/>
  <c r="CR273" i="1"/>
  <c r="CR198" i="1"/>
  <c r="CG198" i="1"/>
  <c r="BQ254" i="1"/>
  <c r="BR254" i="1" s="1"/>
  <c r="BO254" i="1"/>
  <c r="BO189" i="1"/>
  <c r="BP189" i="1" s="1"/>
  <c r="BQ189" i="1"/>
  <c r="BR189" i="1" s="1"/>
  <c r="BO278" i="1"/>
  <c r="BP278" i="1" s="1"/>
  <c r="BQ278" i="1"/>
  <c r="BR278" i="1" s="1"/>
  <c r="CG292" i="1"/>
  <c r="CR292" i="1"/>
  <c r="BQ315" i="1"/>
  <c r="BR315" i="1" s="1"/>
  <c r="BO315" i="1"/>
  <c r="BO321" i="1"/>
  <c r="BP321" i="1" s="1"/>
  <c r="BQ321" i="1"/>
  <c r="BR321" i="1" s="1"/>
  <c r="BO334" i="1"/>
  <c r="BP334" i="1" s="1"/>
  <c r="BQ334" i="1"/>
  <c r="BR334" i="1" s="1"/>
  <c r="BQ282" i="1"/>
  <c r="BR282" i="1" s="1"/>
  <c r="BO282" i="1"/>
  <c r="BQ331" i="1"/>
  <c r="BR331" i="1" s="1"/>
  <c r="BO331" i="1"/>
  <c r="BQ313" i="1"/>
  <c r="BR313" i="1" s="1"/>
  <c r="BO313" i="1"/>
  <c r="CE288" i="1"/>
  <c r="BO289" i="1"/>
  <c r="BQ289" i="1"/>
  <c r="BR289" i="1" s="1"/>
  <c r="BO291" i="1"/>
  <c r="BQ291" i="1"/>
  <c r="BR291" i="1" s="1"/>
  <c r="BQ298" i="1"/>
  <c r="BR298" i="1" s="1"/>
  <c r="BO298" i="1"/>
  <c r="BP298" i="1" s="1"/>
  <c r="BO303" i="1"/>
  <c r="BQ303" i="1"/>
  <c r="BR303" i="1" s="1"/>
  <c r="BQ314" i="1"/>
  <c r="BR314" i="1" s="1"/>
  <c r="BO314" i="1"/>
  <c r="CR322" i="1"/>
  <c r="CG322" i="1"/>
  <c r="BQ335" i="1"/>
  <c r="BR335" i="1" s="1"/>
  <c r="BO335" i="1"/>
  <c r="BO317" i="1"/>
  <c r="BP317" i="1" s="1"/>
  <c r="BQ317" i="1"/>
  <c r="BR317" i="1" s="1"/>
  <c r="CE302" i="1"/>
  <c r="CR310" i="1"/>
  <c r="CG310" i="1"/>
  <c r="BQ276" i="1"/>
  <c r="BR276" i="1" s="1"/>
  <c r="BO276" i="1"/>
  <c r="BQ307" i="1"/>
  <c r="BR307" i="1" s="1"/>
  <c r="BO307" i="1"/>
  <c r="BO277" i="1"/>
  <c r="BP277" i="1" s="1"/>
  <c r="BQ277" i="1"/>
  <c r="BR277" i="1" s="1"/>
  <c r="CE348" i="1"/>
  <c r="BQ299" i="1"/>
  <c r="BR299" i="1" s="1"/>
  <c r="BO299" i="1"/>
  <c r="BP299" i="1" s="1"/>
  <c r="BQ320" i="1"/>
  <c r="BR320" i="1" s="1"/>
  <c r="BO320" i="1"/>
  <c r="BO324" i="1"/>
  <c r="BQ324" i="1"/>
  <c r="BR324" i="1" s="1"/>
  <c r="BO290" i="1"/>
  <c r="BQ290" i="1"/>
  <c r="BR290" i="1" s="1"/>
  <c r="CR321" i="1"/>
  <c r="CG321" i="1"/>
  <c r="BQ287" i="1"/>
  <c r="BR287" i="1" s="1"/>
  <c r="BO287" i="1"/>
  <c r="BP287" i="1" s="1"/>
  <c r="BQ319" i="1"/>
  <c r="BR319" i="1" s="1"/>
  <c r="BO319" i="1"/>
  <c r="BQ311" i="1"/>
  <c r="BR311" i="1" s="1"/>
  <c r="BO311" i="1"/>
  <c r="BO284" i="1"/>
  <c r="BP284" i="1" s="1"/>
  <c r="BQ284" i="1"/>
  <c r="BR284" i="1" s="1"/>
  <c r="BO300" i="1"/>
  <c r="BP300" i="1" s="1"/>
  <c r="BQ300" i="1"/>
  <c r="BR300" i="1" s="1"/>
  <c r="CE301" i="1"/>
  <c r="BO316" i="1"/>
  <c r="BQ316" i="1"/>
  <c r="BR316" i="1" s="1"/>
  <c r="BO285" i="1"/>
  <c r="BQ285" i="1"/>
  <c r="BR285" i="1" s="1"/>
  <c r="BQ295" i="1"/>
  <c r="BR295" i="1" s="1"/>
  <c r="BO295" i="1"/>
  <c r="CG298" i="1"/>
  <c r="CR298" i="1"/>
  <c r="CE314" i="1"/>
  <c r="BQ327" i="1"/>
  <c r="BR327" i="1" s="1"/>
  <c r="BO327" i="1"/>
  <c r="BO286" i="1"/>
  <c r="BQ286" i="1"/>
  <c r="BR286" i="1" s="1"/>
  <c r="BO318" i="1"/>
  <c r="BQ318" i="1"/>
  <c r="BR318" i="1" s="1"/>
  <c r="CR299" i="1"/>
  <c r="CG299" i="1"/>
  <c r="BO332" i="1"/>
  <c r="BQ332" i="1"/>
  <c r="BR332" i="1" s="1"/>
  <c r="BQ292" i="1"/>
  <c r="BR292" i="1" s="1"/>
  <c r="BO292" i="1"/>
  <c r="BP292" i="1" s="1"/>
  <c r="BO308" i="1"/>
  <c r="BQ308" i="1"/>
  <c r="BR308" i="1" s="1"/>
  <c r="BO296" i="1"/>
  <c r="BQ296" i="1"/>
  <c r="BR296" i="1" s="1"/>
  <c r="BQ322" i="1"/>
  <c r="BR322" i="1" s="1"/>
  <c r="BO322" i="1"/>
  <c r="BP322" i="1" s="1"/>
  <c r="BQ297" i="1"/>
  <c r="BR297" i="1" s="1"/>
  <c r="BO297" i="1"/>
  <c r="CE312" i="1"/>
  <c r="BQ293" i="1"/>
  <c r="BR293" i="1" s="1"/>
  <c r="BO293" i="1"/>
  <c r="BO305" i="1"/>
  <c r="BQ305" i="1"/>
  <c r="BR305" i="1" s="1"/>
  <c r="BQ294" i="1"/>
  <c r="BR294" i="1" s="1"/>
  <c r="BO294" i="1"/>
  <c r="BO281" i="1"/>
  <c r="BQ281" i="1"/>
  <c r="BR281" i="1" s="1"/>
  <c r="CR300" i="1"/>
  <c r="CG300" i="1"/>
  <c r="BQ330" i="1"/>
  <c r="BR330" i="1" s="1"/>
  <c r="BO330" i="1"/>
  <c r="BP330" i="1" s="1"/>
  <c r="BQ337" i="1"/>
  <c r="BR337" i="1" s="1"/>
  <c r="BO337" i="1"/>
  <c r="BQ288" i="1"/>
  <c r="BR288" i="1" s="1"/>
  <c r="BQ306" i="1"/>
  <c r="BR306" i="1" s="1"/>
  <c r="BO306" i="1"/>
  <c r="BQ283" i="1"/>
  <c r="BR283" i="1" s="1"/>
  <c r="BO283" i="1"/>
  <c r="CE328" i="1"/>
  <c r="CR317" i="1"/>
  <c r="CG317" i="1"/>
  <c r="BO279" i="1"/>
  <c r="BQ279" i="1"/>
  <c r="BR279" i="1" s="1"/>
  <c r="BQ302" i="1"/>
  <c r="BR302" i="1" s="1"/>
  <c r="BO302" i="1"/>
  <c r="CR334" i="1"/>
  <c r="CG334" i="1"/>
  <c r="BQ310" i="1"/>
  <c r="BR310" i="1" s="1"/>
  <c r="BO310" i="1"/>
  <c r="BP310" i="1" s="1"/>
  <c r="CG287" i="1"/>
  <c r="CR287" i="1"/>
  <c r="CE329" i="1"/>
  <c r="CR277" i="1"/>
  <c r="CG277" i="1"/>
  <c r="CR304" i="1"/>
  <c r="CG304" i="1"/>
  <c r="BO288" i="1"/>
  <c r="CR278" i="1"/>
  <c r="CG278" i="1"/>
  <c r="BQ301" i="1"/>
  <c r="BR301" i="1" s="1"/>
  <c r="BO301" i="1"/>
  <c r="CH301" i="1" s="1"/>
  <c r="BQ325" i="1"/>
  <c r="BR325" i="1" s="1"/>
  <c r="BO325" i="1"/>
  <c r="BQ280" i="1"/>
  <c r="BR280" i="1" s="1"/>
  <c r="BO280" i="1"/>
  <c r="BO312" i="1"/>
  <c r="BQ312" i="1"/>
  <c r="BR312" i="1" s="1"/>
  <c r="BO304" i="1"/>
  <c r="BP304" i="1" s="1"/>
  <c r="BQ304" i="1"/>
  <c r="BR304" i="1" s="1"/>
  <c r="BQ309" i="1"/>
  <c r="BR309" i="1" s="1"/>
  <c r="BO309" i="1"/>
  <c r="BQ333" i="1"/>
  <c r="BR333" i="1" s="1"/>
  <c r="BO333" i="1"/>
  <c r="BQ328" i="1"/>
  <c r="BR328" i="1" s="1"/>
  <c r="BO328" i="1"/>
  <c r="BO336" i="1"/>
  <c r="BQ336" i="1"/>
  <c r="BR336" i="1" s="1"/>
  <c r="BQ323" i="1"/>
  <c r="BR323" i="1" s="1"/>
  <c r="BO323" i="1"/>
  <c r="BO329" i="1"/>
  <c r="BQ329" i="1"/>
  <c r="BR329" i="1" s="1"/>
  <c r="CR284" i="1"/>
  <c r="CG284" i="1"/>
  <c r="CR330" i="1"/>
  <c r="CG330" i="1"/>
  <c r="BO326" i="1"/>
  <c r="BQ326" i="1"/>
  <c r="BR326" i="1" s="1"/>
  <c r="CE360" i="1"/>
  <c r="CE359" i="1"/>
  <c r="CE349" i="1"/>
  <c r="CE347" i="1"/>
  <c r="CE338" i="1"/>
  <c r="CE350" i="1"/>
  <c r="BO339" i="1"/>
  <c r="BQ339" i="1"/>
  <c r="BR339" i="1" s="1"/>
  <c r="BO338" i="1"/>
  <c r="BQ338" i="1"/>
  <c r="BR338" i="1" s="1"/>
  <c r="CE352" i="1"/>
  <c r="BO342" i="1"/>
  <c r="BQ342" i="1"/>
  <c r="BR342" i="1" s="1"/>
  <c r="BO348" i="1"/>
  <c r="BQ348" i="1"/>
  <c r="BR348" i="1" s="1"/>
  <c r="BQ345" i="1"/>
  <c r="BR345" i="1" s="1"/>
  <c r="BO345" i="1"/>
  <c r="BQ341" i="1"/>
  <c r="BR341" i="1" s="1"/>
  <c r="BO341" i="1"/>
  <c r="BQ340" i="1"/>
  <c r="BR340" i="1" s="1"/>
  <c r="BO340" i="1"/>
  <c r="BO346" i="1"/>
  <c r="BQ346" i="1"/>
  <c r="BR346" i="1" s="1"/>
  <c r="BO347" i="1"/>
  <c r="BQ347" i="1"/>
  <c r="BR347" i="1" s="1"/>
  <c r="BO344" i="1"/>
  <c r="BQ344" i="1"/>
  <c r="BR344" i="1" s="1"/>
  <c r="BO343" i="1"/>
  <c r="BQ343" i="1"/>
  <c r="BR343" i="1" s="1"/>
  <c r="BO350" i="1"/>
  <c r="BQ350" i="1"/>
  <c r="BR350" i="1" s="1"/>
  <c r="BQ355" i="1"/>
  <c r="BR355" i="1" s="1"/>
  <c r="BO355" i="1"/>
  <c r="BQ352" i="1"/>
  <c r="BR352" i="1" s="1"/>
  <c r="BO352" i="1"/>
  <c r="BO351" i="1"/>
  <c r="BQ351" i="1"/>
  <c r="BR351" i="1" s="1"/>
  <c r="BQ356" i="1"/>
  <c r="BR356" i="1" s="1"/>
  <c r="BO356" i="1"/>
  <c r="BO353" i="1"/>
  <c r="BQ353" i="1"/>
  <c r="BR353" i="1" s="1"/>
  <c r="BO354" i="1"/>
  <c r="BQ354" i="1"/>
  <c r="BR354" i="1" s="1"/>
  <c r="BQ358" i="1"/>
  <c r="BR358" i="1" s="1"/>
  <c r="BO358" i="1"/>
  <c r="BQ360" i="1"/>
  <c r="BR360" i="1" s="1"/>
  <c r="BO360" i="1"/>
  <c r="BO359" i="1"/>
  <c r="BQ359" i="1"/>
  <c r="BR359" i="1" s="1"/>
  <c r="BQ357" i="1"/>
  <c r="BR357" i="1" s="1"/>
  <c r="BO357" i="1"/>
  <c r="BO349" i="1"/>
  <c r="BQ349" i="1"/>
  <c r="BR349"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4" i="1" l="1"/>
  <c r="BP74" i="1"/>
  <c r="BP34" i="1"/>
  <c r="CH34" i="1"/>
  <c r="BP64" i="1"/>
  <c r="CH64" i="1"/>
  <c r="CH46" i="1"/>
  <c r="BP46" i="1"/>
  <c r="CH60" i="1"/>
  <c r="BP60" i="1"/>
  <c r="CH154" i="1"/>
  <c r="BP154" i="1"/>
  <c r="CH152" i="1"/>
  <c r="BP152" i="1"/>
  <c r="BP143" i="1"/>
  <c r="CH143" i="1"/>
  <c r="BP103" i="1"/>
  <c r="CH103" i="1"/>
  <c r="BP148" i="1"/>
  <c r="CH148" i="1"/>
  <c r="CH85" i="1"/>
  <c r="BP85" i="1"/>
  <c r="BP93" i="1"/>
  <c r="CH93" i="1"/>
  <c r="CH42" i="1"/>
  <c r="BP42" i="1"/>
  <c r="BP127" i="1"/>
  <c r="CH127" i="1"/>
  <c r="BP114" i="1"/>
  <c r="CH114" i="1"/>
  <c r="CH108" i="1"/>
  <c r="BP108" i="1"/>
  <c r="BP162" i="1"/>
  <c r="CH162" i="1"/>
  <c r="BP150" i="1"/>
  <c r="CH150" i="1"/>
  <c r="BP110" i="1"/>
  <c r="CH110" i="1"/>
  <c r="BP43" i="1"/>
  <c r="CH43" i="1"/>
  <c r="CH140" i="1"/>
  <c r="BP140" i="1"/>
  <c r="BP39" i="1"/>
  <c r="CH39" i="1"/>
  <c r="CH66" i="1"/>
  <c r="BP66" i="1"/>
  <c r="BP77" i="1"/>
  <c r="CH77" i="1"/>
  <c r="BP137" i="1"/>
  <c r="CH137" i="1"/>
  <c r="BP156" i="1"/>
  <c r="CH156" i="1"/>
  <c r="CH59" i="1"/>
  <c r="BP59" i="1"/>
  <c r="CH57" i="1"/>
  <c r="BP57" i="1"/>
  <c r="CH67" i="1"/>
  <c r="BP67" i="1"/>
  <c r="CH106" i="1"/>
  <c r="BP106" i="1"/>
  <c r="BP318" i="1"/>
  <c r="CH318" i="1"/>
  <c r="BP210" i="1"/>
  <c r="CH210" i="1"/>
  <c r="BP323" i="1"/>
  <c r="CH323" i="1"/>
  <c r="BP309" i="1"/>
  <c r="CH309" i="1"/>
  <c r="BP303" i="1"/>
  <c r="CH303" i="1"/>
  <c r="BP257" i="1"/>
  <c r="CH257" i="1"/>
  <c r="BP294" i="1"/>
  <c r="CH294" i="1"/>
  <c r="BP332" i="1"/>
  <c r="CH332" i="1"/>
  <c r="BP237" i="1"/>
  <c r="CH237" i="1"/>
  <c r="BP358" i="1"/>
  <c r="CH358" i="1"/>
  <c r="BP286" i="1"/>
  <c r="CH286" i="1"/>
  <c r="BP214" i="1"/>
  <c r="CH214" i="1"/>
  <c r="BP272" i="1"/>
  <c r="CH272" i="1"/>
  <c r="BP164" i="1"/>
  <c r="CH164" i="1"/>
  <c r="BP319" i="1"/>
  <c r="CH319" i="1"/>
  <c r="BP307" i="1"/>
  <c r="CH307" i="1"/>
  <c r="BP195" i="1"/>
  <c r="CH195" i="1"/>
  <c r="BP168" i="1"/>
  <c r="CH168" i="1"/>
  <c r="BP248" i="1"/>
  <c r="CH248" i="1"/>
  <c r="BP260" i="1"/>
  <c r="CH260" i="1"/>
  <c r="BP178" i="1"/>
  <c r="CH178" i="1"/>
  <c r="BP325" i="1"/>
  <c r="CH325" i="1"/>
  <c r="BP311" i="1"/>
  <c r="CH311" i="1"/>
  <c r="BP212" i="1"/>
  <c r="CH212" i="1"/>
  <c r="BP305" i="1"/>
  <c r="CH305" i="1"/>
  <c r="BP296" i="1"/>
  <c r="CH296" i="1"/>
  <c r="BP344" i="1"/>
  <c r="CH344" i="1"/>
  <c r="BP357" i="1"/>
  <c r="CH357" i="1"/>
  <c r="BP259" i="1"/>
  <c r="CH259" i="1"/>
  <c r="BP290" i="1"/>
  <c r="CH290" i="1"/>
  <c r="BP327" i="1"/>
  <c r="CH327" i="1"/>
  <c r="BP320" i="1"/>
  <c r="CH320" i="1"/>
  <c r="BP268" i="1"/>
  <c r="CH268" i="1"/>
  <c r="BP213" i="1"/>
  <c r="CH213" i="1"/>
  <c r="BP203" i="1"/>
  <c r="CH203" i="1"/>
  <c r="BP339" i="1"/>
  <c r="CH339" i="1"/>
  <c r="BP190" i="1"/>
  <c r="CH190" i="1"/>
  <c r="BP215" i="1"/>
  <c r="CH215" i="1"/>
  <c r="BP313" i="1"/>
  <c r="CH313" i="1"/>
  <c r="BP289" i="1"/>
  <c r="CH289" i="1"/>
  <c r="BP205" i="1"/>
  <c r="CH205" i="1"/>
  <c r="BP242" i="1"/>
  <c r="CH242" i="1"/>
  <c r="BP179" i="1"/>
  <c r="CH179" i="1"/>
  <c r="BP170" i="1"/>
  <c r="CH170" i="1"/>
  <c r="BP187" i="1"/>
  <c r="CH187" i="1"/>
  <c r="BP282" i="1"/>
  <c r="CH282" i="1"/>
  <c r="BP226" i="1"/>
  <c r="CH226" i="1"/>
  <c r="BP324" i="1"/>
  <c r="CH324" i="1"/>
  <c r="BP199" i="1"/>
  <c r="CH199" i="1"/>
  <c r="BP193" i="1"/>
  <c r="CH193" i="1"/>
  <c r="BP239" i="1"/>
  <c r="CH239" i="1"/>
  <c r="BP280" i="1"/>
  <c r="CH280" i="1"/>
  <c r="BP231" i="1"/>
  <c r="CH231" i="1"/>
  <c r="BP351" i="1"/>
  <c r="CH351" i="1"/>
  <c r="BP306" i="1"/>
  <c r="CH306" i="1"/>
  <c r="BP236" i="1"/>
  <c r="CH236" i="1"/>
  <c r="BP254" i="1"/>
  <c r="CH254" i="1"/>
  <c r="BP166" i="1"/>
  <c r="CH166" i="1"/>
  <c r="BP276" i="1"/>
  <c r="CH276" i="1"/>
  <c r="BP335" i="1"/>
  <c r="CH335" i="1"/>
  <c r="BP263" i="1"/>
  <c r="CH263" i="1"/>
  <c r="BP183" i="1"/>
  <c r="CH183" i="1"/>
  <c r="BP163" i="1"/>
  <c r="CH163" i="1"/>
  <c r="BP308" i="1"/>
  <c r="CH308" i="1"/>
  <c r="BP197" i="1"/>
  <c r="CH197" i="1"/>
  <c r="BP223" i="1"/>
  <c r="CH223" i="1"/>
  <c r="BP271" i="1"/>
  <c r="CH271" i="1"/>
  <c r="BP165" i="1"/>
  <c r="CH165" i="1"/>
  <c r="BP249" i="1"/>
  <c r="CH249" i="1"/>
  <c r="BP194" i="1"/>
  <c r="CH194" i="1"/>
  <c r="BP345" i="1"/>
  <c r="CH345" i="1"/>
  <c r="BP283" i="1"/>
  <c r="CH283" i="1"/>
  <c r="BP225" i="1"/>
  <c r="CH225" i="1"/>
  <c r="BP267" i="1"/>
  <c r="CH267" i="1"/>
  <c r="BP238" i="1"/>
  <c r="CH238" i="1"/>
  <c r="BP188" i="1"/>
  <c r="CH188" i="1"/>
  <c r="BP353" i="1"/>
  <c r="CH353" i="1"/>
  <c r="BP343" i="1"/>
  <c r="CH343" i="1"/>
  <c r="BP293" i="1"/>
  <c r="CH293" i="1"/>
  <c r="BP240" i="1"/>
  <c r="CH240" i="1"/>
  <c r="BP326" i="1"/>
  <c r="CH326" i="1"/>
  <c r="BP285" i="1"/>
  <c r="CH285" i="1"/>
  <c r="BP262" i="1"/>
  <c r="CH262" i="1"/>
  <c r="BP229" i="1"/>
  <c r="CH229" i="1"/>
  <c r="BP291" i="1"/>
  <c r="CH291" i="1"/>
  <c r="BP331" i="1"/>
  <c r="CH331" i="1"/>
  <c r="BP181" i="1"/>
  <c r="CH181" i="1"/>
  <c r="BP171" i="1"/>
  <c r="CH171" i="1"/>
  <c r="BP173" i="1"/>
  <c r="CH173" i="1"/>
  <c r="BP207" i="1"/>
  <c r="CH207" i="1"/>
  <c r="BP206" i="1"/>
  <c r="CH206" i="1"/>
  <c r="BP251" i="1"/>
  <c r="CH251" i="1"/>
  <c r="BP281" i="1"/>
  <c r="CH281" i="1"/>
  <c r="BP336" i="1"/>
  <c r="CH336" i="1"/>
  <c r="BP316" i="1"/>
  <c r="CH316" i="1"/>
  <c r="BP202" i="1"/>
  <c r="CH202" i="1"/>
  <c r="BP230" i="1"/>
  <c r="CH230" i="1"/>
  <c r="BP192" i="1"/>
  <c r="CH192" i="1"/>
  <c r="BP221" i="1"/>
  <c r="CH221" i="1"/>
  <c r="CH175" i="1"/>
  <c r="BP175" i="1"/>
  <c r="BP245" i="1"/>
  <c r="CH245" i="1"/>
  <c r="BP180" i="1"/>
  <c r="CH180" i="1"/>
  <c r="BP269" i="1"/>
  <c r="CH269" i="1"/>
  <c r="CH200" i="1"/>
  <c r="BP200" i="1"/>
  <c r="BP186" i="1"/>
  <c r="CH186" i="1"/>
  <c r="BP167" i="1"/>
  <c r="CH167" i="1"/>
  <c r="CH247" i="1"/>
  <c r="BP247" i="1"/>
  <c r="CH204" i="1"/>
  <c r="BP204" i="1"/>
  <c r="BP169" i="1"/>
  <c r="CH169" i="1"/>
  <c r="CH244" i="1"/>
  <c r="BP244" i="1"/>
  <c r="BP297" i="1"/>
  <c r="CH297" i="1"/>
  <c r="BP295" i="1"/>
  <c r="CH295" i="1"/>
  <c r="BP279" i="1"/>
  <c r="CH279" i="1"/>
  <c r="BP333" i="1"/>
  <c r="CH333" i="1"/>
  <c r="BP346" i="1"/>
  <c r="CH346" i="1"/>
  <c r="BP315" i="1"/>
  <c r="CH315" i="1"/>
  <c r="BP340" i="1"/>
  <c r="CH340" i="1"/>
  <c r="BP355" i="1"/>
  <c r="CH355" i="1"/>
  <c r="CH329" i="1"/>
  <c r="BP329" i="1"/>
  <c r="CH302" i="1"/>
  <c r="BP302" i="1"/>
  <c r="CH312" i="1"/>
  <c r="BP312" i="1"/>
  <c r="CH337" i="1"/>
  <c r="BP337" i="1"/>
  <c r="BP314" i="1"/>
  <c r="CH314" i="1"/>
  <c r="BP301" i="1"/>
  <c r="CH288" i="1"/>
  <c r="BP288" i="1"/>
  <c r="CH328" i="1"/>
  <c r="BP328" i="1"/>
  <c r="BP348" i="1"/>
  <c r="CH348" i="1"/>
  <c r="BP354" i="1"/>
  <c r="CH354" i="1"/>
  <c r="BP341" i="1"/>
  <c r="CH341" i="1"/>
  <c r="BP342" i="1"/>
  <c r="CH342" i="1"/>
  <c r="BP360" i="1"/>
  <c r="CH360" i="1"/>
  <c r="BP338" i="1"/>
  <c r="CH338" i="1"/>
  <c r="BP359" i="1"/>
  <c r="CH359" i="1"/>
  <c r="BP349" i="1"/>
  <c r="CH349" i="1"/>
  <c r="BP347" i="1"/>
  <c r="CH347" i="1"/>
  <c r="BP350" i="1"/>
  <c r="CH350" i="1"/>
  <c r="CH352" i="1"/>
  <c r="BP352" i="1"/>
  <c r="CH356" i="1"/>
  <c r="BP356"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4" i="1" l="1"/>
  <c r="CG257" i="1"/>
  <c r="CG303" i="1"/>
  <c r="CG309" i="1"/>
  <c r="CG323" i="1"/>
  <c r="CG210" i="1"/>
  <c r="CG110" i="1"/>
  <c r="CG137" i="1"/>
  <c r="CG148" i="1"/>
  <c r="CG125" i="1"/>
  <c r="CG34" i="1"/>
  <c r="CG114" i="1"/>
  <c r="CG156" i="1"/>
  <c r="CG162" i="1"/>
  <c r="CG127" i="1"/>
  <c r="CG43" i="1"/>
  <c r="CG64" i="1"/>
  <c r="CG143" i="1"/>
  <c r="CG66" i="1"/>
  <c r="CG103" i="1"/>
  <c r="CG93" i="1"/>
  <c r="CG85" i="1"/>
  <c r="CG39" i="1"/>
  <c r="CG77" i="1"/>
  <c r="CG318" i="1"/>
  <c r="CG164" i="1"/>
  <c r="CG272" i="1"/>
  <c r="CG260" i="1"/>
  <c r="CG214" i="1"/>
  <c r="CG319" i="1"/>
  <c r="CG248" i="1"/>
  <c r="CG286" i="1"/>
  <c r="CG168" i="1"/>
  <c r="CG358" i="1"/>
  <c r="CG195" i="1"/>
  <c r="CG237" i="1"/>
  <c r="CG59" i="1"/>
  <c r="CG129" i="1"/>
  <c r="CG108" i="1"/>
  <c r="CG60" i="1"/>
  <c r="CG141" i="1"/>
  <c r="CG42" i="1"/>
  <c r="CG152" i="1"/>
  <c r="CG74" i="1"/>
  <c r="CG46" i="1"/>
  <c r="CG75" i="1"/>
  <c r="CG154" i="1"/>
  <c r="CG147" i="1"/>
  <c r="CG116" i="1"/>
  <c r="CG132" i="1"/>
  <c r="CG89" i="1"/>
  <c r="CG68" i="1"/>
  <c r="CG158" i="1"/>
  <c r="CG82" i="1"/>
  <c r="CG100" i="1"/>
  <c r="CG150" i="1"/>
  <c r="CG112" i="1"/>
  <c r="CG307" i="1"/>
  <c r="CG332" i="1"/>
  <c r="CG357" i="1"/>
  <c r="CG146" i="1"/>
  <c r="CG151" i="1"/>
  <c r="CG117" i="1"/>
  <c r="CG128" i="1"/>
  <c r="CG69" i="1"/>
  <c r="CG57" i="1"/>
  <c r="CG88" i="1"/>
  <c r="CG76" i="1"/>
  <c r="CG96" i="1"/>
  <c r="CG130" i="1"/>
  <c r="CG41" i="1"/>
  <c r="CG153" i="1"/>
  <c r="CG67" i="1"/>
  <c r="CG155" i="1"/>
  <c r="CG140" i="1"/>
  <c r="CG106" i="1"/>
  <c r="CG62" i="1"/>
  <c r="CG113" i="1"/>
  <c r="CG80" i="1"/>
  <c r="CG159" i="1"/>
  <c r="CG45" i="1"/>
  <c r="CG296" i="1"/>
  <c r="CG305" i="1"/>
  <c r="CG320" i="1"/>
  <c r="CG212" i="1"/>
  <c r="CG327" i="1"/>
  <c r="CG311" i="1"/>
  <c r="CG290" i="1"/>
  <c r="CG325" i="1"/>
  <c r="CG344" i="1"/>
  <c r="CG259" i="1"/>
  <c r="CG178" i="1"/>
  <c r="CG339" i="1"/>
  <c r="CG203" i="1"/>
  <c r="CG213" i="1"/>
  <c r="CG289" i="1"/>
  <c r="CG268" i="1"/>
  <c r="CG190" i="1"/>
  <c r="CG313" i="1"/>
  <c r="CG215" i="1"/>
  <c r="CG183" i="1"/>
  <c r="CG236" i="1"/>
  <c r="CG239" i="1"/>
  <c r="CG187" i="1"/>
  <c r="CG254" i="1"/>
  <c r="CG193" i="1"/>
  <c r="CG263" i="1"/>
  <c r="CG306" i="1"/>
  <c r="CG170" i="1"/>
  <c r="CG280" i="1"/>
  <c r="CG335" i="1"/>
  <c r="CG199" i="1"/>
  <c r="CG179" i="1"/>
  <c r="CG276" i="1"/>
  <c r="CG351" i="1"/>
  <c r="CG324" i="1"/>
  <c r="CG242" i="1"/>
  <c r="CG282" i="1"/>
  <c r="CG166" i="1"/>
  <c r="CG231" i="1"/>
  <c r="CG226" i="1"/>
  <c r="CG205" i="1"/>
  <c r="CG251" i="1"/>
  <c r="CG181" i="1"/>
  <c r="CG240" i="1"/>
  <c r="CG249" i="1"/>
  <c r="CG229" i="1"/>
  <c r="CG225" i="1"/>
  <c r="CG316" i="1"/>
  <c r="CG206" i="1"/>
  <c r="CG331" i="1"/>
  <c r="CG262" i="1"/>
  <c r="CG188" i="1"/>
  <c r="CG283" i="1"/>
  <c r="CG165" i="1"/>
  <c r="CG223" i="1"/>
  <c r="CG308" i="1"/>
  <c r="CG353" i="1"/>
  <c r="CG230" i="1"/>
  <c r="CG202" i="1"/>
  <c r="CG336" i="1"/>
  <c r="CG207" i="1"/>
  <c r="CG291" i="1"/>
  <c r="CG285" i="1"/>
  <c r="CG293" i="1"/>
  <c r="CG238" i="1"/>
  <c r="CG345" i="1"/>
  <c r="CG197" i="1"/>
  <c r="CG163" i="1"/>
  <c r="CG281" i="1"/>
  <c r="CG173" i="1"/>
  <c r="CG171" i="1"/>
  <c r="CG326" i="1"/>
  <c r="CG343" i="1"/>
  <c r="CG267" i="1"/>
  <c r="CG194" i="1"/>
  <c r="CG271" i="1"/>
  <c r="CG355" i="1"/>
  <c r="CG333" i="1"/>
  <c r="CG340" i="1"/>
  <c r="CG180" i="1"/>
  <c r="CG244" i="1"/>
  <c r="CG279" i="1"/>
  <c r="CG169" i="1"/>
  <c r="CG269" i="1"/>
  <c r="CG247" i="1"/>
  <c r="CG186" i="1"/>
  <c r="CG167" i="1"/>
  <c r="CG192" i="1"/>
  <c r="CG221" i="1"/>
  <c r="CG245" i="1"/>
  <c r="CG204" i="1"/>
  <c r="CG175" i="1"/>
  <c r="CG200" i="1"/>
  <c r="CG315" i="1"/>
  <c r="CG295" i="1"/>
  <c r="CG346" i="1"/>
  <c r="CG297" i="1"/>
  <c r="CG337" i="1"/>
  <c r="CG288" i="1"/>
  <c r="CG312" i="1"/>
  <c r="CG302" i="1"/>
  <c r="CG314" i="1"/>
  <c r="CG301" i="1"/>
  <c r="CG329" i="1"/>
  <c r="CG348" i="1"/>
  <c r="CG328" i="1"/>
  <c r="CG341" i="1"/>
  <c r="CG342" i="1"/>
  <c r="CG354" i="1"/>
  <c r="CG349" i="1"/>
  <c r="CG338" i="1"/>
  <c r="CG360" i="1"/>
  <c r="CG347" i="1"/>
  <c r="CG359" i="1"/>
  <c r="CG350" i="1"/>
  <c r="CG352" i="1"/>
  <c r="CG356"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CW197" i="1" s="1"/>
  <c r="CR197" i="1" s="1"/>
  <c r="Z8" i="31"/>
  <c r="Z6" i="31"/>
  <c r="Z7" i="31"/>
  <c r="Z5" i="31"/>
  <c r="AA7" i="31"/>
  <c r="CW283" i="1" l="1"/>
  <c r="CR283" i="1" s="1"/>
  <c r="CW287" i="1"/>
  <c r="CW263" i="1"/>
  <c r="CR263" i="1" s="1"/>
  <c r="CW193" i="1"/>
  <c r="CR193" i="1" s="1"/>
  <c r="CW323" i="1"/>
  <c r="CR323" i="1" s="1"/>
  <c r="CW114" i="1"/>
  <c r="CR114" i="1" s="1"/>
  <c r="CW200" i="1"/>
  <c r="CR200" i="1" s="1"/>
  <c r="CW86" i="1"/>
  <c r="CW338" i="1"/>
  <c r="CR338" i="1" s="1"/>
  <c r="CW282" i="1"/>
  <c r="CR282" i="1" s="1"/>
  <c r="CW161" i="1"/>
  <c r="CW45" i="1"/>
  <c r="CR45" i="1" s="1"/>
  <c r="CW247" i="1"/>
  <c r="CR247" i="1" s="1"/>
  <c r="CW205" i="1"/>
  <c r="CR205" i="1" s="1"/>
  <c r="CW333" i="1"/>
  <c r="CR333" i="1" s="1"/>
  <c r="CW78" i="1"/>
  <c r="CW53" i="1"/>
  <c r="CW233" i="1"/>
  <c r="CW252" i="1"/>
  <c r="CW284" i="1"/>
  <c r="CW142" i="1"/>
  <c r="CW175" i="1"/>
  <c r="CR175" i="1" s="1"/>
  <c r="CW79" i="1"/>
  <c r="CW356" i="1"/>
  <c r="CR356" i="1" s="1"/>
  <c r="CW297" i="1"/>
  <c r="CR297" i="1" s="1"/>
  <c r="CW326" i="1"/>
  <c r="CR326" i="1" s="1"/>
  <c r="CW350" i="1"/>
  <c r="CR350" i="1" s="1"/>
  <c r="CW238" i="1"/>
  <c r="CR238" i="1" s="1"/>
  <c r="CW71" i="1"/>
  <c r="CW354" i="1"/>
  <c r="CR354" i="1" s="1"/>
  <c r="CW47" i="1"/>
  <c r="CW352" i="1"/>
  <c r="CR352" i="1" s="1"/>
  <c r="CW292" i="1"/>
  <c r="CW42" i="1"/>
  <c r="CR42" i="1" s="1"/>
  <c r="CW266" i="1"/>
  <c r="CW280" i="1"/>
  <c r="CR280" i="1" s="1"/>
  <c r="CW194" i="1"/>
  <c r="CR194" i="1" s="1"/>
  <c r="CW302" i="1"/>
  <c r="CR302" i="1" s="1"/>
  <c r="CW121" i="1"/>
  <c r="CW314" i="1"/>
  <c r="CR314" i="1" s="1"/>
  <c r="CW14" i="1"/>
  <c r="CW12" i="1"/>
  <c r="CW15" i="1"/>
  <c r="CW13" i="1"/>
  <c r="CW11" i="1"/>
  <c r="CW10" i="1"/>
  <c r="CW251" i="1"/>
  <c r="CR251" i="1" s="1"/>
  <c r="CW319" i="1"/>
  <c r="CR319" i="1" s="1"/>
  <c r="CW60" i="1"/>
  <c r="CR60" i="1" s="1"/>
  <c r="CW99" i="1"/>
  <c r="CW271" i="1"/>
  <c r="CR271" i="1" s="1"/>
  <c r="CW163" i="1"/>
  <c r="CR163" i="1" s="1"/>
  <c r="CW8" i="1"/>
  <c r="CW138" i="1"/>
  <c r="CW216" i="1"/>
  <c r="CW296" i="1"/>
  <c r="CR296" i="1" s="1"/>
  <c r="CW264" i="1"/>
  <c r="CW191" i="1"/>
  <c r="CW239" i="1"/>
  <c r="CR239" i="1" s="1"/>
  <c r="CW295" i="1"/>
  <c r="CR295" i="1" s="1"/>
  <c r="CW248" i="1"/>
  <c r="CR248" i="1" s="1"/>
  <c r="CW268" i="1"/>
  <c r="CR268" i="1" s="1"/>
  <c r="CW123" i="1"/>
  <c r="CW201" i="1"/>
  <c r="CW230" i="1"/>
  <c r="CR230" i="1" s="1"/>
  <c r="CW207" i="1"/>
  <c r="CR207" i="1" s="1"/>
  <c r="CW32" i="1"/>
  <c r="CW299" i="1"/>
  <c r="CW111" i="1"/>
  <c r="CW196" i="1"/>
  <c r="CW107" i="1"/>
  <c r="CW265" i="1"/>
  <c r="CW227" i="1"/>
  <c r="CW293" i="1"/>
  <c r="CR293" i="1" s="1"/>
  <c r="CW154" i="1"/>
  <c r="CR154" i="1" s="1"/>
  <c r="CW92" i="1"/>
  <c r="CW82" i="1"/>
  <c r="CR82" i="1" s="1"/>
  <c r="CW344" i="1"/>
  <c r="CR344" i="1" s="1"/>
  <c r="CW125" i="1"/>
  <c r="CR125" i="1" s="1"/>
  <c r="CW348" i="1"/>
  <c r="CR348" i="1" s="1"/>
  <c r="CW304" i="1"/>
  <c r="CW341" i="1"/>
  <c r="CR341" i="1" s="1"/>
  <c r="CW101" i="1"/>
  <c r="CW359" i="1"/>
  <c r="CR359" i="1" s="1"/>
  <c r="CW56" i="1"/>
  <c r="CW66" i="1"/>
  <c r="CR66" i="1" s="1"/>
  <c r="CW31" i="1"/>
  <c r="CW129" i="1"/>
  <c r="CR129" i="1" s="1"/>
  <c r="CW253" i="1"/>
  <c r="CW189" i="1"/>
  <c r="CW178" i="1"/>
  <c r="CR178" i="1" s="1"/>
  <c r="CW212" i="1"/>
  <c r="CR212" i="1" s="1"/>
  <c r="CW315" i="1"/>
  <c r="CR315" i="1" s="1"/>
  <c r="CW153" i="1"/>
  <c r="CR153" i="1" s="1"/>
  <c r="CW218" i="1"/>
  <c r="CW67" i="1"/>
  <c r="CR67" i="1" s="1"/>
  <c r="CW124" i="1"/>
  <c r="CW37" i="1"/>
  <c r="CW277" i="1"/>
  <c r="CW349" i="1"/>
  <c r="CR349" i="1" s="1"/>
  <c r="CW246" i="1"/>
  <c r="CW285" i="1"/>
  <c r="CR285" i="1" s="1"/>
  <c r="CW289" i="1"/>
  <c r="CR289" i="1" s="1"/>
  <c r="CW269" i="1"/>
  <c r="CR269" i="1" s="1"/>
  <c r="CW275" i="1"/>
  <c r="CW237" i="1"/>
  <c r="CR237" i="1" s="1"/>
  <c r="CW312" i="1"/>
  <c r="CR312" i="1" s="1"/>
  <c r="CW34" i="1"/>
  <c r="CR34" i="1" s="1"/>
  <c r="CW346" i="1"/>
  <c r="CR346" i="1" s="1"/>
  <c r="CW41" i="1"/>
  <c r="CR41" i="1" s="1"/>
  <c r="CW55" i="1"/>
  <c r="CW208" i="1"/>
  <c r="CW184" i="1"/>
  <c r="CW219" i="1"/>
  <c r="CW112" i="1"/>
  <c r="CR112" i="1" s="1"/>
  <c r="CW93" i="1"/>
  <c r="CR93" i="1" s="1"/>
  <c r="CW340" i="1"/>
  <c r="CR340" i="1" s="1"/>
  <c r="CW210" i="1"/>
  <c r="CR210" i="1" s="1"/>
  <c r="CW244" i="1"/>
  <c r="CR244" i="1" s="1"/>
  <c r="CW311" i="1"/>
  <c r="CR311" i="1" s="1"/>
  <c r="CW176" i="1"/>
  <c r="CW243" i="1"/>
  <c r="CW61" i="1"/>
  <c r="CW113" i="1"/>
  <c r="CR113" i="1" s="1"/>
  <c r="CW179" i="1"/>
  <c r="CR179" i="1" s="1"/>
  <c r="CW9" i="1"/>
  <c r="CW353" i="1"/>
  <c r="CR353" i="1" s="1"/>
  <c r="CW88" i="1"/>
  <c r="CR88" i="1" s="1"/>
  <c r="CW213" i="1"/>
  <c r="CR213" i="1" s="1"/>
  <c r="CW143" i="1"/>
  <c r="CR143" i="1" s="1"/>
  <c r="CW231" i="1"/>
  <c r="CR231" i="1" s="1"/>
  <c r="CW36" i="1"/>
  <c r="CW95" i="1"/>
  <c r="CW158" i="1"/>
  <c r="CR158" i="1" s="1"/>
  <c r="CW325" i="1"/>
  <c r="CR325" i="1" s="1"/>
  <c r="CW135" i="1"/>
  <c r="CW342" i="1"/>
  <c r="CR342" i="1" s="1"/>
  <c r="CW204" i="1"/>
  <c r="CR204" i="1" s="1"/>
  <c r="CW270" i="1"/>
  <c r="CW173" i="1"/>
  <c r="CR173" i="1" s="1"/>
  <c r="CW144" i="1"/>
  <c r="CW174" i="1"/>
  <c r="CW75" i="1"/>
  <c r="CR75" i="1" s="1"/>
  <c r="CW145" i="1"/>
  <c r="CW76" i="1"/>
  <c r="CR76" i="1" s="1"/>
  <c r="CW232" i="1"/>
  <c r="CW40" i="1"/>
  <c r="CW272" i="1"/>
  <c r="CR272" i="1" s="1"/>
  <c r="CW81" i="1"/>
  <c r="CW72" i="1"/>
  <c r="CW108" i="1"/>
  <c r="CR108" i="1" s="1"/>
  <c r="CW236" i="1"/>
  <c r="CR236" i="1" s="1"/>
  <c r="CW162" i="1"/>
  <c r="CR162" i="1" s="1"/>
  <c r="CW105" i="1"/>
  <c r="CW351" i="1"/>
  <c r="CR351" i="1" s="1"/>
  <c r="CW73" i="1"/>
  <c r="CW62" i="1"/>
  <c r="CR62" i="1" s="1"/>
  <c r="CW140" i="1"/>
  <c r="CR140" i="1" s="1"/>
  <c r="CW103" i="1"/>
  <c r="CR103" i="1" s="1"/>
  <c r="CW322" i="1"/>
  <c r="CW91" i="1"/>
  <c r="CW70" i="1"/>
  <c r="CW206" i="1"/>
  <c r="CR206" i="1" s="1"/>
  <c r="CW97" i="1"/>
  <c r="CW328" i="1"/>
  <c r="CR328" i="1" s="1"/>
  <c r="CW203" i="1"/>
  <c r="CR203" i="1" s="1"/>
  <c r="CW44" i="1"/>
  <c r="CW195" i="1"/>
  <c r="CR195" i="1" s="1"/>
  <c r="CW28" i="1"/>
  <c r="CW228" i="1"/>
  <c r="CW117" i="1"/>
  <c r="CR117" i="1" s="1"/>
  <c r="CW215" i="1"/>
  <c r="CR215" i="1" s="1"/>
  <c r="CW331" i="1"/>
  <c r="CR331" i="1" s="1"/>
  <c r="CW345" i="1"/>
  <c r="CR345" i="1" s="1"/>
  <c r="CW192" i="1"/>
  <c r="CR192" i="1" s="1"/>
  <c r="CW74" i="1"/>
  <c r="CR74" i="1" s="1"/>
  <c r="CW220" i="1"/>
  <c r="CW222" i="1"/>
  <c r="CW214" i="1"/>
  <c r="CR214" i="1" s="1"/>
  <c r="CW85" i="1"/>
  <c r="CR85" i="1" s="1"/>
  <c r="CW80" i="1"/>
  <c r="CR80" i="1" s="1"/>
  <c r="CW309" i="1"/>
  <c r="CR309" i="1" s="1"/>
  <c r="CW130" i="1"/>
  <c r="CR130" i="1" s="1"/>
  <c r="CW54" i="1"/>
  <c r="CW30" i="1"/>
  <c r="CW259" i="1"/>
  <c r="CR259" i="1" s="1"/>
  <c r="CW343" i="1"/>
  <c r="CR343" i="1" s="1"/>
  <c r="CW118" i="1"/>
  <c r="CW115" i="1"/>
  <c r="CW149" i="1"/>
  <c r="CW127" i="1"/>
  <c r="CR127" i="1" s="1"/>
  <c r="CW139" i="1"/>
  <c r="CW18" i="1"/>
  <c r="CW229" i="1"/>
  <c r="CR229" i="1" s="1"/>
  <c r="CW182" i="1"/>
  <c r="CW168" i="1"/>
  <c r="CR168" i="1" s="1"/>
  <c r="CW290" i="1"/>
  <c r="CR290" i="1" s="1"/>
  <c r="CW166" i="1"/>
  <c r="CR166" i="1" s="1"/>
  <c r="CW306" i="1"/>
  <c r="CR306" i="1" s="1"/>
  <c r="CW240" i="1"/>
  <c r="CR240" i="1" s="1"/>
  <c r="CW257" i="1"/>
  <c r="CR257" i="1" s="1"/>
  <c r="CW116" i="1"/>
  <c r="CR116" i="1" s="1"/>
  <c r="CW131" i="1"/>
  <c r="CW288" i="1"/>
  <c r="CR288" i="1" s="1"/>
  <c r="CW329" i="1"/>
  <c r="CR329" i="1" s="1"/>
  <c r="CW156" i="1"/>
  <c r="CR156" i="1" s="1"/>
  <c r="CW198" i="1"/>
  <c r="CW358" i="1"/>
  <c r="CR358" i="1" s="1"/>
  <c r="CW48" i="1"/>
  <c r="CW337" i="1"/>
  <c r="CR337" i="1" s="1"/>
  <c r="CW84" i="1"/>
  <c r="CW330" i="1"/>
  <c r="CW165" i="1"/>
  <c r="CR165" i="1" s="1"/>
  <c r="CW357" i="1"/>
  <c r="CR357" i="1" s="1"/>
  <c r="CW202" i="1"/>
  <c r="CR202" i="1" s="1"/>
  <c r="CW320" i="1"/>
  <c r="CR320" i="1" s="1"/>
  <c r="CW151" i="1"/>
  <c r="CR151" i="1" s="1"/>
  <c r="CW181" i="1"/>
  <c r="CR181" i="1" s="1"/>
  <c r="CW94" i="1"/>
  <c r="CW169" i="1"/>
  <c r="CR169" i="1" s="1"/>
  <c r="CW242" i="1"/>
  <c r="CR242" i="1" s="1"/>
  <c r="CW199" i="1"/>
  <c r="CR199" i="1" s="1"/>
  <c r="CW96" i="1"/>
  <c r="CR96" i="1" s="1"/>
  <c r="CW87" i="1"/>
  <c r="CW217" i="1"/>
  <c r="CW279" i="1"/>
  <c r="CR279" i="1" s="1"/>
  <c r="CW104" i="1"/>
  <c r="CW321" i="1"/>
  <c r="CW57" i="1"/>
  <c r="CR57" i="1" s="1"/>
  <c r="CW159" i="1"/>
  <c r="CR159" i="1" s="1"/>
  <c r="CW190" i="1"/>
  <c r="CR190" i="1" s="1"/>
  <c r="CW49" i="1"/>
  <c r="CW171" i="1"/>
  <c r="CR171" i="1" s="1"/>
  <c r="CW160" i="1"/>
  <c r="CW317" i="1"/>
  <c r="CW172" i="1"/>
  <c r="CW63" i="1"/>
  <c r="CW188" i="1"/>
  <c r="CR188" i="1" s="1"/>
  <c r="CW245" i="1"/>
  <c r="CR245" i="1" s="1"/>
  <c r="CW335" i="1"/>
  <c r="CR335" i="1" s="1"/>
  <c r="CW110" i="1"/>
  <c r="CR110" i="1" s="1"/>
  <c r="CW50" i="1"/>
  <c r="CW256" i="1"/>
  <c r="CW303" i="1"/>
  <c r="CR303" i="1" s="1"/>
  <c r="CW177" i="1"/>
  <c r="CW148" i="1"/>
  <c r="CR148" i="1" s="1"/>
  <c r="CW98" i="1"/>
  <c r="CW164" i="1"/>
  <c r="CR164" i="1" s="1"/>
  <c r="CW141" i="1"/>
  <c r="CR141" i="1" s="1"/>
  <c r="CW170" i="1"/>
  <c r="CR170" i="1" s="1"/>
  <c r="CW360" i="1"/>
  <c r="CR360" i="1" s="1"/>
  <c r="CW274" i="1"/>
  <c r="CW109" i="1"/>
  <c r="CW17" i="1"/>
  <c r="CW16" i="1"/>
  <c r="CW250" i="1"/>
  <c r="CW254" i="1"/>
  <c r="CR254" i="1" s="1"/>
  <c r="CW180" i="1"/>
  <c r="CR180" i="1" s="1"/>
  <c r="CW334" i="1"/>
  <c r="CW305" i="1"/>
  <c r="CR305" i="1" s="1"/>
  <c r="CW146" i="1"/>
  <c r="CR146" i="1" s="1"/>
  <c r="CW120" i="1"/>
  <c r="CW133" i="1"/>
  <c r="CW310" i="1"/>
  <c r="CW19" i="1"/>
  <c r="CW21" i="1"/>
  <c r="CW20" i="1"/>
  <c r="CW300" i="1"/>
  <c r="CW339" i="1"/>
  <c r="CR339" i="1" s="1"/>
  <c r="CW262" i="1"/>
  <c r="CR262" i="1" s="1"/>
  <c r="CW234" i="1"/>
  <c r="CW211" i="1"/>
  <c r="CW224" i="1"/>
  <c r="CW38" i="1"/>
  <c r="CW77" i="1"/>
  <c r="CR77" i="1" s="1"/>
  <c r="CW22" i="1"/>
  <c r="CW23" i="1"/>
  <c r="CW24" i="1"/>
  <c r="CW25" i="1"/>
  <c r="CW26" i="1"/>
  <c r="CW134" i="1"/>
  <c r="CW46" i="1"/>
  <c r="CR46" i="1" s="1"/>
  <c r="CW327" i="1"/>
  <c r="CR327" i="1" s="1"/>
  <c r="CW106" i="1"/>
  <c r="CR106" i="1" s="1"/>
  <c r="CW126" i="1"/>
  <c r="CW249" i="1"/>
  <c r="CR249" i="1" s="1"/>
  <c r="CW39" i="1"/>
  <c r="CR39" i="1" s="1"/>
  <c r="CW137" i="1"/>
  <c r="CR137" i="1" s="1"/>
  <c r="CW273" i="1"/>
  <c r="CW119" i="1"/>
  <c r="CW89" i="1"/>
  <c r="CR89" i="1" s="1"/>
  <c r="CW147" i="1"/>
  <c r="CR147" i="1" s="1"/>
  <c r="CW183" i="1"/>
  <c r="CR183" i="1" s="1"/>
  <c r="CW167" i="1"/>
  <c r="CR167" i="1" s="1"/>
  <c r="CW278" i="1"/>
  <c r="CW261" i="1"/>
  <c r="CW235" i="1"/>
  <c r="CW27" i="1"/>
  <c r="CW225" i="1"/>
  <c r="CR225" i="1" s="1"/>
  <c r="CW65" i="1"/>
  <c r="CW281" i="1"/>
  <c r="CR281" i="1" s="1"/>
  <c r="CW286" i="1"/>
  <c r="CR286" i="1" s="1"/>
  <c r="CW187" i="1"/>
  <c r="CR187" i="1" s="1"/>
  <c r="CW355" i="1"/>
  <c r="CR355" i="1" s="1"/>
  <c r="CW186" i="1"/>
  <c r="CR186" i="1" s="1"/>
  <c r="CW291" i="1"/>
  <c r="CR291" i="1" s="1"/>
  <c r="CW221" i="1"/>
  <c r="CR221" i="1" s="1"/>
  <c r="CW52" i="1"/>
  <c r="CW347" i="1"/>
  <c r="CR347" i="1" s="1"/>
  <c r="CW51" i="1"/>
  <c r="CW267" i="1"/>
  <c r="CR267" i="1" s="1"/>
  <c r="CW209" i="1"/>
  <c r="CW132" i="1"/>
  <c r="CR132" i="1" s="1"/>
  <c r="CW58" i="1"/>
  <c r="CW308" i="1"/>
  <c r="CR308" i="1" s="1"/>
  <c r="CW122" i="1"/>
  <c r="CW336" i="1"/>
  <c r="CR336" i="1" s="1"/>
  <c r="CW313" i="1"/>
  <c r="CR313" i="1" s="1"/>
  <c r="CW223" i="1"/>
  <c r="CR223" i="1" s="1"/>
  <c r="CW83" i="1"/>
  <c r="CW276" i="1"/>
  <c r="CR276" i="1" s="1"/>
  <c r="CW35" i="1"/>
  <c r="CW152" i="1"/>
  <c r="CR152" i="1" s="1"/>
  <c r="CW29" i="1"/>
  <c r="CW102" i="1"/>
  <c r="CW298" i="1"/>
  <c r="CW318" i="1"/>
  <c r="CR318" i="1" s="1"/>
  <c r="CW43" i="1"/>
  <c r="CR43" i="1" s="1"/>
  <c r="CW324" i="1"/>
  <c r="CR324" i="1" s="1"/>
  <c r="CW241" i="1"/>
  <c r="CW258" i="1"/>
  <c r="CW255" i="1"/>
  <c r="CW100" i="1"/>
  <c r="CR100" i="1" s="1"/>
  <c r="CW68" i="1"/>
  <c r="CR68" i="1" s="1"/>
  <c r="CW316" i="1"/>
  <c r="CR316" i="1" s="1"/>
  <c r="CW307" i="1"/>
  <c r="CR307" i="1" s="1"/>
  <c r="CW294" i="1"/>
  <c r="CR294" i="1" s="1"/>
  <c r="CW150" i="1"/>
  <c r="CR150" i="1" s="1"/>
  <c r="CW90" i="1"/>
  <c r="CW157" i="1"/>
  <c r="CW301" i="1"/>
  <c r="CR301" i="1" s="1"/>
  <c r="CW226" i="1"/>
  <c r="CR226" i="1" s="1"/>
  <c r="CW128" i="1"/>
  <c r="CR128" i="1" s="1"/>
  <c r="CW185" i="1"/>
  <c r="CW155" i="1"/>
  <c r="CR155" i="1" s="1"/>
  <c r="CW260" i="1"/>
  <c r="CR260" i="1" s="1"/>
  <c r="CW69" i="1"/>
  <c r="CR69" i="1" s="1"/>
  <c r="CW33" i="1"/>
  <c r="CW64" i="1"/>
  <c r="CR64" i="1" s="1"/>
  <c r="CW59" i="1"/>
  <c r="CR59" i="1" s="1"/>
  <c r="CW136" i="1"/>
  <c r="CW332" i="1"/>
  <c r="CR332"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C1088" i="31"/>
  <c r="C1206" i="31"/>
  <c r="BA1206" i="31" s="1"/>
  <c r="C1361" i="31"/>
  <c r="C39" i="3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BA2537" i="31" s="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BA610" i="31" s="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AP1224" i="31" l="1"/>
  <c r="H1224" i="31"/>
  <c r="H1088" i="31"/>
  <c r="AP1088" i="31"/>
  <c r="BA1088" i="31"/>
  <c r="H1361" i="31"/>
  <c r="AP1361" i="31"/>
  <c r="BA1361" i="31"/>
  <c r="H39" i="31"/>
  <c r="AP39" i="31"/>
  <c r="BA3434" i="31"/>
  <c r="H3434" i="31"/>
  <c r="AP3434" i="31"/>
  <c r="H482" i="31"/>
  <c r="BA482" i="31"/>
  <c r="AP482" i="31"/>
  <c r="CG20" i="10"/>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6" i="10"/>
  <c r="BX16" i="10"/>
  <c r="E18" i="10"/>
  <c r="BX18" i="10"/>
  <c r="P3560" i="31" a="1"/>
  <c r="E17" i="10"/>
  <c r="BX17" i="10"/>
  <c r="E21" i="10"/>
  <c r="BX21" i="10"/>
  <c r="BX11" i="10" l="1"/>
  <c r="E11" i="10"/>
  <c r="BX12" i="10"/>
  <c r="E12" i="10"/>
  <c r="E15" i="10"/>
  <c r="BX15" i="10"/>
  <c r="BZ3" i="10"/>
  <c r="CG4" i="10"/>
  <c r="CG2" i="10" s="1"/>
  <c r="BJ28" i="10" s="1"/>
  <c r="BX10" i="10"/>
  <c r="CB3" i="10"/>
  <c r="BW3" i="10"/>
  <c r="E22" i="10" s="1"/>
  <c r="E13" i="10"/>
  <c r="BO4" i="1"/>
  <c r="BX3" i="10" l="1"/>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<sst xmlns="http://schemas.openxmlformats.org/spreadsheetml/2006/main" count="12450" uniqueCount="2355">
  <si>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</si>
  <si>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</si>
  <si>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</si>
  <si>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</si>
  <si>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</si>
  <si>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</si>
  <si>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</si>
  <si>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</si>
  <si>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</si>
  <si>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</si>
  <si>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</si>
  <si>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</si>
  <si>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</si>
  <si>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</si>
  <si>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</si>
  <si>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</si>
  <si>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</si>
  <si>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</si>
  <si>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</si>
  <si>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</si>
  <si>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</si>
  <si>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</si>
  <si>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</si>
  <si>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</si>
  <si>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</si>
  <si>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</si>
  <si>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</si>
  <si>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</si>
  <si>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</si>
  <si>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</si>
  <si>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</si>
  <si>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</si>
  <si>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</si>
  <si>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</si>
  <si>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</si>
  <si>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</si>
  <si>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</si>
  <si>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</si>
  <si>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</si>
  <si>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</si>
  <si>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</si>
  <si>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</si>
  <si>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</si>
  <si>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</si>
  <si>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</si>
  <si>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</si>
  <si>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</si>
  <si>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</si>
  <si>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</si>
  <si>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</si>
  <si>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</si>
  <si>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</si>
  <si>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</si>
  <si>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</si>
  <si>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</si>
  <si>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</si>
  <si>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</si>
  <si>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</si>
  <si>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</si>
  <si>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</si>
  <si>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</si>
  <si>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</si>
  <si>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</si>
  <si>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</si>
  <si>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</si>
  <si>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</si>
  <si>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</si>
  <si>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</si>
  <si>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</si>
  <si>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</si>
  <si>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</si>
  <si>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</si>
  <si>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</si>
  <si>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</si>
  <si>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</si>
  <si>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</si>
  <si>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</si>
  <si>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</si>
  <si>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</si>
  <si>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</si>
  <si>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</si>
  <si>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</si>
  <si>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</si>
  <si>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</si>
  <si>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</si>
  <si>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</si>
  <si>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</si>
  <si>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</si>
  <si>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</si>
  <si>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</si>
  <si>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</si>
  <si>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</si>
  <si>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</si>
  <si>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</si>
  <si>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</si>
  <si>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</si>
  <si>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</si>
  <si>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</si>
  <si>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</si>
  <si>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</si>
  <si>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</si>
  <si>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</si>
  <si>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</si>
  <si>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</si>
  <si>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</si>
  <si>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</si>
  <si>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</si>
  <si>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</si>
  <si>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</si>
  <si>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</si>
  <si>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</si>
  <si>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</si>
  <si>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</si>
  <si>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</si>
  <si>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</si>
  <si>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</si>
  <si>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</si>
  <si>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</si>
  <si>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</si>
  <si>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</si>
  <si>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</si>
  <si>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</si>
  <si>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</si>
  <si>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</si>
  <si>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</si>
  <si>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</si>
  <si>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</si>
  <si>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</si>
  <si>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</si>
  <si>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</si>
  <si>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</si>
  <si>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</si>
  <si>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</si>
  <si>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</si>
  <si>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</si>
  <si>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</si>
  <si>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</si>
  <si>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</si>
  <si>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</si>
  <si>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</si>
  <si>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</si>
  <si>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</si>
  <si>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</si>
  <si>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</si>
  <si>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</si>
  <si>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</si>
  <si>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</si>
  <si>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</si>
  <si>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</si>
  <si>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</si>
  <si>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</si>
  <si>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</si>
  <si>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</si>
  <si>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</si>
  <si>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</si>
  <si>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</si>
  <si>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</si>
  <si>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</si>
  <si>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</si>
  <si>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</si>
  <si>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</si>
  <si>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</si>
  <si>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</si>
  <si>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</si>
  <si>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</si>
  <si>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</si>
  <si>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</si>
  <si>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</si>
  <si>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</si>
  <si>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</si>
  <si>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</si>
  <si>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</si>
  <si>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</si>
  <si>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</si>
  <si>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</si>
  <si>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</si>
  <si>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</si>
  <si>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</si>
  <si>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</si>
  <si>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</si>
  <si>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</si>
  <si>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</si>
  <si>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</si>
  <si>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</si>
  <si>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</si>
  <si>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</si>
  <si>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</si>
  <si>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</si>
  <si>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</si>
  <si>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</si>
  <si>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</si>
  <si>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</si>
  <si>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</si>
  <si>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</si>
  <si>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</si>
  <si>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</si>
  <si>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</si>
  <si>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</si>
  <si>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</si>
  <si>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</si>
  <si>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</si>
  <si>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</si>
  <si>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</si>
  <si>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</si>
  <si>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</si>
  <si>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</si>
  <si>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</si>
  <si>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</si>
  <si>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</si>
  <si>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</si>
  <si>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</si>
  <si>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</si>
  <si>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</si>
  <si>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</si>
  <si>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</si>
  <si>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</si>
  <si>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</si>
  <si>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</si>
  <si>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</si>
  <si>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</si>
  <si>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</si>
  <si>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</si>
  <si>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</si>
  <si>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</si>
  <si>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</si>
  <si>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</si>
  <si>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</si>
  <si>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</si>
  <si>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</si>
  <si>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</si>
  <si>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</si>
  <si>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</si>
  <si>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</si>
  <si>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</si>
  <si>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</si>
  <si>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</si>
  <si>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</si>
  <si>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</si>
  <si>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</si>
  <si>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</si>
  <si>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</si>
  <si>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</si>
  <si>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</si>
  <si>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</si>
  <si>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</si>
  <si>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</si>
  <si>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</si>
  <si>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</si>
  <si>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</si>
  <si>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</si>
  <si>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</si>
  <si>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</si>
  <si>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</si>
  <si>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</si>
  <si>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</si>
  <si>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</si>
  <si>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</si>
  <si>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</si>
  <si>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</si>
  <si>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</si>
  <si>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</si>
  <si>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</si>
  <si>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</si>
  <si>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</si>
  <si>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</si>
  <si>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</si>
  <si>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</si>
  <si>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</si>
  <si>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</si>
  <si>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</si>
  <si>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</si>
  <si>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</si>
  <si>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</si>
  <si>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</si>
  <si>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</si>
  <si>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</si>
  <si>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</si>
  <si>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</si>
  <si>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</si>
  <si>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</si>
  <si>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</si>
  <si>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</si>
  <si>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</si>
  <si>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</si>
  <si>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</si>
  <si>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</si>
  <si>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</si>
  <si>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</si>
  <si>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</si>
  <si>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</si>
  <si>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</si>
  <si>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</si>
  <si>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</si>
  <si>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</si>
  <si>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</si>
  <si>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</si>
  <si>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</si>
  <si>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</si>
  <si>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</si>
  <si>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</si>
  <si>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</si>
  <si>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</si>
  <si>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</si>
  <si>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</si>
  <si>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</si>
  <si>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</si>
  <si>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</si>
  <si>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</si>
  <si>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</si>
  <si>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</si>
  <si>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</si>
  <si>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</si>
  <si>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</si>
  <si>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</si>
  <si>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</si>
  <si>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</si>
  <si>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</si>
  <si>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</si>
  <si>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</si>
  <si>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</si>
  <si>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</si>
  <si>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</si>
  <si>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</si>
  <si>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</si>
  <si>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</si>
  <si>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</si>
  <si>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</si>
  <si>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</si>
  <si>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</si>
  <si>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</si>
  <si>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</si>
  <si>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</si>
  <si>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</si>
  <si>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</si>
  <si>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</si>
  <si>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</si>
  <si>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</si>
  <si>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</si>
  <si>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</si>
  <si>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</si>
  <si>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</si>
  <si>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</si>
  <si>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</si>
  <si>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</si>
  <si>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</si>
  <si>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</si>
  <si>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</si>
  <si>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</si>
  <si>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</si>
  <si>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</si>
  <si>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</si>
  <si>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</si>
  <si>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</si>
  <si>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</si>
  <si>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</si>
  <si>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</si>
  <si>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</si>
  <si>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</si>
  <si>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</si>
  <si>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</si>
  <si>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</si>
  <si>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</si>
  <si>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</si>
  <si>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</si>
  <si>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</si>
  <si>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</si>
  <si>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</si>
  <si>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</si>
  <si>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</si>
  <si>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</si>
  <si>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</si>
  <si>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</si>
  <si>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</si>
  <si>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</si>
  <si>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</si>
  <si>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</si>
  <si>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</si>
  <si>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</si>
  <si>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</si>
  <si>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</si>
  <si>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</si>
  <si>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</si>
  <si>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</si>
  <si>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</si>
  <si>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</si>
  <si>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</si>
  <si>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</si>
  <si>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</si>
  <si>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</si>
  <si>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</si>
  <si>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</si>
  <si>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</si>
  <si>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</si>
  <si>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</si>
  <si>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</si>
  <si>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</si>
  <si>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</si>
  <si>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</si>
  <si>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</si>
  <si>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</si>
  <si>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</si>
  <si>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</si>
  <si>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</si>
  <si>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</si>
  <si>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</si>
  <si>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</si>
  <si>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</si>
  <si>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</si>
  <si>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</si>
  <si>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</si>
  <si>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</si>
  <si>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</si>
  <si>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</si>
  <si>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</si>
  <si>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</si>
  <si>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</si>
  <si>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</si>
  <si>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</si>
  <si>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</si>
  <si>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</si>
  <si>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</si>
  <si>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</si>
  <si>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</si>
  <si>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</si>
  <si>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</si>
  <si>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</si>
  <si>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</si>
  <si>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</si>
  <si>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</si>
  <si>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</si>
  <si>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</si>
  <si>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</si>
  <si>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</si>
  <si>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</si>
  <si>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</si>
  <si>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</si>
  <si>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</si>
  <si>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</si>
  <si>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</si>
  <si>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</si>
  <si>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</si>
  <si>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</si>
  <si>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</si>
  <si>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</si>
  <si>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</si>
  <si>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</si>
  <si>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</si>
  <si>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</si>
  <si>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</si>
  <si>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</si>
  <si>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</si>
  <si>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</si>
  <si>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</si>
  <si>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</si>
  <si>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</si>
  <si>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</si>
  <si>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</si>
  <si>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</si>
  <si>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</si>
  <si>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</si>
  <si>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</si>
  <si>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</si>
  <si>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</si>
  <si>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</si>
  <si>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</si>
  <si>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</si>
  <si>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</si>
  <si>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</si>
  <si>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</si>
  <si>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</si>
  <si>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</si>
  <si>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</si>
  <si>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</si>
  <si>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</si>
  <si>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</si>
  <si>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</si>
  <si>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</si>
  <si>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</si>
  <si>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</si>
  <si>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</si>
  <si>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</si>
  <si>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</si>
  <si>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</si>
  <si>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</si>
  <si>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</si>
  <si>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</si>
  <si>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</si>
  <si>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</si>
  <si>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</si>
  <si>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</si>
  <si>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</si>
  <si>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</si>
  <si>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</si>
  <si>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</si>
  <si>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</si>
  <si>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</si>
  <si>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</si>
  <si>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</si>
  <si>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</si>
  <si>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</si>
  <si>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</si>
  <si>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</si>
  <si>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</si>
  <si>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</si>
  <si>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</si>
  <si>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</si>
  <si>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</si>
  <si>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</si>
  <si>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</si>
  <si>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</si>
  <si>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</si>
  <si>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</si>
  <si>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</si>
  <si>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</si>
  <si>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</si>
  <si>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</si>
  <si>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</si>
  <si>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</si>
  <si>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</si>
  <si>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</si>
  <si>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</si>
  <si>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</si>
  <si>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</si>
  <si>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</si>
  <si>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</si>
  <si>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</si>
  <si>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</si>
  <si>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</si>
  <si>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</si>
  <si>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</si>
  <si>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</si>
  <si>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</si>
  <si>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</si>
  <si>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</si>
  <si>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</si>
  <si>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</si>
  <si>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</si>
  <si>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</si>
  <si>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</si>
  <si>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</si>
  <si>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</si>
  <si>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</si>
  <si>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</si>
  <si>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</si>
  <si>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</si>
  <si>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</si>
  <si>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</si>
  <si>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</si>
  <si>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</si>
  <si>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</si>
  <si>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</si>
  <si>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</si>
  <si>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</si>
  <si>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</si>
  <si>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</si>
  <si>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</si>
  <si>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</si>
  <si>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</si>
  <si>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</si>
  <si>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</si>
  <si>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</si>
  <si>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</si>
  <si>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</si>
  <si>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</si>
  <si>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</si>
  <si>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</si>
  <si>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</si>
  <si>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</si>
  <si>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</si>
  <si>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</si>
  <si>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</si>
  <si>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</si>
  <si>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</si>
  <si>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</si>
  <si>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</si>
  <si>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</si>
  <si>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</si>
  <si>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</si>
  <si>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</si>
  <si>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</si>
  <si>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</si>
  <si>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</si>
  <si>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</si>
  <si>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</si>
  <si>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</si>
  <si>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</si>
  <si>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</si>
  <si>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</si>
  <si>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</si>
  <si>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</si>
  <si>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</si>
  <si>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</si>
  <si>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</si>
  <si>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</si>
  <si>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</si>
  <si>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</si>
  <si>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</si>
  <si>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</si>
  <si>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</si>
  <si>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</si>
  <si>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</si>
  <si>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</si>
  <si>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</si>
  <si>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</si>
  <si>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</si>
  <si>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</si>
  <si>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</si>
  <si>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</si>
  <si>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</si>
  <si>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</si>
  <si>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</si>
  <si>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</si>
  <si>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</si>
  <si>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</si>
  <si>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</si>
  <si>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</si>
  <si>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</si>
  <si>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</si>
  <si>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</si>
  <si>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</si>
  <si>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</si>
  <si>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</si>
  <si>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</si>
  <si>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</si>
  <si>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</si>
  <si>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</si>
  <si>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</si>
  <si>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</si>
  <si>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</si>
  <si>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</si>
  <si>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</si>
  <si>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</si>
  <si>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</si>
  <si>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</si>
  <si>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</si>
  <si>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</si>
  <si>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</si>
  <si>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</si>
  <si>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</si>
  <si>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</si>
  <si>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</si>
  <si>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</si>
  <si>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</si>
  <si>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</si>
  <si>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</si>
  <si>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</si>
  <si>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</si>
  <si>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</si>
  <si>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</si>
  <si>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</si>
  <si>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</si>
  <si>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</si>
  <si>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</si>
  <si>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</si>
  <si>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</si>
  <si>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</si>
  <si>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</si>
  <si>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</si>
  <si>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</si>
  <si>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</si>
  <si>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</si>
  <si>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</si>
  <si>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</si>
  <si>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</si>
  <si>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</si>
  <si>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</si>
  <si>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</si>
  <si>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</si>
  <si>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</si>
  <si>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</si>
  <si>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</si>
  <si>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</si>
  <si>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</si>
  <si>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</si>
  <si>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</si>
  <si>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</si>
  <si>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</si>
  <si>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</si>
  <si>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</si>
  <si>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</si>
  <si>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</si>
  <si>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</si>
  <si>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</si>
  <si>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</si>
  <si>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</si>
  <si>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</si>
  <si>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</si>
  <si>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</si>
  <si>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</si>
  <si>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</si>
  <si>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</si>
  <si>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</si>
  <si>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</si>
  <si>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</si>
  <si>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</si>
  <si>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</si>
  <si>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</si>
  <si>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</si>
  <si>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</si>
  <si>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</si>
  <si>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</si>
  <si>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</si>
  <si>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</si>
  <si>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</si>
  <si>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</si>
  <si>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</si>
  <si>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</si>
  <si>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</si>
  <si>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</si>
  <si>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</si>
  <si>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</si>
  <si>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</si>
  <si>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</si>
  <si>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</si>
  <si>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</si>
  <si>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</si>
  <si>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</si>
  <si>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</si>
  <si>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</si>
  <si>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</si>
  <si>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</si>
  <si>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</si>
  <si>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</si>
  <si>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</si>
  <si>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</si>
  <si>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</si>
  <si>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</si>
  <si>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</si>
  <si>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</si>
  <si>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</si>
  <si>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</si>
  <si>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</si>
  <si>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</si>
  <si>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</si>
  <si>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</si>
  <si>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</si>
  <si>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</si>
  <si>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</si>
  <si>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</si>
  <si>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</si>
  <si>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</si>
  <si>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</si>
  <si>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</si>
  <si>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</si>
  <si>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</si>
  <si>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</si>
  <si>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</si>
  <si>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</si>
  <si>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</si>
  <si>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</si>
  <si>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</si>
  <si>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</si>
  <si>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</si>
  <si>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</si>
  <si>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</si>
  <si>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</si>
  <si>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</si>
  <si>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</si>
  <si>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</si>
  <si>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</si>
  <si>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</si>
  <si>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</si>
  <si>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</si>
  <si>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</si>
  <si>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</si>
  <si>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</si>
  <si>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</si>
  <si>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</si>
  <si>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</si>
  <si>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</si>
  <si>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</si>
  <si>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</si>
  <si>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</si>
  <si>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</si>
  <si>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</si>
  <si>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</si>
  <si>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</si>
  <si>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</si>
  <si>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</si>
  <si>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</si>
  <si>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</si>
  <si>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</si>
  <si>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</si>
  <si>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</si>
  <si>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</si>
  <si>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</si>
  <si>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</si>
  <si>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</si>
  <si>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</si>
  <si>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</si>
  <si>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</si>
  <si>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</si>
  <si>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</si>
  <si>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</si>
  <si>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</si>
  <si>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</si>
  <si>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</si>
  <si>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</si>
  <si>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</si>
  <si>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</si>
  <si>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</si>
  <si>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</si>
  <si>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</si>
  <si>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</si>
  <si>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</si>
  <si>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</si>
  <si>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</si>
  <si>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</si>
  <si>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</si>
  <si>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</si>
  <si>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</si>
  <si>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</si>
  <si>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</si>
  <si>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</si>
  <si>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</si>
  <si>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</si>
  <si>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</si>
  <si>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</si>
  <si>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</si>
  <si>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</si>
  <si>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</si>
  <si>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</si>
  <si>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</si>
  <si>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</si>
  <si>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</si>
  <si>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</si>
  <si>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</si>
  <si>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</si>
  <si>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</si>
  <si>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</si>
  <si>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</si>
  <si>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</si>
  <si>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</si>
  <si>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</si>
  <si>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</si>
  <si>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</si>
  <si>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</si>
  <si>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</si>
  <si>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</si>
  <si>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</si>
  <si>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</si>
  <si>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</si>
  <si>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</si>
  <si>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</si>
  <si>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</si>
  <si>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</si>
  <si>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</si>
  <si>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</si>
  <si>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</si>
  <si>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</si>
  <si>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</si>
  <si>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</si>
  <si>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</si>
  <si>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</si>
  <si>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</si>
  <si>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</si>
  <si>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</si>
  <si>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</si>
  <si>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</si>
  <si>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</si>
  <si>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</si>
  <si>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</si>
  <si>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</si>
  <si>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</si>
  <si>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</si>
  <si>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</si>
  <si>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</si>
  <si>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</si>
  <si>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</si>
  <si>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</si>
  <si>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</si>
  <si>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</si>
  <si>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</si>
  <si>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</si>
  <si>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</si>
  <si>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</si>
  <si>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</si>
  <si>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</si>
  <si>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</si>
  <si>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</si>
  <si>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</si>
  <si>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</si>
  <si>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</si>
  <si>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</si>
  <si>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</si>
  <si>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</si>
  <si>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</si>
  <si>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</si>
  <si>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</si>
  <si>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</si>
  <si>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</si>
  <si>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</si>
  <si>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</si>
  <si>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</si>
  <si>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</si>
  <si>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</si>
  <si>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</si>
  <si>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</si>
  <si>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</si>
  <si>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</si>
  <si>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</si>
  <si>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</si>
  <si>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</si>
  <si>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</si>
  <si>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</si>
  <si>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</si>
  <si>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</si>
  <si>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</si>
  <si>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</si>
  <si>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</si>
  <si>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</si>
  <si>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</si>
  <si>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</si>
  <si>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</si>
  <si>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</si>
  <si>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</si>
  <si>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</si>
  <si>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</si>
  <si>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</si>
  <si>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</si>
  <si>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</si>
  <si>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</si>
  <si>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</si>
  <si>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</si>
  <si>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</si>
  <si>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</si>
  <si>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</si>
  <si>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</si>
  <si>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</si>
  <si>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</si>
  <si>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</si>
  <si>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</si>
  <si>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</si>
  <si>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</si>
  <si>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</si>
  <si>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</si>
  <si>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</si>
  <si>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</si>
  <si>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</si>
  <si>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</si>
  <si>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</si>
  <si>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</si>
  <si>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</si>
  <si>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</si>
  <si>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</si>
  <si>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</si>
  <si>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</si>
  <si>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</si>
  <si>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</si>
  <si>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</si>
  <si>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</si>
  <si>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</si>
  <si>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</si>
  <si>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</si>
  <si>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</si>
  <si>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</si>
  <si>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</si>
  <si>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</si>
  <si>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</si>
  <si>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</si>
  <si>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</si>
  <si>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</si>
  <si>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</si>
  <si>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</si>
  <si>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</si>
  <si>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</si>
  <si>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</si>
  <si>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</si>
  <si>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</si>
  <si>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</si>
  <si>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</si>
  <si>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</si>
  <si>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</si>
  <si>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</si>
  <si>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</si>
  <si>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</si>
  <si>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</si>
  <si>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</si>
  <si>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</si>
  <si>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</si>
  <si>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</si>
  <si>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</si>
  <si>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</si>
  <si>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</si>
  <si>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</si>
  <si>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</si>
  <si>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</si>
  <si>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</si>
  <si>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</si>
  <si>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</si>
  <si>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</si>
  <si>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</si>
  <si>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</si>
  <si>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</si>
  <si>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</si>
  <si>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</si>
  <si>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</si>
  <si>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</si>
  <si>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</si>
  <si>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</si>
  <si>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</si>
  <si>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</si>
  <si>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</si>
  <si>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</si>
  <si>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</si>
  <si>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</si>
  <si>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</si>
  <si>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</si>
  <si>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</si>
  <si>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</si>
  <si>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</si>
  <si>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</si>
  <si>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</si>
  <si>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</si>
  <si>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</si>
  <si>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</si>
  <si>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</si>
  <si>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</si>
  <si>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</si>
  <si>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</si>
  <si>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</si>
  <si>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</si>
  <si>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</si>
  <si>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</si>
  <si>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</si>
  <si>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</si>
  <si>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</si>
  <si>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</si>
  <si>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</si>
  <si>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</si>
  <si>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</si>
  <si>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</si>
  <si>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</si>
  <si>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</si>
  <si>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</si>
  <si>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</si>
  <si>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</si>
  <si>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</si>
  <si>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</si>
  <si>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</si>
  <si>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</si>
  <si>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</si>
  <si>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</si>
  <si>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</si>
  <si>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</si>
  <si>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</si>
  <si>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</si>
  <si>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</si>
  <si>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</si>
  <si>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</si>
  <si>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</si>
  <si>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</si>
  <si>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</si>
  <si>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</si>
  <si>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</si>
  <si>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</si>
  <si>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</si>
  <si>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</si>
  <si>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</si>
  <si>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</si>
  <si>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</si>
  <si>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</si>
  <si>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</si>
  <si>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</si>
  <si>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</si>
  <si>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</si>
  <si>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</si>
  <si>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</si>
  <si>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</si>
  <si>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</si>
  <si>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</si>
  <si>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</si>
  <si>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</si>
  <si>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</si>
  <si>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</si>
  <si>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</si>
  <si>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</si>
  <si>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</si>
  <si>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</si>
  <si>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</si>
  <si>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</si>
  <si>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</si>
  <si>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</si>
  <si>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</si>
  <si>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</si>
  <si>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</si>
  <si>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</si>
  <si>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</si>
  <si>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</si>
  <si>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</si>
  <si>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</si>
  <si>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</si>
  <si>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</si>
  <si>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</si>
  <si>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</si>
  <si>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</si>
  <si>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</si>
  <si>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</si>
  <si>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</si>
  <si>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</si>
  <si>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</si>
  <si>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</si>
  <si>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</si>
  <si>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</si>
  <si>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</si>
  <si>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</si>
  <si>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</si>
  <si>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</si>
  <si>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</si>
  <si>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</si>
  <si>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</si>
  <si>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</si>
  <si>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</si>
  <si>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</si>
  <si>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</si>
  <si>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</si>
  <si>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</si>
  <si>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</si>
  <si>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</si>
  <si>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</si>
  <si>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</si>
  <si>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</si>
  <si>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</si>
  <si>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</si>
  <si>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</si>
  <si>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</si>
  <si>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</si>
  <si>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</si>
  <si>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</si>
  <si>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</si>
  <si>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</si>
  <si>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</si>
  <si>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</si>
  <si>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</si>
  <si>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</si>
  <si>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</si>
  <si>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</si>
  <si>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</si>
  <si>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</si>
  <si>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</si>
  <si>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</si>
  <si>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</si>
  <si>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</si>
  <si>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</si>
  <si>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</si>
  <si>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</si>
  <si>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</si>
  <si>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</si>
  <si>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</si>
  <si>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</si>
  <si>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</si>
  <si>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</si>
  <si>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</si>
  <si>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</si>
  <si>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</si>
  <si>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</si>
  <si>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</si>
  <si>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</si>
  <si>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</si>
  <si>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</si>
  <si>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</si>
  <si>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</si>
  <si>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</si>
  <si>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</si>
  <si>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</si>
  <si>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</si>
  <si>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</si>
  <si>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</si>
  <si>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</si>
  <si>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</si>
  <si>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</si>
  <si>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</si>
  <si>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</si>
  <si>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</si>
  <si>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</si>
  <si>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</si>
  <si>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</si>
  <si>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</si>
  <si>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</si>
  <si>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</si>
  <si>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</si>
  <si>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</si>
  <si>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</si>
  <si>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</si>
  <si>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</si>
  <si>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</si>
  <si>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</si>
  <si>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</si>
  <si>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</si>
  <si>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</si>
  <si>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</si>
  <si>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</si>
  <si>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</si>
  <si>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</si>
  <si>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</si>
  <si>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</si>
  <si>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</si>
  <si>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</si>
  <si>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</si>
  <si>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</si>
  <si>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</si>
  <si>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</si>
  <si>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</si>
  <si>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</si>
  <si>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</si>
  <si>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</si>
  <si>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</si>
  <si>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</si>
  <si>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</si>
  <si>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</si>
  <si>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</si>
  <si>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</si>
  <si>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</si>
  <si>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</si>
  <si>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</si>
  <si>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</si>
  <si>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</si>
  <si>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</si>
  <si>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</si>
  <si>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</si>
  <si>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</si>
  <si>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</si>
  <si>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</si>
  <si>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</si>
  <si>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</si>
  <si>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</si>
  <si>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</si>
  <si>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</si>
  <si>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</si>
  <si>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</si>
  <si>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</si>
  <si>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</si>
  <si>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</si>
  <si>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</si>
  <si>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</si>
  <si>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</si>
  <si>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</si>
  <si>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</si>
  <si>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</si>
  <si>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</si>
  <si>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</si>
  <si>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</si>
  <si>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</si>
  <si>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</si>
  <si>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</si>
  <si>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</si>
  <si>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</si>
  <si>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</si>
  <si>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</si>
  <si>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</si>
  <si>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</si>
  <si>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</si>
  <si>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</si>
  <si>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</si>
  <si>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</si>
  <si>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</si>
  <si>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</si>
  <si>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</si>
  <si>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</si>
  <si>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</si>
  <si>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</si>
  <si>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</si>
  <si>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</si>
  <si>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</si>
  <si>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</si>
  <si>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</si>
  <si>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</si>
  <si>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</si>
  <si>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</si>
  <si>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</si>
  <si>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</si>
  <si>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</si>
  <si>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</si>
  <si>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</si>
  <si>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</si>
  <si>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</si>
  <si>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</si>
  <si>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</si>
  <si>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</si>
  <si>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</si>
  <si>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</si>
  <si>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</si>
  <si>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</si>
  <si>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</si>
  <si>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</si>
  <si>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</si>
  <si>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</si>
  <si>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</si>
  <si>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</si>
  <si>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</si>
  <si>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</si>
  <si>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</si>
  <si>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</si>
  <si>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</si>
  <si>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</si>
  <si>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</si>
  <si>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</si>
  <si>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</si>
  <si>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</si>
  <si>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</si>
  <si>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</si>
  <si>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</si>
  <si>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</si>
  <si>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</si>
  <si>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</si>
  <si>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</si>
  <si>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</si>
  <si>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</si>
  <si>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</si>
  <si>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</si>
  <si>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</si>
  <si>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</si>
  <si>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</si>
  <si>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</si>
  <si>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</si>
  <si>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</si>
  <si>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</si>
  <si>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</si>
  <si>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</si>
  <si>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</si>
  <si>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</si>
  <si>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</si>
  <si>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</si>
  <si>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</si>
  <si>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</si>
  <si>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</si>
  <si>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</si>
  <si>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</si>
  <si>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</si>
  <si>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</si>
  <si>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</si>
  <si>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</si>
  <si>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</si>
  <si>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</si>
  <si>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</si>
  <si>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</si>
  <si>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</si>
  <si>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</si>
  <si>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</si>
  <si>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</si>
  <si>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</si>
  <si>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</si>
  <si>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</si>
  <si>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</si>
  <si>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</si>
  <si>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</si>
  <si>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</si>
  <si>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</si>
  <si>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</si>
  <si>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</si>
  <si>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</si>
  <si>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</si>
  <si>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</si>
  <si>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</si>
  <si>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</si>
  <si>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</si>
  <si>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</si>
  <si>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</si>
  <si>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</si>
  <si>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</si>
  <si>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</si>
  <si>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</si>
  <si>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</si>
  <si>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</si>
  <si>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</si>
  <si>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</si>
  <si>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</si>
  <si>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</si>
  <si>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</si>
  <si>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</si>
  <si>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</si>
  <si>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</si>
  <si>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</si>
  <si>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</si>
  <si>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</si>
  <si>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</si>
  <si>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</si>
  <si>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</si>
  <si>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</si>
  <si>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</si>
  <si>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</si>
  <si>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</si>
  <si>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</si>
  <si>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</si>
  <si>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</si>
  <si>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</si>
  <si>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</si>
  <si>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</si>
  <si>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</si>
  <si>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</si>
  <si>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</si>
  <si>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</si>
  <si>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</si>
  <si>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</si>
  <si>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</si>
  <si>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</si>
  <si>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</si>
  <si>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</si>
  <si>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</si>
  <si>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</si>
  <si>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</si>
  <si>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</si>
  <si>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</si>
  <si>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</si>
  <si>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</si>
  <si>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</si>
  <si>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</si>
  <si>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</si>
  <si>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</si>
  <si>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</si>
  <si>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</si>
  <si>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</si>
  <si>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</si>
  <si>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</si>
  <si>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</si>
  <si>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</si>
  <si>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</si>
  <si>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</si>
  <si>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</si>
  <si>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</si>
  <si>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</si>
  <si>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</si>
  <si>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</si>
  <si>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</si>
  <si>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</si>
  <si>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</si>
  <si>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</si>
  <si>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</si>
  <si>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</si>
  <si>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</si>
  <si>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</si>
  <si>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</si>
  <si>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</si>
  <si>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</si>
  <si>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</si>
  <si>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</si>
  <si>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</si>
  <si>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</si>
  <si>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</si>
  <si>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</si>
  <si>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</si>
  <si>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</si>
  <si>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</si>
  <si>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</si>
  <si>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</si>
  <si>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</si>
  <si>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</si>
  <si>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</si>
  <si>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</si>
  <si>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</si>
  <si>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</si>
  <si>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</si>
  <si>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</si>
  <si>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</si>
  <si>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</si>
  <si>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</si>
  <si>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</si>
  <si>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</si>
  <si>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</si>
  <si>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</si>
  <si>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</si>
  <si>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</si>
  <si>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</si>
  <si>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</si>
  <si>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</si>
  <si>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</si>
  <si>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</si>
  <si>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</si>
  <si>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</si>
  <si>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</si>
  <si>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</si>
  <si>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</si>
  <si>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</si>
  <si>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</si>
  <si>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</si>
  <si>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</si>
  <si>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</si>
  <si>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</si>
  <si>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</si>
  <si>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</si>
  <si>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</si>
  <si>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</si>
  <si>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</si>
  <si>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</si>
  <si>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</si>
  <si>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</si>
  <si>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</si>
  <si>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</si>
  <si>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</si>
  <si>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</si>
  <si>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</si>
  <si>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</si>
  <si>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</si>
  <si>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</si>
  <si>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</si>
  <si>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</si>
  <si>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</si>
  <si>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</si>
  <si>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</si>
  <si>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</si>
  <si>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</si>
  <si>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</si>
  <si>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</si>
  <si>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</si>
  <si>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</si>
  <si>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</si>
  <si>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</si>
  <si>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</si>
  <si>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</si>
  <si>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</si>
  <si>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</si>
  <si>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</si>
  <si>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</si>
  <si>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</si>
  <si>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</si>
  <si>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</si>
  <si>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</si>
  <si>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</si>
  <si>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</si>
  <si>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</si>
  <si>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</si>
  <si>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</si>
  <si>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</si>
  <si>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</si>
  <si>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</si>
  <si>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</si>
  <si>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</si>
  <si>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</si>
  <si>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</si>
  <si>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</si>
  <si>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</si>
  <si>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</si>
  <si>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</si>
  <si>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</si>
  <si>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</si>
  <si>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</si>
  <si>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</si>
  <si>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</si>
  <si>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</si>
  <si>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</si>
  <si>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</si>
  <si>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</si>
  <si>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</si>
  <si>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</si>
  <si>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</si>
  <si>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</si>
  <si>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</si>
  <si>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</si>
  <si>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</si>
  <si>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</si>
  <si>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</si>
  <si>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</si>
  <si>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</si>
  <si>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</si>
  <si>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</si>
  <si>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</si>
  <si>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</si>
  <si>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</si>
  <si>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</si>
  <si>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</si>
  <si>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</si>
  <si>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</si>
  <si>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</si>
  <si>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</si>
  <si>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</si>
  <si>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</si>
  <si>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</si>
  <si>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</si>
  <si>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</si>
  <si>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</si>
  <si>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</si>
  <si>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</si>
  <si>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</si>
  <si>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</si>
  <si>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</si>
  <si>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</si>
  <si>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</si>
  <si>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</si>
  <si>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</si>
  <si>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</si>
  <si>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</si>
  <si>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</si>
  <si>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</si>
  <si>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</si>
  <si>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</si>
  <si>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</si>
  <si>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</si>
  <si>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</si>
  <si>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</si>
  <si>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</si>
  <si>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</si>
  <si>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</si>
  <si>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</si>
  <si>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</si>
  <si>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</si>
  <si>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</si>
  <si>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</si>
  <si>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</si>
  <si>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</si>
  <si>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</si>
  <si>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</si>
  <si>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</si>
  <si>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</si>
  <si>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</si>
  <si>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</si>
  <si>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</si>
  <si>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</si>
  <si>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</si>
  <si>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</si>
  <si>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</si>
  <si>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</si>
  <si>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</si>
  <si>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</si>
  <si>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</si>
  <si>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</si>
  <si>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</si>
  <si>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</si>
  <si>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</si>
  <si>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</si>
  <si>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</si>
  <si>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</si>
  <si>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</si>
  <si>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</si>
  <si>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</si>
  <si>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</si>
  <si>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</si>
  <si>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</si>
  <si>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</si>
  <si>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</si>
  <si>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</si>
  <si>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</si>
  <si>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</si>
  <si>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</si>
  <si>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</si>
  <si>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</si>
  <si>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</si>
  <si>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</si>
  <si>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</si>
  <si>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</si>
  <si>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</si>
  <si>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</si>
  <si>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</si>
  <si>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</si>
  <si>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</si>
  <si>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</si>
  <si>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</si>
  <si>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</si>
  <si>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</si>
  <si>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</si>
  <si>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</si>
  <si>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</si>
  <si>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</si>
  <si>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</si>
  <si>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</si>
  <si>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</si>
  <si>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</si>
  <si>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</si>
  <si>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</si>
  <si>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</si>
  <si>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</si>
  <si>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</si>
  <si>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</si>
  <si>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</si>
  <si>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</si>
  <si>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</si>
  <si>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</si>
  <si>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</si>
  <si>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</si>
  <si>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</si>
  <si>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</si>
  <si>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</si>
  <si>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</si>
  <si>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</si>
  <si>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</si>
  <si>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</si>
  <si>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</si>
  <si>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</si>
  <si>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</si>
  <si>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</si>
  <si>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</si>
  <si>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</si>
  <si>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</si>
  <si>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</si>
  <si>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</si>
  <si>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</si>
  <si>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</si>
  <si>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</si>
  <si>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</si>
  <si>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</si>
  <si>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</si>
  <si>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</si>
  <si>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</si>
  <si>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</si>
  <si>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</si>
  <si>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</si>
  <si>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</si>
  <si>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</si>
  <si>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</si>
  <si>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</si>
  <si>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</si>
  <si>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</si>
  <si>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</si>
  <si>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</si>
  <si>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</si>
  <si>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</si>
  <si>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</si>
  <si>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</si>
  <si>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</si>
  <si>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</si>
  <si>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</si>
  <si>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</si>
  <si>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</si>
  <si>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</si>
  <si>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</si>
  <si>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</si>
  <si>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</si>
  <si>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</si>
  <si>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</si>
  <si>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</si>
  <si>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</si>
  <si>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</si>
  <si>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</si>
  <si>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</si>
  <si>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</si>
  <si>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</si>
  <si>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</si>
  <si>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</si>
  <si>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</si>
  <si>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</si>
  <si>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</si>
  <si>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</si>
  <si>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</si>
  <si>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</si>
  <si>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</si>
  <si>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</si>
  <si>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</si>
  <si>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</si>
  <si>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</si>
  <si>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</si>
  <si>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</si>
  <si>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</si>
  <si>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</si>
  <si>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</si>
  <si>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</si>
  <si>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</si>
  <si>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</si>
  <si>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</si>
  <si>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</si>
  <si>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</si>
  <si>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</si>
  <si>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</si>
  <si>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</si>
  <si>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</si>
  <si>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</si>
  <si>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</si>
  <si>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</si>
  <si>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</si>
  <si>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</si>
  <si>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</si>
  <si>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</si>
  <si>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</si>
  <si>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</si>
  <si>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</si>
  <si>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</si>
  <si>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</si>
  <si>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</si>
  <si>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</si>
  <si>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</si>
  <si>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</si>
  <si>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</si>
  <si>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</si>
  <si>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</si>
  <si>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</si>
  <si>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</si>
  <si>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</si>
  <si>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</si>
  <si>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</si>
  <si>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</si>
  <si>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</si>
  <si>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</si>
  <si>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</si>
  <si>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</si>
  <si>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</si>
  <si>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</si>
  <si>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</si>
  <si>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</si>
  <si>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</si>
  <si>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</si>
  <si>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</si>
  <si>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</si>
  <si>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</si>
  <si>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</si>
  <si>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</si>
  <si>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</si>
  <si>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</si>
  <si>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</si>
  <si>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</si>
  <si>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</si>
  <si>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</si>
  <si>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</si>
  <si>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</si>
  <si>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</si>
  <si>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</si>
  <si>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</si>
  <si>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</si>
  <si>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</si>
  <si>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</si>
  <si>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</si>
  <si>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</si>
  <si>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</si>
  <si>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</si>
  <si>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</si>
  <si>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</si>
  <si>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</si>
  <si>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</si>
  <si>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</si>
  <si>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</si>
  <si>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</si>
  <si>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</si>
  <si>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</si>
  <si>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</si>
  <si>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</si>
  <si>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</si>
  <si>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</si>
  <si>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</si>
  <si>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</si>
  <si>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</si>
  <si>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</si>
  <si>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</si>
  <si>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</si>
  <si>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</si>
  <si>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</si>
  <si>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</si>
  <si>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</si>
  <si>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</si>
  <si>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</si>
  <si>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</si>
  <si>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SoFed Easy Out Fixed - 15</t>
  </si>
  <si>
    <t>https://neccoopenergy.com/wp-content/uploads/2026/09/EFL-10-1-26-RESIDENTIAL-Centerpoint.pdf</t>
  </si>
  <si>
    <t>https://neccoopenergy.com/wp-content/uploads/2026/09/EFL-10-1-26-RESIDENTIAL-Oncor.pdf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</si>
  <si>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</si>
  <si>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</si>
  <si>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</si>
  <si>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</si>
  <si>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</si>
  <si>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</si>
  <si>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</si>
  <si>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</si>
  <si>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</si>
  <si>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</si>
  <si>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</si>
  <si>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</si>
  <si>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</si>
  <si>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</si>
  <si>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</si>
  <si>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</si>
  <si>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</si>
  <si>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</si>
  <si>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</si>
  <si>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</si>
  <si>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</si>
  <si>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</si>
  <si>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</si>
  <si>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</si>
  <si>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</si>
  <si>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</si>
  <si>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</si>
  <si>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</si>
  <si>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</si>
  <si>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</si>
  <si>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</si>
  <si>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</si>
  <si>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</si>
  <si>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</si>
  <si>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</si>
  <si>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</si>
  <si>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</si>
  <si>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</si>
  <si>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</si>
  <si>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True Value 7</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</si>
  <si>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</si>
  <si>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</si>
  <si>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</si>
  <si>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</si>
  <si>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</si>
  <si>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</si>
  <si>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</si>
  <si>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</si>
  <si>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</si>
  <si>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</si>
  <si>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</si>
  <si>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</si>
  <si>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</si>
  <si>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</si>
  <si>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</si>
  <si>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</si>
  <si>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</si>
  <si>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</si>
  <si>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</si>
  <si>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</si>
  <si>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</si>
  <si>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</si>
  <si>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</si>
  <si>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</si>
  <si>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</si>
  <si>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</si>
  <si>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</si>
  <si>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</si>
  <si>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</si>
  <si>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</si>
  <si>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</si>
  <si>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</si>
  <si>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</si>
  <si>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</si>
  <si>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</si>
  <si>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</si>
  <si>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</si>
  <si>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</si>
  <si>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</si>
  <si>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</si>
  <si>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</si>
  <si>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</si>
  <si>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</si>
  <si>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</si>
  <si>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</si>
  <si>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</si>
  <si>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</si>
  <si>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</si>
  <si>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</si>
  <si>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</si>
  <si>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</si>
  <si>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</si>
  <si>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</si>
  <si>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</si>
  <si>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</si>
  <si>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</si>
  <si>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</si>
  <si>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</si>
  <si>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</si>
  <si>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</si>
  <si>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</si>
  <si>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</si>
  <si>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</si>
  <si>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</si>
  <si>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</si>
  <si>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</si>
  <si>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</si>
  <si>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</si>
  <si>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</si>
  <si>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</si>
  <si>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</si>
  <si>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</si>
  <si>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</si>
  <si>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</si>
  <si>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</si>
  <si>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</si>
  <si>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</si>
  <si>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</si>
  <si>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</si>
  <si>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</si>
  <si>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</si>
  <si>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</si>
  <si>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</si>
  <si>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</si>
  <si>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</si>
  <si>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</si>
  <si>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</si>
  <si>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</si>
  <si>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</si>
  <si>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</si>
  <si>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</si>
  <si>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</si>
  <si>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</si>
  <si>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</si>
  <si>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</si>
  <si>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</si>
  <si>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</si>
  <si>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</si>
  <si>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</si>
  <si>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</si>
  <si>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</si>
  <si>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</si>
  <si>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</si>
  <si>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</si>
  <si>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</si>
  <si>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</si>
  <si>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SoFed Easy Out Fixed - 8</t>
  </si>
  <si>
    <t>https://gb008a8dbfa8724-worx4uv1.adb.us-ashburn-1.oraclecloudapps.com/ords/worx4u/admin/efls/5D4237A797597E98E063EBF2000A7386/view</t>
  </si>
  <si>
    <t>https://gb008a8dbfa8724-worx4uv1.adb.us-ashburn-1.oraclecloudapps.com/ords/worx4u/admin/efls/5D423973306A949AE063EBF2000AE413/view</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</si>
  <si>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</si>
  <si>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</si>
  <si>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</si>
  <si>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</si>
  <si>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</si>
  <si>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</si>
  <si>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</si>
  <si>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</si>
  <si>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</si>
  <si>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</si>
  <si>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</si>
  <si>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</si>
  <si>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</si>
  <si>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</si>
  <si>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</si>
  <si>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</si>
  <si>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</si>
  <si>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</si>
  <si>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</si>
  <si>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</si>
  <si>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</si>
  <si>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</si>
  <si>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</si>
  <si>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</si>
  <si>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</si>
  <si>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</si>
  <si>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</si>
  <si>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</si>
  <si>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</si>
  <si>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</si>
  <si>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</si>
  <si>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</si>
  <si>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</si>
  <si>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</si>
  <si>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</si>
  <si>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</si>
  <si>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</si>
  <si>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</si>
  <si>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</si>
  <si>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</si>
  <si>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</si>
  <si>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https://gb008a8dbfa8724-worx4uv1.adb.us-ashburn-1.oraclecloudapps.com/ords/worx4u/admin/efls/5DBFE4B769878BBEE063E9F2000A2209/view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</si>
  <si>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</si>
  <si>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</si>
  <si>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</si>
  <si>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</si>
  <si>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</si>
  <si>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</si>
  <si>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</si>
  <si>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</si>
  <si>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</si>
  <si>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</si>
  <si>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</si>
  <si>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</si>
  <si>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</si>
  <si>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</si>
  <si>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</si>
  <si>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</si>
  <si>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</si>
  <si>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</si>
  <si>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</si>
  <si>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</si>
  <si>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</si>
  <si>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</si>
  <si>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</si>
  <si>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</si>
  <si>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</si>
  <si>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</si>
  <si>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</si>
  <si>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</si>
  <si>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</si>
  <si>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</si>
  <si>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</si>
  <si>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</si>
  <si>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</si>
  <si>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</si>
  <si>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</si>
  <si>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</si>
  <si>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https://signup.chariotenergy.com//Home/TOS?productId=48235</t>
  </si>
  <si>
    <t>https://signup.chariotenergy.com//Home/TOS?productId=48236</t>
  </si>
  <si>
    <t>No Gimmicks Green 36</t>
  </si>
  <si>
    <t>https://signup.budgetpowertx.com/Home/index?ProductCode=RN36000941&amp;Promo=PTC</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</si>
  <si>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</si>
  <si>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</si>
  <si>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</si>
  <si>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</si>
  <si>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</si>
  <si>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</si>
  <si>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</si>
  <si>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</si>
  <si>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</si>
  <si>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</si>
  <si>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</si>
  <si>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</si>
  <si>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</si>
  <si>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</si>
  <si>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</si>
  <si>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</si>
  <si>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</si>
  <si>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</si>
  <si>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</si>
  <si>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</si>
  <si>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</si>
  <si>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</si>
  <si>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</si>
  <si>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</si>
  <si>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</si>
  <si>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https://empowerdocs.blob.core.windows.net/yracdocuments/SFE_Energy_YRAC_OCT_2026_English_then_Spanish.pdf_0.PDF</t>
  </si>
  <si>
    <t>https://texas.smartenergy.com/docs/efls/output/20261020_F_CPT_SG3_M2001.pdf</t>
  </si>
  <si>
    <t>https://texas.smartenergy.com/docs/efls/output/20261020_F_ONC_SG3_M2001.pdf</t>
  </si>
  <si>
    <t>https://signup.budgetpowertx.com/Home/TOS?productId=35297</t>
  </si>
  <si>
    <t>https://signup.budgetpowertx.com/Home/TOS?productId=35300</t>
  </si>
  <si>
    <t>https://signup.chariotenergy.com//Home/TOS?productId=48256</t>
  </si>
  <si>
    <t>https://signup.chariotenergy.com//Home/TOS?productId=48259</t>
  </si>
  <si>
    <t>https://signup.chariotenergy.com//Home/TOS?productId=48260</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</si>
  <si>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</si>
  <si>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</si>
  <si>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</si>
  <si>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</si>
  <si>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</si>
  <si>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</si>
  <si>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https://signup.budgetpowertx.com/Home/YRAC?productId=35300</t>
  </si>
  <si>
    <t>https://signup.budgetpowertx.com/Home/EFL?productId=35300&amp;Promo=</t>
  </si>
  <si>
    <t>https://signup.chariotenergy.com//Home/YRAC?productId=48256</t>
  </si>
  <si>
    <t>https://signup.chariotenergy.com//Home/EFl?productId=48256</t>
  </si>
  <si>
    <t>https://signup.chariotenergy.com//Home/YRAC?productId=48259</t>
  </si>
  <si>
    <t>https://signup.chariotenergy.com//Home/EFl?productId=48259</t>
  </si>
  <si>
    <t>https://signup.chariotenergy.com//Home/YRAC?productId=48260</t>
  </si>
  <si>
    <t>https://signup.chariotenergy.com//Home/EFl?productId=48260</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</si>
  <si>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</si>
  <si>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</si>
  <si>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</si>
  <si>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</si>
  <si>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</si>
  <si>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</si>
  <si>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</si>
  <si>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</si>
  <si>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</si>
  <si>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</si>
  <si>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</si>
  <si>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https://www.constellation.com/bin/residential/GetContractVersionPDF?versionNum=5046554</t>
  </si>
  <si>
    <t>https://www.constellation.com/bin/residential/GetContractVersionPDF?versionNum=5046542</t>
  </si>
  <si>
    <t>https://www.constellation.com/bin/residential/GetContractVersionPDF?versionNum=5046544</t>
  </si>
  <si>
    <t>Simple Switch 8</t>
  </si>
  <si>
    <t>https://www.constellation.com/bin/residential/GetContractVersionPDF?versionNum=5046548</t>
  </si>
  <si>
    <t>https://www.constellation.com/bin/residential/GetContractVersionPDF?versionNum=5046558</t>
  </si>
  <si>
    <t>https://www.constellation.com/bin/residential/GetContractVersionPDF?versionNum=5046550</t>
  </si>
  <si>
    <t>https://www.constellation.com/bin/residential/GetContractVersionPDF?versionNum=5046540</t>
  </si>
  <si>
    <t>https://www.constellation.com/bin/residential/GetContractVersionPDF?versionNum=5046552</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</si>
  <si>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</si>
  <si>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</si>
  <si>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</si>
  <si>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</si>
  <si>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</si>
  <si>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</si>
  <si>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</si>
  <si>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</si>
  <si>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</si>
  <si>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</si>
  <si>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</si>
  <si>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</si>
  <si>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</si>
  <si>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</si>
  <si>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</si>
  <si>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</si>
  <si>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</si>
  <si>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</si>
  <si>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</si>
  <si>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</si>
  <si>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</si>
  <si>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</si>
  <si>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</si>
  <si>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</si>
  <si>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</si>
  <si>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</si>
  <si>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</si>
  <si>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</si>
  <si>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</si>
  <si>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</si>
  <si>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</si>
  <si>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</si>
  <si>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</si>
  <si>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</si>
  <si>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</si>
  <si>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</si>
  <si>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</si>
  <si>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</si>
  <si>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</si>
  <si>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https://octopusenergy.com/efl?productId=OCTOPUS-FLEX&amp;serviceProvider=ONCOR&amp;loadZone=LZ_NORTH</t>
  </si>
  <si>
    <t>https://octopusenergy.com/efl?productId=OCTOPUS-FLEX&amp;serviceProvider=CENTERPOINT&amp;loadZone=LZ_HOUSTON</t>
  </si>
  <si>
    <t>Octo Simple 8</t>
  </si>
  <si>
    <t>Unlock our 8-month fixed-rate plan with 100% renewable electricity. Enjoy price stability and a shorter commitment.</t>
  </si>
  <si>
    <t>https://octopusenergy.com/efl?productId=OCTO-SIMPLE-8&amp;serviceProvider=CENTERPOINT&amp;loadZone=LZ_HOUSTON</t>
  </si>
  <si>
    <t>Octo Green 8</t>
  </si>
  <si>
    <t>https://octopusenergy.com/efl?productId=OCTO-SIMPLE-8&amp;serviceProvider=ONCOR&amp;loadZone=LZ_NORTH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</si>
  <si>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</si>
  <si>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</si>
  <si>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</si>
  <si>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</si>
  <si>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https://octopusenergy.com/efl?productId=OCTO-SIMPLE-24&amp;serviceProvider=CENTERPOINT&amp;loadZone=LZ_HOUSTON</t>
  </si>
  <si>
    <t>https://octopusenergy.com/efl?productId=OCTO-SIMPLE-24&amp;serviceProvider=ONCOR&amp;loadZone=LZ_NORTH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</si>
  <si>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</si>
  <si>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</si>
  <si>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</si>
  <si>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</si>
  <si>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</si>
  <si>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</si>
  <si>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</si>
  <si>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</si>
  <si>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</si>
  <si>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</si>
  <si>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</si>
  <si>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</si>
  <si>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</si>
  <si>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</si>
  <si>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</si>
  <si>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</si>
  <si>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</si>
  <si>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</si>
  <si>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https://gb008a8dbfa8724-worx4uv1.adb.us-ashburn-1.oraclecloudapps.com/ords/worx4u/document/efl/5E36BD6A2AE2B5CCE063E9F2000A55EC</t>
  </si>
  <si>
    <t>https://gb008a8dbfa8724-worx4uv1.adb.us-ashburn-1.oraclecloudapps.com/ords/worx4u/document/efl/5E36B2CEB865617FE063E9F2000A1DDD</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</si>
  <si>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</si>
  <si>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</si>
  <si>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</si>
  <si>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</si>
  <si>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</si>
  <si>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</si>
  <si>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https://eflviewer.gexaenergy.com/eflviewer.aspx?lang=EN&amp;prodcode=GXAECOCHI8&amp;tdspcode=ONCOR_ELEC&amp;ppid=196789&amp;logid=85960&amp;filename=ONCOR_ELEC_GXAECOCHI8_20261022_0000_85960</t>
  </si>
  <si>
    <t>https://eflviewer.gexaenergy.com/eflviewer.aspx?lang=EN&amp;prodcode=GXAECOCHI8&amp;tdspcode=CNP&amp;ppid=196786&amp;logid=85959&amp;filename=CNP_GXAECOCHI8_20261022_0000_85959</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</si>
  <si>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</si>
  <si>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</si>
  <si>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</si>
  <si>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</si>
  <si>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https://bit.ly/4z51MEz</t>
  </si>
  <si>
    <t>https://bit.ly/4emycSo</t>
  </si>
  <si>
    <t>https://bit.ly/47RGsGF</t>
  </si>
  <si>
    <t>https://bit.ly/47t9zjj</t>
  </si>
  <si>
    <t>https://bit.ly/4zJl5mq</t>
  </si>
  <si>
    <t>https://bit.ly/4yDSpuu</t>
  </si>
  <si>
    <t>https://gb008a8dbfa8724-worx4uv1.adb.us-ashburn-1.oraclecloudapps.com/ords/worx4u/admin/efls/5E60A6F9AD6268A8E063E9F2000AA672/view</t>
  </si>
  <si>
    <t>https://signup.chariotenergy.com//Home/TOS?productId=48324</t>
  </si>
  <si>
    <t>https://signup.chariotenergy.com//Home/TOS?productId=48323</t>
  </si>
  <si>
    <t>https://signup.chariotenergy.com//Home/TOS?productId=48321</t>
  </si>
  <si>
    <t>https://signup.chariotenergy.com//Home/YRAC?productId=48324</t>
  </si>
  <si>
    <t>https://signup.chariotenergy.com//Home/EFl?productId=48324</t>
  </si>
  <si>
    <t>https://signup.chariotenergy.com//Home/YRAC?productId=48323</t>
  </si>
  <si>
    <t>https://signup.chariotenergy.com//Home/EFl?productId=48323</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</si>
  <si>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</si>
  <si>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</si>
  <si>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</si>
  <si>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</si>
  <si>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</si>
  <si>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</si>
  <si>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https://gb008a8dbfa8724-worx4uv1.adb.us-ashburn-1.oraclecloudapps.com/ords/worx4u/admin/efls/5E88114C57222D22E063E9F2000A3F22/view</t>
  </si>
  <si>
    <t>https://gb008a8dbfa8724-worx4uv1.adb.us-ashburn-1.oraclecloudapps.com/ords/worx4u/admin/efls/5E889AA700A784CEE063E9F2000A67C2/view</t>
  </si>
  <si>
    <t>https://gb008a8dbfa8724-worx4uv1.adb.us-ashburn-1.oraclecloudapps.com/ords/worx4u/admin/efls/5E888FDD1DB22DE3E063E9F2000A9795/view</t>
  </si>
  <si>
    <t>https://enroll.bkvenergy.com/Home/TOS?productId=42124</t>
  </si>
  <si>
    <t>20240726</t>
  </si>
  <si>
    <t>https://enroll.bkvenergy.com/Home/TOS?productID=35916</t>
  </si>
  <si>
    <t>https://signup.budgetpowertx.com/Home/TOS?productId=35317</t>
  </si>
  <si>
    <t>https://signup.budgetpowertx.com/Home/TOS?productId=35319</t>
  </si>
  <si>
    <t>https://signup.budgetpowertx.com/Home/TOS?productId=35318</t>
  </si>
  <si>
    <t>https://signup.budgetpowertx.com/Home/TOS?productId=35314</t>
  </si>
  <si>
    <t>https://signup.budgetpowertx.com/Home/TOS?productId=35315</t>
  </si>
  <si>
    <t>https://signup.budgetpowertx.com/Home/TOS?productId=35313</t>
  </si>
  <si>
    <t>https://signup.budgetpowertx.com/Home/TOS?productId=35316</t>
  </si>
  <si>
    <t>https://signup.budgetpowertx.com/Home/TOS?productId=35320</t>
  </si>
  <si>
    <t>https://gb008a8dbfa8724-worx4uv1.adb.us-ashburn-1.oraclecloudapps.com/ords/worx4u/document/efl/5EC0DEDA1D87A330E063E9F2000A7D03</t>
  </si>
  <si>
    <t>https://gb008a8dbfa8724-worx4uv1.adb.us-ashburn-1.oraclecloudapps.com/ords/worx4u/document/efl/5EC0D0784F0D1939E063E9F2000A3629</t>
  </si>
  <si>
    <t>https://gb008a8dbfa8724-worx4uv1.adb.us-ashburn-1.oraclecloudapps.com/ords/worx4u/document/efl/5EC0DEDA1DC0A330E063E9F2000A7D03</t>
  </si>
  <si>
    <t>https://gb008a8dbfa8724-worx4uv1.adb.us-ashburn-1.oraclecloudapps.com/ords/worx4u/document/efl/5EC0EBB876E70DABE063E9F2000A58CF</t>
  </si>
  <si>
    <t>https://gb008a8dbfa8724-worx4uv1.adb.us-ashburn-1.oraclecloudapps.com/ords/worx4u/document/efl/5EC0EB6B4DB60D1FE063E9F2000A3602</t>
  </si>
  <si>
    <t>https://gb008a8dbfa8724-worx4uv1.adb.us-ashburn-1.oraclecloudapps.com/ords/worx4u/document/efl/5EC0D29729144186E063E9F2000AE01D</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</si>
  <si>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</si>
  <si>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</si>
  <si>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</si>
  <si>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</si>
  <si>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</si>
  <si>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https://signup.budgetpowertx.com/Home/YRAC?productId=35317</t>
  </si>
  <si>
    <t>https://signup.budgetpowertx.com/Home/EFL?productId=35317&amp;Promo=</t>
  </si>
  <si>
    <t>https://signup.budgetpowertx.com/Home/YRAC?productId=35319</t>
  </si>
  <si>
    <t>https://signup.budgetpowertx.com/Home/EFL?productId=35319&amp;Promo=</t>
  </si>
  <si>
    <t>https://signup.budgetpowertx.com/Home/YRAC?productId=35318</t>
  </si>
  <si>
    <t>https://signup.budgetpowertx.com/Home/EFL?productId=35318&amp;Promo=</t>
  </si>
  <si>
    <t>https://signup.budgetpowertx.com/Home/YRAC?productId=35314</t>
  </si>
  <si>
    <t>https://signup.budgetpowertx.com/Home/EFL?productId=35314&amp;Promo=</t>
  </si>
  <si>
    <t>https://signup.budgetpowertx.com/Home/YRAC?productId=35315</t>
  </si>
  <si>
    <t>https://signup.budgetpowertx.com/Home/EFL?productId=35315&amp;Promo=</t>
  </si>
  <si>
    <t>https://signup.budgetpowertx.com/Home/YRAC?productId=35313</t>
  </si>
  <si>
    <t>https://signup.budgetpowertx.com/Home/EFL?productId=35313&amp;Promo=</t>
  </si>
  <si>
    <t>https://signup.budgetpowertx.com/Home/YRAC?productId=35316</t>
  </si>
  <si>
    <t>https://signup.budgetpowertx.com/Home/EFL?productId=35316&amp;Promo=</t>
  </si>
  <si>
    <t>https://signup.budgetpowertx.com/Home/YRAC?productId=35320</t>
  </si>
  <si>
    <t>https://signup.budgetpowertx.com/Home/EFL?productId=35320&amp;Promo=</t>
  </si>
  <si>
    <t>https://88fd201f32c53c2bd0fb-11ba98ed637230a2314ec7c228a44bda.ssl.cf5.rackcdn.com/202610/EFL-20261026-130100-CENTERPT-Essential Infusion Flex (English).pdf</t>
  </si>
  <si>
    <t>https://www.infuseenergy.com/signup/signup-step1/?id=1695417&amp;promotion=NONE&amp;valid=N&amp;referral=&amp;landingpage=ptc</t>
  </si>
  <si>
    <t>https://88fd201f32c53c2bd0fb-11ba98ed637230a2314ec7c228a44bda.ssl.cf5.rackcdn.com/202610/EFL-20261026-130100-ONCORD-Essential Infusion Flex (English).pdf</t>
  </si>
  <si>
    <t>https://www.infuseenergy.com/signup/signup-step1/?id=1695418&amp;promotion=NONE&amp;valid=N&amp;referral=&amp;landingpage=ptc</t>
  </si>
  <si>
    <t>https://88fd201f32c53c2bd0fb-11ba98ed637230a2314ec7c228a44bda.ssl.cf5.rackcdn.com/202610/EFL-20261026-130100-CENTERPT-Essential Infusion Green Flex (English).pdf</t>
  </si>
  <si>
    <t>https://www.infuseenergy.com/signup/signup-step1/?id=1695402&amp;promotion=NONE&amp;valid=N&amp;referral=&amp;landingpage=ptc</t>
  </si>
  <si>
    <t>https://88fd201f32c53c2bd0fb-11ba98ed637230a2314ec7c228a44bda.ssl.cf5.rackcdn.com/202610/EFL-20261026-130100-ONCORD-Essential Infusion Green Flex (English).pdf</t>
  </si>
  <si>
    <t>https://www.infuseenergy.com/signup/signup-step1/?id=1695403&amp;promotion=NONE&amp;valid=N&amp;referral=&amp;landingpage=ptc</t>
  </si>
  <si>
    <t>https://88fd201f32c53c2bd0fb-11ba98ed637230a2314ec7c228a44bda.ssl.cf5.rackcdn.com/202610/EFL-20261026-130100-CENTERPT-PTC Green Infusion Flex (English).pdf</t>
  </si>
  <si>
    <t>https://www.infuseenergy.com/signup/signup-step1/?id=1695447&amp;promotion=NONE&amp;valid=N&amp;referral=&amp;landingpage=ptc</t>
  </si>
  <si>
    <t>https://88fd201f32c53c2bd0fb-11ba98ed637230a2314ec7c228a44bda.ssl.cf5.rackcdn.com/202610/EFL-20261026-130100-ONCORD-PTC Green Infusion Flex (English).pdf</t>
  </si>
  <si>
    <t>https://www.infuseenergy.com/signup/signup-step1/?id=1695448&amp;promotion=NONE&amp;valid=N&amp;referral=&amp;landingpage=ptc</t>
  </si>
  <si>
    <t>https://88fd201f32c53c2bd0fb-11ba98ed637230a2314ec7c228a44bda.ssl.cf5.rackcdn.com/202610/EFL-20261026-130100-CENTERPT-PTC Infusion Flex (English).pdf</t>
  </si>
  <si>
    <t>https://www.infuseenergy.com/signup/signup-step1/?id=1695452&amp;promotion=NONE&amp;valid=N&amp;referral=&amp;landingpage=ptc</t>
  </si>
  <si>
    <t>https://88fd201f32c53c2bd0fb-11ba98ed637230a2314ec7c228a44bda.ssl.cf5.rackcdn.com/202610/EFL-20261026-130100-ONCORD-PTC Infusion Flex (English).pdf</t>
  </si>
  <si>
    <t>https://www.infuseenergy.com/signup/signup-step1/?id=1695453&amp;promotion=NONE&amp;valid=N&amp;referral=&amp;landingpage=ptc</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</si>
  <si>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</si>
  <si>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</si>
  <si>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</si>
  <si>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</si>
  <si>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https://88fd201f32c53c2bd0fb-11ba98ed637230a2314ec7c228a44bda.ssl.cf5.rackcdn.com/202610/EFL-20261026-130100-CENTERPT-Essential Infusion 6 (English).pdf</t>
  </si>
  <si>
    <t>https://www.infuseenergy.com/signup/signup-step1/?id=1695437&amp;promotion=NONE&amp;valid=N&amp;referral=&amp;landingpage=ptc</t>
  </si>
  <si>
    <t>https://88fd201f32c53c2bd0fb-11ba98ed637230a2314ec7c228a44bda.ssl.cf5.rackcdn.com/202610/EFL-20261026-130100-ONCORD-Essential Infusion 6 (English).pdf</t>
  </si>
  <si>
    <t>https://www.infuseenergy.com/signup/signup-step1/?id=1695438&amp;promotion=NONE&amp;valid=N&amp;referral=&amp;landingpage=ptc</t>
  </si>
  <si>
    <t>https://88fd201f32c53c2bd0fb-11ba98ed637230a2314ec7c228a44bda.ssl.cf5.rackcdn.com/202610/EFL-20261026-130100-CENTERPT-Essential Infusion 12 (English).pdf</t>
  </si>
  <si>
    <t>https://www.infuseenergy.com/signup/signup-step1/?id=1695407&amp;promotion=NONE&amp;valid=N&amp;referral=&amp;landingpage=ptc</t>
  </si>
  <si>
    <t>https://88fd201f32c53c2bd0fb-11ba98ed637230a2314ec7c228a44bda.ssl.cf5.rackcdn.com/202610/EFL-20261026-130100-ONCORD-Essential Infusion 12 (English).pdf</t>
  </si>
  <si>
    <t>https://www.infuseenergy.com/signup/signup-step1/?id=1695408&amp;promotion=NONE&amp;valid=N&amp;referral=&amp;landingpage=ptc</t>
  </si>
  <si>
    <t>https://88fd201f32c53c2bd0fb-11ba98ed637230a2314ec7c228a44bda.ssl.cf5.rackcdn.com/202610/EFL-20261026-130100-CENTERPT-Essential Infusion 24 (English).pdf</t>
  </si>
  <si>
    <t>https://www.infuseenergy.com/signup/signup-step1/?id=1695422&amp;promotion=NONE&amp;valid=N&amp;referral=&amp;landingpage=ptc</t>
  </si>
  <si>
    <t>https://88fd201f32c53c2bd0fb-11ba98ed637230a2314ec7c228a44bda.ssl.cf5.rackcdn.com/202610/EFL-20261026-130100-ONCORD-Essential Infusion 24 (English).pdf</t>
  </si>
  <si>
    <t>https://www.infuseenergy.com/signup/signup-step1/?id=1695423&amp;promotion=NONE&amp;valid=N&amp;referral=&amp;landingpage=ptc</t>
  </si>
  <si>
    <t>https://88fd201f32c53c2bd0fb-11ba98ed637230a2314ec7c228a44bda.ssl.cf5.rackcdn.com/202610/EFL-20261026-130100-CENTERPT-Essential Infusion 36 (English).pdf</t>
  </si>
  <si>
    <t>https://www.infuseenergy.com/signup/signup-step1/?id=1695427&amp;promotion=NONE&amp;valid=N&amp;referral=&amp;landingpage=ptc</t>
  </si>
  <si>
    <t>https://88fd201f32c53c2bd0fb-11ba98ed637230a2314ec7c228a44bda.ssl.cf5.rackcdn.com/202610/EFL-20261026-130100-ONCORD-Essential Infusion 36 (English).pdf</t>
  </si>
  <si>
    <t>https://www.infuseenergy.com/signup/signup-step1/?id=1695428&amp;promotion=NONE&amp;valid=N&amp;referral=&amp;landingpage=ptc</t>
  </si>
  <si>
    <t>https://e966f83b313c3b45ede3-64a631b37f7b69cdf842d11bca52af9c.ssl.cf5.rackcdn.com//202610/EFL-20261026-132100-CENTERPT-Stars and Stripes Flex (English).pdf</t>
  </si>
  <si>
    <t>https://www.joinarevolution.com/signup/signup-step1/?id=394255&amp;promotion=NONE&amp;valid=N&amp;referral=&amp;landingpage=ptc</t>
  </si>
  <si>
    <t>https://e966f83b313c3b45ede3-64a631b37f7b69cdf842d11bca52af9c.ssl.cf5.rackcdn.com//202610/EFL-20261026-132100-ONCORD-Stars and Stripes Flex (English).pdf</t>
  </si>
  <si>
    <t>https://www.joinarevolution.com/signup/signup-step1/?id=394256&amp;promotion=NONE&amp;valid=N&amp;referral=&amp;landingpage=ptc</t>
  </si>
  <si>
    <t>https://e966f83b313c3b45ede3-64a631b37f7b69cdf842d11bca52af9c.ssl.cf5.rackcdn.com//202610/EFL-20261026-132100-CENTERPT-Stars and Stripes Green Flex (English).pdf</t>
  </si>
  <si>
    <t>https://www.joinarevolution.com/signup/signup-step1/?id=394240&amp;promotion=NONE&amp;valid=N&amp;referral=&amp;landingpage=ptc</t>
  </si>
  <si>
    <t>https://e966f83b313c3b45ede3-64a631b37f7b69cdf842d11bca52af9c.ssl.cf5.rackcdn.com//202610/EFL-20261026-132100-ONCORD-Stars and Stripes Green Flex (English).pdf</t>
  </si>
  <si>
    <t>https://www.joinarevolution.com/signup/signup-step1/?id=394241&amp;promotion=NONE&amp;valid=N&amp;referral=&amp;landingpage=ptc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</si>
  <si>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</si>
  <si>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</si>
  <si>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</si>
  <si>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</si>
  <si>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12 (English).pdf</t>
  </si>
  <si>
    <t>https://www.joinarevolution.com/signup/signup-step1/?id=394245&amp;promotion=NONE&amp;valid=N&amp;referral=&amp;landingpage=ptc</t>
  </si>
  <si>
    <t>https://e966f83b313c3b45ede3-64a631b37f7b69cdf842d11bca52af9c.ssl.cf5.rackcdn.com//202610/EFL-20261026-132100-ONCORD-Stars and Stripes 12 (English).pdf</t>
  </si>
  <si>
    <t>https://www.joinarevolution.com/signup/signup-step1/?id=394246&amp;promotion=NONE&amp;valid=N&amp;referral=&amp;landingpage=ptc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</si>
  <si>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</si>
  <si>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</si>
  <si>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</si>
  <si>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</si>
  <si>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https://e966f83b313c3b45ede3-64a631b37f7b69cdf842d11bca52af9c.ssl.cf5.rackcdn.com//202610/EFL-20261026-132100-CENTERPT-Stars and Stripes 24 (English).pdf</t>
  </si>
  <si>
    <t>https://www.joinarevolution.com/signup/signup-step1/?id=394260&amp;promotion=NONE&amp;valid=N&amp;referral=&amp;landingpage=ptc</t>
  </si>
  <si>
    <t>https://e966f83b313c3b45ede3-64a631b37f7b69cdf842d11bca52af9c.ssl.cf5.rackcdn.com//202610/EFL-20261026-132100-ONCORD-Stars and Stripes 24 (English).pdf</t>
  </si>
  <si>
    <t>https://www.joinarevolution.com/signup/signup-step1/?id=394261&amp;promotion=NONE&amp;valid=N&amp;referral=&amp;landingpage=ptc</t>
  </si>
  <si>
    <t>https://e966f83b313c3b45ede3-64a631b37f7b69cdf842d11bca52af9c.ssl.cf5.rackcdn.com//202610/EFL-20261026-132100-CENTERPT-Stars and Stripes 36 (English).pdf</t>
  </si>
  <si>
    <t>https://www.joinarevolution.com/signup/signup-step1/?id=394265&amp;promotion=NONE&amp;valid=N&amp;referral=&amp;landingpage=ptc</t>
  </si>
  <si>
    <t>https://e966f83b313c3b45ede3-64a631b37f7b69cdf842d11bca52af9c.ssl.cf5.rackcdn.com//202610/EFL-20261026-132100-ONCORD-Stars and Stripes 36 (English).pdf</t>
  </si>
  <si>
    <t>https://www.joinarevolution.com/signup/signup-step1/?id=394266&amp;promotion=NONE&amp;valid=N&amp;referral=&amp;landingpage=ptc</t>
  </si>
  <si>
    <t>https://e966f83b313c3b45ede3-64a631b37f7b69cdf842d11bca52af9c.ssl.cf5.rackcdn.com//202610/EFL-20261026-132100-CENTERPT-Liberty Bell Flex (English).pdf</t>
  </si>
  <si>
    <t>https://www.joinarevolution.com/signup/signup-step1/?id=394235&amp;promotion=NONE&amp;valid=N&amp;referral=&amp;landingpage=ptc</t>
  </si>
  <si>
    <t>https://e966f83b313c3b45ede3-64a631b37f7b69cdf842d11bca52af9c.ssl.cf5.rackcdn.com//202610/EFL-20261026-132100-ONCORD-Liberty Bell Flex (English).pdf</t>
  </si>
  <si>
    <t>https://www.joinarevolution.com/signup/signup-step1/?id=394236&amp;promotion=NONE&amp;valid=N&amp;referral=&amp;landingpage=ptc</t>
  </si>
  <si>
    <t>https://e966f83b313c3b45ede3-64a631b37f7b69cdf842d11bca52af9c.ssl.cf5.rackcdn.com//202610/EFL-20261026-132100-CENTERPT-Liberty Bell Green Flex (English).pdf</t>
  </si>
  <si>
    <t>https://www.joinarevolution.com/signup/signup-step1/?id=394230&amp;promotion=NONE&amp;valid=N&amp;referral=&amp;landingpage=ptc</t>
  </si>
  <si>
    <t>https://e966f83b313c3b45ede3-64a631b37f7b69cdf842d11bca52af9c.ssl.cf5.rackcdn.com//202610/EFL-20261026-132100-ONCORD-Liberty Bell Green Flex (English).pdf</t>
  </si>
  <si>
    <t>https://www.joinarevolution.com/signup/signup-step1/?id=394231&amp;promotion=NONE&amp;valid=N&amp;referral=&amp;landingpage=ptc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</si>
</sst>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46321.5</c:v>
                </c:pt>
                <c:pt idx="1">
                  <c:v>46322.5</c:v>
                </c:pt>
                <c:pt idx="2">
                  <c:v>46323.5</c:v>
                </c:pt>
                <c:pt idx="3">
                  <c:v>46324.5</c:v>
                </c:pt>
                <c:pt idx="4">
                  <c:v>46325.5</c:v>
                </c:pt>
                <c:pt idx="5">
                  <c:v>46326.5</c:v>
                </c:pt>
                <c:pt idx="6">
                  <c:v>46327.5</c:v>
                </c:pt>
                <c:pt idx="7">
                  <c:v>46328.5</c:v>
                </c:pt>
                <c:pt idx="8">
                  <c:v>46329.5</c:v>
                </c:pt>
                <c:pt idx="9">
                  <c:v>46330.5</c:v>
                </c:pt>
                <c:pt idx="10">
                  <c:v>46331.5</c:v>
                </c:pt>
                <c:pt idx="11">
                  <c:v>46332.5</c:v>
                </c:pt>
                <c:pt idx="12">
                  <c:v>46333.5</c:v>
                </c:pt>
                <c:pt idx="13">
                  <c:v>46334.5</c:v>
                </c:pt>
                <c:pt idx="14">
                  <c:v>46335.5</c:v>
                </c:pt>
                <c:pt idx="15">
                  <c:v>46336.5</c:v>
                </c:pt>
                <c:pt idx="16">
                  <c:v>46337.5</c:v>
                </c:pt>
                <c:pt idx="17">
                  <c:v>46338.5</c:v>
                </c:pt>
                <c:pt idx="18">
                  <c:v>46339.5</c:v>
                </c:pt>
                <c:pt idx="19">
                  <c:v>46340.5</c:v>
                </c:pt>
                <c:pt idx="20">
                  <c:v>46341.5</c:v>
                </c:pt>
                <c:pt idx="21">
                  <c:v>46342.5</c:v>
                </c:pt>
                <c:pt idx="22">
                  <c:v>46343.5</c:v>
                </c:pt>
                <c:pt idx="23">
                  <c:v>46344.5</c:v>
                </c:pt>
                <c:pt idx="24">
                  <c:v>46345.5</c:v>
                </c:pt>
                <c:pt idx="25">
                  <c:v>46346.5</c:v>
                </c:pt>
                <c:pt idx="26">
                  <c:v>46347.5</c:v>
                </c:pt>
                <c:pt idx="27">
                  <c:v>46348.5</c:v>
                </c:pt>
                <c:pt idx="28">
                  <c:v>46349.5</c:v>
                </c:pt>
                <c:pt idx="29">
                  <c:v>46350.5</c:v>
                </c:pt>
                <c:pt idx="30">
                  <c:v>46351.5</c:v>
                </c:pt>
                <c:pt idx="31">
                  <c:v>46352.5</c:v>
                </c:pt>
                <c:pt idx="32">
                  <c:v>46353.5</c:v>
                </c:pt>
                <c:pt idx="33">
                  <c:v>46354.5</c:v>
                </c:pt>
                <c:pt idx="34">
                  <c:v>46355.5</c:v>
                </c:pt>
                <c:pt idx="35">
                  <c:v>46356.5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46321.5</c:v>
                </c:pt>
                <c:pt idx="1">
                  <c:v>46322.5</c:v>
                </c:pt>
                <c:pt idx="2">
                  <c:v>46323.5</c:v>
                </c:pt>
                <c:pt idx="3">
                  <c:v>46324.5</c:v>
                </c:pt>
                <c:pt idx="4">
                  <c:v>46325.5</c:v>
                </c:pt>
                <c:pt idx="5">
                  <c:v>46326.5</c:v>
                </c:pt>
                <c:pt idx="6">
                  <c:v>46327.5</c:v>
                </c:pt>
                <c:pt idx="7">
                  <c:v>46328.5</c:v>
                </c:pt>
                <c:pt idx="8">
                  <c:v>46329.5</c:v>
                </c:pt>
                <c:pt idx="9">
                  <c:v>46330.5</c:v>
                </c:pt>
                <c:pt idx="10">
                  <c:v>46331.5</c:v>
                </c:pt>
                <c:pt idx="11">
                  <c:v>46332.5</c:v>
                </c:pt>
                <c:pt idx="12">
                  <c:v>46333.5</c:v>
                </c:pt>
                <c:pt idx="13">
                  <c:v>46334.5</c:v>
                </c:pt>
                <c:pt idx="14">
                  <c:v>46335.5</c:v>
                </c:pt>
                <c:pt idx="15">
                  <c:v>46336.5</c:v>
                </c:pt>
                <c:pt idx="16">
                  <c:v>46337.5</c:v>
                </c:pt>
                <c:pt idx="17">
                  <c:v>46338.5</c:v>
                </c:pt>
                <c:pt idx="18">
                  <c:v>46339.5</c:v>
                </c:pt>
                <c:pt idx="19">
                  <c:v>46340.5</c:v>
                </c:pt>
                <c:pt idx="20">
                  <c:v>46341.5</c:v>
                </c:pt>
                <c:pt idx="21">
                  <c:v>46342.5</c:v>
                </c:pt>
                <c:pt idx="22">
                  <c:v>46343.5</c:v>
                </c:pt>
                <c:pt idx="23">
                  <c:v>46344.5</c:v>
                </c:pt>
                <c:pt idx="24">
                  <c:v>46345.5</c:v>
                </c:pt>
                <c:pt idx="25">
                  <c:v>46346.5</c:v>
                </c:pt>
                <c:pt idx="26">
                  <c:v>46347.5</c:v>
                </c:pt>
                <c:pt idx="27">
                  <c:v>46348.5</c:v>
                </c:pt>
                <c:pt idx="28">
                  <c:v>46349.5</c:v>
                </c:pt>
                <c:pt idx="29">
                  <c:v>46350.5</c:v>
                </c:pt>
                <c:pt idx="30">
                  <c:v>46351.5</c:v>
                </c:pt>
                <c:pt idx="31">
                  <c:v>46352.5</c:v>
                </c:pt>
                <c:pt idx="32">
                  <c:v>46353.5</c:v>
                </c:pt>
                <c:pt idx="33">
                  <c:v>46354.5</c:v>
                </c:pt>
                <c:pt idx="34">
                  <c:v>46355.5</c:v>
                </c:pt>
                <c:pt idx="35">
                  <c:v>46356.5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4E344EDA-BE14-48D5-82E9-E4E01620DF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2FBDD327-1336-4652-986F-3A731F9070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6D89BB92-28C2-40F7-AA89-EF3A3BEB93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8BA9AA46-3805-4126-89B9-3EE0B70CA8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5633048E-69D6-4BB8-B98A-6D1CCC6FF7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84901C5B-CA97-4674-A96D-0FFCBFC30A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E4E3C012-BBEE-47F0-84C2-2CDA8F66D1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B5A7E88B-2B4E-489D-BCF8-2AAF5BE501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6D72FD39-093A-42DC-AAA7-2957CFB139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87665D29-7507-480D-A82D-11020CD830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CE5BB4E0-13C9-487B-B076-DAA879A192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10EB7E65-ADE8-4EFB-AFD9-83395B7672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EA9B3CDD-4C61-46A7-814F-39F0A3958D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68DE19A7-10A5-4469-88DF-9D90045C01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871E1DA6-C67F-40AD-8535-8C8475DE43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4C5DFE53-0D37-4C60-ABBC-E5416369E8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426113FF-3EB3-48DD-AA32-4C854639ED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AF5C1B3A-2B88-4E37-896E-FD482BF1E0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460CC8FF-DB4E-43D0-8C26-56E2CEE342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502763DB-AF32-494A-99B6-E8BA7A3F31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A4F76169-2445-4CF5-A317-2814D0D4D0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F1940726-2AFD-4C1F-B5FB-A789992DD8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9DA7786A-7BF6-4761-B0F7-9305BB33C9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67D6E61B-DA88-457C-8DF2-1D4BDE78BD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CDEDA32E-5495-4D99-B7A3-A15588E1BFB4}"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10/26/26 3:51p</v>
      </c>
      <c r="B1" s="203"/>
      <c r="C1" s="203"/>
      <c r="D1" s="203"/>
      <c r="E1" s="203"/>
      <c r="F1" s="203"/>
      <c r="G1" s="203"/>
      <c r="H1" s="203"/>
      <c r="I1" s="157"/>
      <c r="J1" s="157"/>
      <c r="K1" s="157"/>
      <c r="L1" s="157"/>
      <c r="M1" s="157"/>
      <c r="N1" s="277"/>
      <c r="O1" s="158"/>
      <c r="P1" s="158"/>
      <c r="Q1" s="235"/>
      <c r="R1" s="158">
        <f>Database!$C$3</f>
        <v>46323.160416666666</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46321.660416666666</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plan="&amp;LEFT(REP_Name,4)&amp;Plan_Length&amp;","&amp;INDEX(Database!$D$8:$D$360,Plan_DBRow)&amp;","&amp;ROUND(Rel_Date,1)&amp;"&gt;"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46321</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46321.5</v>
      </c>
      <c r="GV7" s="107">
        <f t="shared" ref="GV7:ID7" si="4">GU7+1</f>
        <v>46322.5</v>
      </c>
      <c r="GW7" s="107">
        <f t="shared" si="4"/>
        <v>46323.5</v>
      </c>
      <c r="GX7" s="107">
        <f t="shared" si="4"/>
        <v>46324.5</v>
      </c>
      <c r="GY7" s="107">
        <f t="shared" si="4"/>
        <v>46325.5</v>
      </c>
      <c r="GZ7" s="107">
        <f t="shared" si="4"/>
        <v>46326.5</v>
      </c>
      <c r="HA7" s="107">
        <f t="shared" si="4"/>
        <v>46327.5</v>
      </c>
      <c r="HB7" s="107">
        <f t="shared" si="4"/>
        <v>46328.5</v>
      </c>
      <c r="HC7" s="107">
        <f t="shared" si="4"/>
        <v>46329.5</v>
      </c>
      <c r="HD7" s="107">
        <f t="shared" si="4"/>
        <v>46330.5</v>
      </c>
      <c r="HE7" s="107">
        <f t="shared" si="4"/>
        <v>46331.5</v>
      </c>
      <c r="HF7" s="107">
        <f t="shared" si="4"/>
        <v>46332.5</v>
      </c>
      <c r="HG7" s="107">
        <f t="shared" si="4"/>
        <v>46333.5</v>
      </c>
      <c r="HH7" s="107">
        <f t="shared" si="4"/>
        <v>46334.5</v>
      </c>
      <c r="HI7" s="107">
        <f t="shared" si="4"/>
        <v>46335.5</v>
      </c>
      <c r="HJ7" s="107">
        <f t="shared" si="4"/>
        <v>46336.5</v>
      </c>
      <c r="HK7" s="107">
        <f t="shared" si="4"/>
        <v>46337.5</v>
      </c>
      <c r="HL7" s="107">
        <f t="shared" si="4"/>
        <v>46338.5</v>
      </c>
      <c r="HM7" s="107">
        <f t="shared" si="4"/>
        <v>46339.5</v>
      </c>
      <c r="HN7" s="107">
        <f t="shared" si="4"/>
        <v>46340.5</v>
      </c>
      <c r="HO7" s="107">
        <f t="shared" si="4"/>
        <v>46341.5</v>
      </c>
      <c r="HP7" s="107">
        <f t="shared" si="4"/>
        <v>46342.5</v>
      </c>
      <c r="HQ7" s="107">
        <f t="shared" si="4"/>
        <v>46343.5</v>
      </c>
      <c r="HR7" s="107">
        <f t="shared" si="4"/>
        <v>46344.5</v>
      </c>
      <c r="HS7" s="107">
        <f t="shared" si="4"/>
        <v>46345.5</v>
      </c>
      <c r="HT7" s="107">
        <f t="shared" si="4"/>
        <v>46346.5</v>
      </c>
      <c r="HU7" s="107">
        <f t="shared" si="4"/>
        <v>46347.5</v>
      </c>
      <c r="HV7" s="107">
        <f t="shared" si="4"/>
        <v>46348.5</v>
      </c>
      <c r="HW7" s="107">
        <f t="shared" si="4"/>
        <v>46349.5</v>
      </c>
      <c r="HX7" s="107">
        <f t="shared" si="4"/>
        <v>46350.5</v>
      </c>
      <c r="HY7" s="107">
        <f t="shared" si="4"/>
        <v>46351.5</v>
      </c>
      <c r="HZ7" s="107">
        <f t="shared" si="4"/>
        <v>46352.5</v>
      </c>
      <c r="IA7" s="107">
        <f t="shared" si="4"/>
        <v>46353.5</v>
      </c>
      <c r="IB7" s="107">
        <f t="shared" si="4"/>
        <v>46354.5</v>
      </c>
      <c r="IC7" s="107">
        <f t="shared" si="4"/>
        <v>46355.5</v>
      </c>
      <c r="ID7" s="107">
        <f t="shared" si="4"/>
        <v>46356.5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2.7052019164955827</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3.6251197809719691</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4.6436002737851103</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5.6292265571526672</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6.6477070499658089</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7.6333333333333648</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IFERROR(INDEX(Database!$BP$8:$BP$360,Plan_DBRow),99)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8.6518138261465065</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9.6702943189596482</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MAX(Database!$CG$8:$CG$360)</f>
        <v>0</v>
      </c>
      <c r="BG18" s="1">
        <v>9</v>
      </c>
      <c r="BH18" s="121">
        <f t="shared" si="8"/>
        <v>10.655920602327205</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IF(Show_Plan,MATCH(IF(Selected_Plan="?",1,Selected_Plan),Database!$CG$8:$CG$360,0),"")</f>
        <v/>
      </c>
      <c r="BG19" s="1">
        <v>10</v>
      </c>
      <c r="BH19" s="121">
        <f t="shared" si="8"/>
        <v>11.674401095140347</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INDEX(Database!BO$8:BO$360,Plan_DBRow)</f>
        <v>#VALUE!</v>
      </c>
      <c r="BG20" s="1">
        <v>11</v>
      </c>
      <c r="BH20" s="121">
        <f t="shared" si="8"/>
        <v>0.66824093086929948</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IFERROR(INDEX(Database!$BP$8:$BP$360,Plan_DBRow),99)</f>
        <v>99</v>
      </c>
      <c r="GM20" s="124">
        <f>IFERROR(INDEX(Database!$BP$8:$BP$360,Plan_DBRow),99)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IFERROR(INDEX(Database!$Q$8:$Q$360,Plan_DBRow),"")</f>
        <v/>
      </c>
      <c r="BG21" s="1">
        <v>12</v>
      </c>
      <c r="BH21" s="121">
        <f t="shared" si="8"/>
        <v>1.6867214236824413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&amp;IFERROR("-"&amp;INDEX(Database!$D$8:$D$360,Plan_DBRow),"")&amp;", ©2025 PTP, LLC"&amp;IF(Show_Plan,"
Please email me free RateAlerts for this usage and new plan:
"&amp;$BU$2,"")</f>
        <v>Ver 10/26/26.15,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IFERROR(INDEX(Database!$BH$8:$BH$360,$BF19),FALSE)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2.7052019164955827</v>
      </c>
      <c r="ED22">
        <v>3.6251197809719691</v>
      </c>
      <c r="EE22">
        <v>4.6436002737851103</v>
      </c>
      <c r="EF22">
        <v>5.6292265571526672</v>
      </c>
      <c r="EG22">
        <v>6.6477070499658089</v>
      </c>
      <c r="EH22">
        <v>7.6333333333333648</v>
      </c>
      <c r="EI22">
        <v>8.6518138261465065</v>
      </c>
      <c r="EJ22">
        <v>9.6702943189596482</v>
      </c>
      <c r="EK22">
        <v>10.655920602327205</v>
      </c>
      <c r="EL22">
        <v>11.674401095140347</v>
      </c>
      <c r="EM22">
        <v>0.66824093086929948</v>
      </c>
      <c r="EN22">
        <v>1.6867214236824413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MATCH(INDEX(Database!$F$8:$F$360,Plan_DBRow),REP_Info!$D$6:$D$250,0)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INDEX(Database!$AG$8:$BG$360,Plan_DBRow,CN$22)</f>
        <v>#VALUE!</v>
      </c>
      <c r="CO23" t="e">
        <f>IF(ISBLANK(INDEX(Database!$AG$8:$BG$360,Plan_DBRow,CO$22)),"",INDEX(Database!$AG$8:$BG$360,Plan_DBRow,CO$22))</f>
        <v>#VALUE!</v>
      </c>
      <c r="CP23" t="e">
        <f>IF(ISBLANK(INDEX(Database!$AG$8:$BG$360,Plan_DBRow,CP$22)),"",INDEX(Database!$AG$8:$BG$360,Plan_DBRow,CP$22))</f>
        <v>#VALUE!</v>
      </c>
      <c r="CQ23" t="e">
        <f>IF(ISBLANK(INDEX(Database!$AG$8:$BG$360,Plan_DBRow,CQ$22)),"",INDEX(Database!$AG$8:$BG$360,Plan_DBRow,CQ$22))</f>
        <v>#VALUE!</v>
      </c>
      <c r="CR23" t="e">
        <f>IF(ISBLANK(INDEX(Database!$AG$8:$BG$360,Plan_DBRow,CR$22)),"",INDEX(Database!$AG$8:$BG$360,Plan_DBRow,CR$22))</f>
        <v>#VALUE!</v>
      </c>
      <c r="CS23" t="e">
        <f>IF(ISBLANK(INDEX(Database!$AG$8:$BG$360,Plan_DBRow,CS$22)),"",INDEX(Database!$AG$8:$BG$360,Plan_DBRow,CS$22))</f>
        <v>#VALUE!</v>
      </c>
      <c r="CT23" t="e">
        <f>IF(ISBLANK(INDEX(Database!$AG$8:$BG$360,Plan_DBRow,CT$22)),"",INDEX(Database!$AG$8:$BG$360,Plan_DBRow,CT$22))</f>
        <v>#VALUE!</v>
      </c>
      <c r="CU23" t="e">
        <f>IF(ISBLANK(INDEX(Database!$AG$8:$BG$360,Plan_DBRow,CU$22)),"",INDEX(Database!$AG$8:$BG$360,Plan_DBRow,CU$22))</f>
        <v>#VALUE!</v>
      </c>
      <c r="CV23" t="e">
        <f>IF(ISBLANK(INDEX(Database!$AG$8:$BG$360,Plan_DBRow,CV$22)),"",INDEX(Database!$AG$8:$BG$360,Plan_DBRow,CV$22))</f>
        <v>#VALUE!</v>
      </c>
      <c r="CW23" t="e">
        <f>IF(ISBLANK(INDEX(Database!$AG$8:$BG$360,Plan_DBRow,CW$22)),"",INDEX(Database!$AG$8:$BG$360,Plan_DBRow,CW$22))</f>
        <v>#VALUE!</v>
      </c>
      <c r="CX23" t="e">
        <f>IF(ISBLANK(INDEX(Database!$AG$8:$BG$360,Plan_DBRow,CX$22)),"",INDEX(Database!$AG$8:$BG$360,Plan_DBRow,CX$22))</f>
        <v>#VALUE!</v>
      </c>
      <c r="CY23" t="e">
        <f>INDEX(Database!$AG$8:$BG$360,Plan_DBRow,CY$22)</f>
        <v>#VALUE!</v>
      </c>
      <c r="CZ23" t="e">
        <f>INDEX(Database!$AG$8:$BG$360,Plan_DBRow,CZ$22)</f>
        <v>#VALUE!</v>
      </c>
      <c r="DA23" t="e">
        <f>INDEX(Database!$AG$8:$BG$360,Plan_DBRow,DA$22)</f>
        <v>#VALUE!</v>
      </c>
      <c r="DB23" t="e">
        <f>INDEX(Database!$AG$8:$BG$360,Plan_DBRow,DB$22)</f>
        <v>#VALUE!</v>
      </c>
      <c r="DC23" t="e">
        <f>INDEX(Database!$AG$8:$BG$360,Plan_DBRow,DC$22)</f>
        <v>#VALUE!</v>
      </c>
      <c r="DD23" t="e">
        <f>INDEX(Database!$AG$8:$BG$360,Plan_DBRow,DD$22)</f>
        <v>#VALUE!</v>
      </c>
      <c r="DE23" s="31" t="e">
        <f>INDEX(Database!$AG$8:$BG$360,Plan_DBRow,DE$22)</f>
        <v>#VALUE!</v>
      </c>
      <c r="DF23" s="31" t="e">
        <f>INDEX(Database!$AG$8:$BG$360,Plan_DBRow,DF$22)</f>
        <v>#VALUE!</v>
      </c>
      <c r="DG23" s="31" t="e">
        <f>INDEX(Database!$AG$8:$BG$360,Plan_DBRow,DG$22)</f>
        <v>#VALUE!</v>
      </c>
      <c r="DH23" s="31" t="e">
        <f>INDEX(Database!$AG$8:$BG$360,Plan_DBRow,DH$22)</f>
        <v>#VALUE!</v>
      </c>
      <c r="DI23" s="31" t="e">
        <f>INDEX(Database!$AG$8:$BG$360,Plan_DBRow,DI$22)</f>
        <v>#VALUE!</v>
      </c>
      <c r="DJ23" s="5" t="e">
        <f>INDEX(Database!$AG$8:$BG$360,Plan_DBRow,DJ$22)</f>
        <v>#VALUE!</v>
      </c>
      <c r="DK23" s="35" t="e">
        <f>INDEX(Database!$AG$8:$BG$360,Plan_DBRow,DK$22)</f>
        <v>#VALUE!</v>
      </c>
      <c r="DL23" s="6" t="e">
        <f>INDEX(Database!$AG$8:$BG$360,Plan_DBRow,DL$22)</f>
        <v>#VALUE!</v>
      </c>
      <c r="DM23" s="35" t="e">
        <f>INDEX(Database!$AG$8:$BG$360,Plan_DBRow,DM$22)</f>
        <v>#VALUE!</v>
      </c>
      <c r="DN23" s="35" t="e">
        <f>INDEX(Database!$AG$8:$BG$360,Plan_DBRow,DN$22)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IF(More_Plans,IF(Locked,IF(Selected_Plan,$BZ26,$BV26),IFERROR(PROPER(INDEX(Database!$G$8:$G$360,$BQ26)),"")),"")</f>
        <v/>
      </c>
      <c r="C26" s="301"/>
      <c r="D26" s="301"/>
      <c r="E26" s="301"/>
      <c r="F26" s="301"/>
      <c r="G26" s="259" t="str">
        <f>IF(Locked,"",IFERROR(HYPERLINK(INDEX(Database!$Y$8:$Y$360,$BQ26),"EFL"),""))</f>
        <v/>
      </c>
      <c r="H26" s="259" t="str">
        <f>IF(Locked,"",IFERROR(HYPERLINK(INDEX(Database!$U$8:$U$360,$BQ26),"TOS"),""))</f>
        <v/>
      </c>
      <c r="I26" s="307" t="str">
        <f>IFERROR(INDEX(Database!$Q$8:$Q$360,$BQ26),"")</f>
        <v/>
      </c>
      <c r="J26" s="307"/>
      <c r="K26" s="220" t="str">
        <f>IFERROR(IF(All_In,INDEX(Database!$BQ$8:$BQ$360,$BQ26),INDEX(Database!$BR$8:$BR$360,$BQ26)),"")</f>
        <v/>
      </c>
      <c r="L26" s="221" t="str">
        <f>IFERROR(INDEX(Database!$BO$8:$BO$360,$BQ26),"")</f>
        <v/>
      </c>
      <c r="M26" s="242" t="str">
        <f>IFERROR(INDEX(Database!$CX$8:$CX$360,$BQ26),"")</f>
        <v/>
      </c>
      <c r="N26" s="222" t="str">
        <f>IFERROR(INDEX(Database!$BH$8:$BH$360,$BQ26),"")</f>
        <v/>
      </c>
      <c r="O26" s="223"/>
      <c r="P26" s="223" t="str">
        <f>IFERROR(INDEX(Database!$P$8:$P$360,$BQ26),"")</f>
        <v/>
      </c>
      <c r="Q26" s="239" t="str">
        <f>IFERROR(INDEX(Database!$CR$8:$CR$360,$BQ26),"")</f>
        <v/>
      </c>
      <c r="R26" s="224" t="str">
        <f>IFERROR(INDEX(Database!$AC$8:$AC$360,$BQ26),"")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IFERROR(INDEX(Database!$BJ$8:$BJ$360,$BQ26),"")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IF(More_Plans,MATCH($A26,Database!$CG$8:$CG$360,0),NA())</f>
        <v>#N/A</v>
      </c>
      <c r="BR26" s="118">
        <f>Locked*IFERROR((($K26-INDEX(Trends!$AA$5:$AA$8,MATCH($I26,{24,12,6,3},-1)))&lt;BR$25),0)</f>
        <v>0</v>
      </c>
      <c r="BS26" t="e">
        <f>MATCH(SUBSTITUTE(INDEX(Database!$U$8:$U$360,$BQ26),"~","~~"),TOS!$C$6:$C$213,0)</f>
        <v>#N/A</v>
      </c>
      <c r="BT26" t="e">
        <f>MATCH(INDEX(Database!$F$8:$F$360,$BQ26),REP_Info!$D$6:$D$250,0)</f>
        <v>#N/A</v>
      </c>
      <c r="BU26" t="str">
        <f>IFERROR(INDEX(Database!$CV$8:$CV$360,$BQ26),"")</f>
        <v/>
      </c>
      <c r="BV26" t="str">
        <f>""</f>
        <v/>
      </c>
      <c r="BZ26" t="str">
        <f>""</f>
        <v/>
      </c>
      <c r="CD26" t="s">
        <v>192</v>
      </c>
      <c r="CN26" t="e">
        <f>INDEX(Database!$AG$8:$BG$360,$BQ26,CN$22)</f>
        <v>#N/A</v>
      </c>
      <c r="CO26" t="e">
        <f>IF(ISBLANK(INDEX(Database!$AG$8:$BG$360,$BQ26,CO$22)),"",INDEX(Database!$AG$8:$BG$360,$BQ26,CO$22))</f>
        <v>#N/A</v>
      </c>
      <c r="CP26" t="e">
        <f>IF(ISBLANK(INDEX(Database!$AG$8:$BG$360,$BQ26,CP$22)),"",INDEX(Database!$AG$8:$BG$360,$BQ26,CP$22))</f>
        <v>#N/A</v>
      </c>
      <c r="CQ26" t="e">
        <f>IF(ISBLANK(INDEX(Database!$AG$8:$BG$360,$BQ26,CQ$22)),"",INDEX(Database!$AG$8:$BG$360,$BQ26,CQ$22))</f>
        <v>#N/A</v>
      </c>
      <c r="CR26" t="e">
        <f>IF(ISBLANK(INDEX(Database!$AG$8:$BG$360,$BQ26,CR$22)),"",INDEX(Database!$AG$8:$BG$360,$BQ26,CR$22))</f>
        <v>#N/A</v>
      </c>
      <c r="CS26" t="e">
        <f>IF(ISBLANK(INDEX(Database!$AG$8:$BG$360,$BQ26,CS$22)),"",INDEX(Database!$AG$8:$BG$360,$BQ26,CS$22))</f>
        <v>#N/A</v>
      </c>
      <c r="CT26" t="e">
        <f>IF(ISBLANK(INDEX(Database!$AG$8:$BG$360,$BQ26,CT$22)),"",INDEX(Database!$AG$8:$BG$360,$BQ26,CT$22))</f>
        <v>#N/A</v>
      </c>
      <c r="CU26" t="e">
        <f>IF(ISBLANK(INDEX(Database!$AG$8:$BG$360,$BQ26,CU$22)),"",INDEX(Database!$AG$8:$BG$360,$BQ26,CU$22))</f>
        <v>#N/A</v>
      </c>
      <c r="CV26" t="e">
        <f>IF(ISBLANK(INDEX(Database!$AG$8:$BG$360,$BQ26,CV$22)),"",INDEX(Database!$AG$8:$BG$360,$BQ26,CV$22))</f>
        <v>#N/A</v>
      </c>
      <c r="CW26" t="e">
        <f>IF(ISBLANK(INDEX(Database!$AG$8:$BG$360,$BQ26,CW$22)),"",INDEX(Database!$AG$8:$BG$360,$BQ26,CW$22))</f>
        <v>#N/A</v>
      </c>
      <c r="CX26" t="e">
        <f>IF(ISBLANK(INDEX(Database!$AG$8:$BG$360,$BQ26,CX$22)),"",INDEX(Database!$AG$8:$BG$360,$BQ26,CX$22))</f>
        <v>#N/A</v>
      </c>
      <c r="CY26" t="e">
        <f>INDEX(Database!$AG$8:$BG$360,$BQ26,CY$22)</f>
        <v>#N/A</v>
      </c>
      <c r="CZ26" t="e">
        <f>INDEX(Database!$AG$8:$BG$360,$BQ26,CZ$22)</f>
        <v>#N/A</v>
      </c>
      <c r="DA26" t="e">
        <f>INDEX(Database!$AG$8:$BG$360,$BQ26,DA$22)</f>
        <v>#N/A</v>
      </c>
      <c r="DB26" t="e">
        <f>INDEX(Database!$AG$8:$BG$360,$BQ26,DB$22)</f>
        <v>#N/A</v>
      </c>
      <c r="DC26" t="e">
        <f>INDEX(Database!$AG$8:$BG$360,$BQ26,DC$22)</f>
        <v>#N/A</v>
      </c>
      <c r="DD26" t="e">
        <f>INDEX(Database!$AG$8:$BG$360,$BQ26,DD$22)</f>
        <v>#N/A</v>
      </c>
      <c r="DE26" s="31" t="e">
        <f>INDEX(Database!$AG$8:$BG$360,$BQ26,DE$22)</f>
        <v>#N/A</v>
      </c>
      <c r="DF26" s="31" t="e">
        <f>INDEX(Database!$AG$8:$BG$360,$BQ26,DF$22)</f>
        <v>#N/A</v>
      </c>
      <c r="DG26" s="31" t="e">
        <f>INDEX(Database!$AG$8:$BG$360,$BQ26,DG$22)</f>
        <v>#N/A</v>
      </c>
      <c r="DH26" s="31" t="e">
        <f>INDEX(Database!$AG$8:$BG$360,$BQ26,DH$22)</f>
        <v>#N/A</v>
      </c>
      <c r="DI26" s="31" t="e">
        <f>INDEX(Database!$AG$8:$BG$360,$BQ26,DI$22)</f>
        <v>#N/A</v>
      </c>
      <c r="DJ26" s="5" t="e">
        <f>INDEX(Database!$AG$8:$BG$360,$BQ26,DJ$22)</f>
        <v>#N/A</v>
      </c>
      <c r="DK26" s="35" t="e">
        <f>INDEX(Database!$AG$8:$BG$360,$BQ26,DK$22)</f>
        <v>#N/A</v>
      </c>
      <c r="DL26" s="6" t="e">
        <f>INDEX(Database!$AG$8:$BG$360,$BQ26,DL$22)</f>
        <v>#N/A</v>
      </c>
      <c r="DM26" s="35" t="e">
        <f>INDEX(Database!$AG$8:$BG$360,$BQ26,DM$22)</f>
        <v>#N/A</v>
      </c>
      <c r="DN26" s="35" t="e">
        <f>INDEX(Database!$AG$8:$BG$360,$BQ26,DN$22)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IF(More_Plans,IF(Locked,IF(Selected_Plan,$BZ27,$BV27),IFERROR(PROPER(INDEX(Database!$G$8:$G$360,$BQ27)),"")),"")</f>
        <v/>
      </c>
      <c r="C27" s="306"/>
      <c r="D27" s="306"/>
      <c r="E27" s="306"/>
      <c r="F27" s="306"/>
      <c r="G27" s="260" t="str">
        <f>IF(Locked,"",IFERROR(HYPERLINK(INDEX(Database!$Y$8:$Y$360,$BQ27),"EFL"),""))</f>
        <v/>
      </c>
      <c r="H27" s="260" t="str">
        <f>IF(Locked,"",IFERROR(HYPERLINK(INDEX(Database!$U$8:$U$360,$BQ27),"TOS"),""))</f>
        <v/>
      </c>
      <c r="I27" s="299" t="str">
        <f>IFERROR(INDEX(Database!$Q$8:$Q$360,$BQ27),"")</f>
        <v/>
      </c>
      <c r="J27" s="299"/>
      <c r="K27" s="195" t="str">
        <f>IFERROR(IF(All_In,INDEX(Database!$BQ$8:$BQ$360,$BQ27),INDEX(Database!$BR$8:$BR$360,$BQ27)),"")</f>
        <v/>
      </c>
      <c r="L27" s="194" t="str">
        <f>IFERROR(INDEX(Database!$BO$8:$BO$360,$BQ27),"")</f>
        <v/>
      </c>
      <c r="M27" s="243" t="str">
        <f>IFERROR(INDEX(Database!$CX$8:$CX$360,$BQ27),"")</f>
        <v/>
      </c>
      <c r="N27" s="201" t="str">
        <f>IFERROR(INDEX(Database!$BH$8:$BH$360,$BQ27),"")</f>
        <v/>
      </c>
      <c r="O27" s="179"/>
      <c r="P27" s="179" t="str">
        <f>IFERROR(INDEX(Database!$P$8:$P$360,$BQ27),"")</f>
        <v/>
      </c>
      <c r="Q27" s="240" t="str">
        <f>IFERROR(INDEX(Database!$CR$8:$CR$360,$BQ27),"")</f>
        <v/>
      </c>
      <c r="R27" s="180" t="str">
        <f>IFERROR(INDEX(Database!$AC$8:$AC$360,$BQ27),"")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IFERROR(INDEX(Database!$BJ$8:$BJ$360,$BQ27),"")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IF(More_Plans,MATCH($A27,Database!$CG$8:$CG$360,0),NA())</f>
        <v>#N/A</v>
      </c>
      <c r="BR27" s="118">
        <f>Locked*IFERROR((($K27-INDEX(Trends!$AA$5:$AA$8,MATCH($I27,{24,12,6,3},-1)))&lt;BR$25),0)</f>
        <v>0</v>
      </c>
      <c r="BS27" t="e">
        <f>MATCH(SUBSTITUTE(INDEX(Database!$U$8:$U$360,$BQ27),"~","~~"),TOS!$C$6:$C$213,0)</f>
        <v>#N/A</v>
      </c>
      <c r="BT27" t="e">
        <f>MATCH(INDEX(Database!$F$8:$F$360,$BQ27),REP_Info!$D$6:$D$250,0)</f>
        <v>#N/A</v>
      </c>
      <c r="BU27" t="str">
        <f>IFERROR(INDEX(Database!$CV$8:$CV$360,$BQ27),"")</f>
        <v/>
      </c>
      <c r="BV27" t="s">
        <v>193</v>
      </c>
      <c r="BZ27" t="str">
        <f>""</f>
        <v/>
      </c>
      <c r="CD27" t="s">
        <v>194</v>
      </c>
      <c r="CN27" t="e">
        <f>INDEX(Database!$AG$8:$BG$360,$BQ27,CN$22)</f>
        <v>#N/A</v>
      </c>
      <c r="CO27" t="e">
        <f>IF(ISBLANK(INDEX(Database!$AG$8:$BG$360,$BQ27,CO$22)),"",INDEX(Database!$AG$8:$BG$360,$BQ27,CO$22))</f>
        <v>#N/A</v>
      </c>
      <c r="CP27" t="e">
        <f>IF(ISBLANK(INDEX(Database!$AG$8:$BG$360,$BQ27,CP$22)),"",INDEX(Database!$AG$8:$BG$360,$BQ27,CP$22))</f>
        <v>#N/A</v>
      </c>
      <c r="CQ27" t="e">
        <f>IF(ISBLANK(INDEX(Database!$AG$8:$BG$360,$BQ27,CQ$22)),"",INDEX(Database!$AG$8:$BG$360,$BQ27,CQ$22))</f>
        <v>#N/A</v>
      </c>
      <c r="CR27" t="e">
        <f>IF(ISBLANK(INDEX(Database!$AG$8:$BG$360,$BQ27,CR$22)),"",INDEX(Database!$AG$8:$BG$360,$BQ27,CR$22))</f>
        <v>#N/A</v>
      </c>
      <c r="CS27" t="e">
        <f>IF(ISBLANK(INDEX(Database!$AG$8:$BG$360,$BQ27,CS$22)),"",INDEX(Database!$AG$8:$BG$360,$BQ27,CS$22))</f>
        <v>#N/A</v>
      </c>
      <c r="CT27" t="e">
        <f>IF(ISBLANK(INDEX(Database!$AG$8:$BG$360,$BQ27,CT$22)),"",INDEX(Database!$AG$8:$BG$360,$BQ27,CT$22))</f>
        <v>#N/A</v>
      </c>
      <c r="CU27" t="e">
        <f>IF(ISBLANK(INDEX(Database!$AG$8:$BG$360,$BQ27,CU$22)),"",INDEX(Database!$AG$8:$BG$360,$BQ27,CU$22))</f>
        <v>#N/A</v>
      </c>
      <c r="CV27" t="e">
        <f>IF(ISBLANK(INDEX(Database!$AG$8:$BG$360,$BQ27,CV$22)),"",INDEX(Database!$AG$8:$BG$360,$BQ27,CV$22))</f>
        <v>#N/A</v>
      </c>
      <c r="CW27" t="e">
        <f>IF(ISBLANK(INDEX(Database!$AG$8:$BG$360,$BQ27,CW$22)),"",INDEX(Database!$AG$8:$BG$360,$BQ27,CW$22))</f>
        <v>#N/A</v>
      </c>
      <c r="CX27" t="e">
        <f>IF(ISBLANK(INDEX(Database!$AG$8:$BG$360,$BQ27,CX$22)),"",INDEX(Database!$AG$8:$BG$360,$BQ27,CX$22))</f>
        <v>#N/A</v>
      </c>
      <c r="CY27" t="e">
        <f>INDEX(Database!$AG$8:$BG$360,$BQ27,CY$22)</f>
        <v>#N/A</v>
      </c>
      <c r="CZ27" t="e">
        <f>INDEX(Database!$AG$8:$BG$360,$BQ27,CZ$22)</f>
        <v>#N/A</v>
      </c>
      <c r="DA27" t="e">
        <f>INDEX(Database!$AG$8:$BG$360,$BQ27,DA$22)</f>
        <v>#N/A</v>
      </c>
      <c r="DB27" t="e">
        <f>INDEX(Database!$AG$8:$BG$360,$BQ27,DB$22)</f>
        <v>#N/A</v>
      </c>
      <c r="DC27" t="e">
        <f>INDEX(Database!$AG$8:$BG$360,$BQ27,DC$22)</f>
        <v>#N/A</v>
      </c>
      <c r="DD27" t="e">
        <f>INDEX(Database!$AG$8:$BG$360,$BQ27,DD$22)</f>
        <v>#N/A</v>
      </c>
      <c r="DE27" s="31" t="e">
        <f>INDEX(Database!$AG$8:$BG$360,$BQ27,DE$22)</f>
        <v>#N/A</v>
      </c>
      <c r="DF27" s="31" t="e">
        <f>INDEX(Database!$AG$8:$BG$360,$BQ27,DF$22)</f>
        <v>#N/A</v>
      </c>
      <c r="DG27" s="31" t="e">
        <f>INDEX(Database!$AG$8:$BG$360,$BQ27,DG$22)</f>
        <v>#N/A</v>
      </c>
      <c r="DH27" s="31" t="e">
        <f>INDEX(Database!$AG$8:$BG$360,$BQ27,DH$22)</f>
        <v>#N/A</v>
      </c>
      <c r="DI27" s="31" t="e">
        <f>INDEX(Database!$AG$8:$BG$360,$BQ27,DI$22)</f>
        <v>#N/A</v>
      </c>
      <c r="DJ27" s="5" t="e">
        <f>INDEX(Database!$AG$8:$BG$360,$BQ27,DJ$22)</f>
        <v>#N/A</v>
      </c>
      <c r="DK27" s="35" t="e">
        <f>INDEX(Database!$AG$8:$BG$360,$BQ27,DK$22)</f>
        <v>#N/A</v>
      </c>
      <c r="DL27" s="6" t="e">
        <f>INDEX(Database!$AG$8:$BG$360,$BQ27,DL$22)</f>
        <v>#N/A</v>
      </c>
      <c r="DM27" s="35" t="e">
        <f>INDEX(Database!$AG$8:$BG$360,$BQ27,DM$22)</f>
        <v>#N/A</v>
      </c>
      <c r="DN27" s="35" t="e">
        <f>INDEX(Database!$AG$8:$BG$360,$BQ27,DN$22)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IF(More_Plans,IF(Locked,IF(Selected_Plan,$BZ28,$BV28),IFERROR(PROPER(INDEX(Database!$G$8:$G$360,$BQ28)),"")),"")</f>
        <v/>
      </c>
      <c r="C28" s="306"/>
      <c r="D28" s="306"/>
      <c r="E28" s="306"/>
      <c r="F28" s="306"/>
      <c r="G28" s="260" t="str">
        <f>IF(Locked,"",IFERROR(HYPERLINK(INDEX(Database!$Y$8:$Y$360,$BQ28),"EFL"),""))</f>
        <v/>
      </c>
      <c r="H28" s="260" t="str">
        <f>IF(Locked,"",IFERROR(HYPERLINK(INDEX(Database!$U$8:$U$360,$BQ28),"TOS"),""))</f>
        <v/>
      </c>
      <c r="I28" s="299" t="str">
        <f>IFERROR(INDEX(Database!$Q$8:$Q$360,$BQ28),"")</f>
        <v/>
      </c>
      <c r="J28" s="299"/>
      <c r="K28" s="195" t="str">
        <f>IFERROR(IF(All_In,INDEX(Database!$BQ$8:$BQ$360,$BQ28),INDEX(Database!$BR$8:$BR$360,$BQ28)),"")</f>
        <v/>
      </c>
      <c r="L28" s="194" t="str">
        <f>IFERROR(INDEX(Database!$BO$8:$BO$360,$BQ28),"")</f>
        <v/>
      </c>
      <c r="M28" s="243" t="str">
        <f>IFERROR(INDEX(Database!$CX$8:$CX$360,$BQ28),"")</f>
        <v/>
      </c>
      <c r="N28" s="201" t="str">
        <f>IFERROR(INDEX(Database!$BH$8:$BH$360,$BQ28),"")</f>
        <v/>
      </c>
      <c r="O28" s="179"/>
      <c r="P28" s="179" t="str">
        <f>IFERROR(INDEX(Database!$P$8:$P$360,$BQ28),"")</f>
        <v/>
      </c>
      <c r="Q28" s="240" t="str">
        <f>IFERROR(INDEX(Database!$CR$8:$CR$360,$BQ28),"")</f>
        <v/>
      </c>
      <c r="R28" s="180" t="str">
        <f>IFERROR(INDEX(Database!$AC$8:$AC$360,$BQ28),"")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IFERROR(INDEX(Database!$BJ$8:$BJ$360,$BQ28),"")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IF(More_Plans,MATCH($A28,Database!$CG$8:$CG$360,0),NA())</f>
        <v>#N/A</v>
      </c>
      <c r="BR28" s="118">
        <f>Locked*IFERROR((($K28-INDEX(Trends!$AA$5:$AA$8,MATCH($I28,{24,12,6,3},-1)))&lt;BR$25),0)</f>
        <v>0</v>
      </c>
      <c r="BS28" t="e">
        <f>MATCH(SUBSTITUTE(INDEX(Database!$U$8:$U$360,$BQ28),"~","~~"),TOS!$C$6:$C$213,0)</f>
        <v>#N/A</v>
      </c>
      <c r="BT28" t="e">
        <f>MATCH(INDEX(Database!$F$8:$F$360,$BQ28),REP_Info!$D$6:$D$250,0)</f>
        <v>#N/A</v>
      </c>
      <c r="BU28" t="str">
        <f>IFERROR(INDEX(Database!$CV$8:$CV$360,$BQ28),"")</f>
        <v/>
      </c>
      <c r="BV28" t="s">
        <v>197</v>
      </c>
      <c r="BZ28" t="str">
        <f>""</f>
        <v/>
      </c>
      <c r="CD28" t="s">
        <v>198</v>
      </c>
      <c r="CN28" t="e">
        <f>INDEX(Database!$AG$8:$BG$360,$BQ28,CN$22)</f>
        <v>#N/A</v>
      </c>
      <c r="CO28" t="e">
        <f>IF(ISBLANK(INDEX(Database!$AG$8:$BG$360,$BQ28,CO$22)),"",INDEX(Database!$AG$8:$BG$360,$BQ28,CO$22))</f>
        <v>#N/A</v>
      </c>
      <c r="CP28" t="e">
        <f>IF(ISBLANK(INDEX(Database!$AG$8:$BG$360,$BQ28,CP$22)),"",INDEX(Database!$AG$8:$BG$360,$BQ28,CP$22))</f>
        <v>#N/A</v>
      </c>
      <c r="CQ28" t="e">
        <f>IF(ISBLANK(INDEX(Database!$AG$8:$BG$360,$BQ28,CQ$22)),"",INDEX(Database!$AG$8:$BG$360,$BQ28,CQ$22))</f>
        <v>#N/A</v>
      </c>
      <c r="CR28" t="e">
        <f>IF(ISBLANK(INDEX(Database!$AG$8:$BG$360,$BQ28,CR$22)),"",INDEX(Database!$AG$8:$BG$360,$BQ28,CR$22))</f>
        <v>#N/A</v>
      </c>
      <c r="CS28" t="e">
        <f>IF(ISBLANK(INDEX(Database!$AG$8:$BG$360,$BQ28,CS$22)),"",INDEX(Database!$AG$8:$BG$360,$BQ28,CS$22))</f>
        <v>#N/A</v>
      </c>
      <c r="CT28" t="e">
        <f>IF(ISBLANK(INDEX(Database!$AG$8:$BG$360,$BQ28,CT$22)),"",INDEX(Database!$AG$8:$BG$360,$BQ28,CT$22))</f>
        <v>#N/A</v>
      </c>
      <c r="CU28" t="e">
        <f>IF(ISBLANK(INDEX(Database!$AG$8:$BG$360,$BQ28,CU$22)),"",INDEX(Database!$AG$8:$BG$360,$BQ28,CU$22))</f>
        <v>#N/A</v>
      </c>
      <c r="CV28" t="e">
        <f>IF(ISBLANK(INDEX(Database!$AG$8:$BG$360,$BQ28,CV$22)),"",INDEX(Database!$AG$8:$BG$360,$BQ28,CV$22))</f>
        <v>#N/A</v>
      </c>
      <c r="CW28" t="e">
        <f>IF(ISBLANK(INDEX(Database!$AG$8:$BG$360,$BQ28,CW$22)),"",INDEX(Database!$AG$8:$BG$360,$BQ28,CW$22))</f>
        <v>#N/A</v>
      </c>
      <c r="CX28" t="e">
        <f>IF(ISBLANK(INDEX(Database!$AG$8:$BG$360,$BQ28,CX$22)),"",INDEX(Database!$AG$8:$BG$360,$BQ28,CX$22))</f>
        <v>#N/A</v>
      </c>
      <c r="CY28" t="e">
        <f>INDEX(Database!$AG$8:$BG$360,$BQ28,CY$22)</f>
        <v>#N/A</v>
      </c>
      <c r="CZ28" t="e">
        <f>INDEX(Database!$AG$8:$BG$360,$BQ28,CZ$22)</f>
        <v>#N/A</v>
      </c>
      <c r="DA28" t="e">
        <f>INDEX(Database!$AG$8:$BG$360,$BQ28,DA$22)</f>
        <v>#N/A</v>
      </c>
      <c r="DB28" t="e">
        <f>INDEX(Database!$AG$8:$BG$360,$BQ28,DB$22)</f>
        <v>#N/A</v>
      </c>
      <c r="DC28" t="e">
        <f>INDEX(Database!$AG$8:$BG$360,$BQ28,DC$22)</f>
        <v>#N/A</v>
      </c>
      <c r="DD28" t="e">
        <f>INDEX(Database!$AG$8:$BG$360,$BQ28,DD$22)</f>
        <v>#N/A</v>
      </c>
      <c r="DE28" s="31" t="e">
        <f>INDEX(Database!$AG$8:$BG$360,$BQ28,DE$22)</f>
        <v>#N/A</v>
      </c>
      <c r="DF28" s="31" t="e">
        <f>INDEX(Database!$AG$8:$BG$360,$BQ28,DF$22)</f>
        <v>#N/A</v>
      </c>
      <c r="DG28" s="31" t="e">
        <f>INDEX(Database!$AG$8:$BG$360,$BQ28,DG$22)</f>
        <v>#N/A</v>
      </c>
      <c r="DH28" s="31" t="e">
        <f>INDEX(Database!$AG$8:$BG$360,$BQ28,DH$22)</f>
        <v>#N/A</v>
      </c>
      <c r="DI28" s="31" t="e">
        <f>INDEX(Database!$AG$8:$BG$360,$BQ28,DI$22)</f>
        <v>#N/A</v>
      </c>
      <c r="DJ28" s="5" t="e">
        <f>INDEX(Database!$AG$8:$BG$360,$BQ28,DJ$22)</f>
        <v>#N/A</v>
      </c>
      <c r="DK28" s="35" t="e">
        <f>INDEX(Database!$AG$8:$BG$360,$BQ28,DK$22)</f>
        <v>#N/A</v>
      </c>
      <c r="DL28" s="6" t="e">
        <f>INDEX(Database!$AG$8:$BG$360,$BQ28,DL$22)</f>
        <v>#N/A</v>
      </c>
      <c r="DM28" s="35" t="e">
        <f>INDEX(Database!$AG$8:$BG$360,$BQ28,DM$22)</f>
        <v>#N/A</v>
      </c>
      <c r="DN28" s="35" t="e">
        <f>INDEX(Database!$AG$8:$BG$360,$BQ28,DN$22)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IF(More_Plans,IF(Locked,IF(Selected_Plan,$BZ29,$BV29),IFERROR(PROPER(INDEX(Database!$G$8:$G$360,$BQ29)),"")),"")</f>
        <v/>
      </c>
      <c r="C29" s="306"/>
      <c r="D29" s="306"/>
      <c r="E29" s="306"/>
      <c r="F29" s="306"/>
      <c r="G29" s="260" t="str">
        <f>IF(Locked,"",IFERROR(HYPERLINK(INDEX(Database!$Y$8:$Y$360,$BQ29),"EFL"),""))</f>
        <v/>
      </c>
      <c r="H29" s="260" t="str">
        <f>IF(Locked,"",IFERROR(HYPERLINK(INDEX(Database!$U$8:$U$360,$BQ29),"TOS"),""))</f>
        <v/>
      </c>
      <c r="I29" s="299" t="str">
        <f>IFERROR(INDEX(Database!$Q$8:$Q$360,$BQ29),"")</f>
        <v/>
      </c>
      <c r="J29" s="299"/>
      <c r="K29" s="195" t="str">
        <f>IFERROR(IF(All_In,INDEX(Database!$BQ$8:$BQ$360,$BQ29),INDEX(Database!$BR$8:$BR$360,$BQ29)),"")</f>
        <v/>
      </c>
      <c r="L29" s="194" t="str">
        <f>IFERROR(INDEX(Database!$BO$8:$BO$360,$BQ29),"")</f>
        <v/>
      </c>
      <c r="M29" s="243" t="str">
        <f>IFERROR(INDEX(Database!$CX$8:$CX$360,$BQ29),"")</f>
        <v/>
      </c>
      <c r="N29" s="201" t="str">
        <f>IFERROR(INDEX(Database!$BH$8:$BH$360,$BQ29),"")</f>
        <v/>
      </c>
      <c r="O29" s="179"/>
      <c r="P29" s="179" t="str">
        <f>IFERROR(INDEX(Database!$P$8:$P$360,$BQ29),"")</f>
        <v/>
      </c>
      <c r="Q29" s="240" t="str">
        <f>IFERROR(INDEX(Database!$CR$8:$CR$360,$BQ29),"")</f>
        <v/>
      </c>
      <c r="R29" s="180" t="str">
        <f>IFERROR(INDEX(Database!$AC$8:$AC$360,$BQ29),"")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IFERROR(INDEX(Database!$BJ$8:$BJ$360,$BQ29),"")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MATCH(1,Database!$CE$8:$CE$360,0)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IF(More_Plans,MATCH($A29,Database!$CG$8:$CG$360,0),NA())</f>
        <v>#N/A</v>
      </c>
      <c r="BR29" s="118">
        <f>Locked*IFERROR((($K29-INDEX(Trends!$AA$5:$AA$8,MATCH($I29,{24,12,6,3},-1)))&lt;BR$25),0)</f>
        <v>0</v>
      </c>
      <c r="BS29" t="e">
        <f>MATCH(SUBSTITUTE(INDEX(Database!$U$8:$U$360,$BQ29),"~","~~"),TOS!$C$6:$C$213,0)</f>
        <v>#N/A</v>
      </c>
      <c r="BT29" t="e">
        <f>MATCH(INDEX(Database!$F$8:$F$360,$BQ29),REP_Info!$D$6:$D$250,0)</f>
        <v>#N/A</v>
      </c>
      <c r="BU29" t="str">
        <f>IFERROR(INDEX(Database!$CV$8:$CV$360,$BQ29),"")</f>
        <v/>
      </c>
      <c r="BV29" t="s">
        <v>201</v>
      </c>
      <c r="BZ29" t="str">
        <f>""</f>
        <v/>
      </c>
      <c r="CD29" t="str">
        <f>""</f>
        <v/>
      </c>
      <c r="CN29" t="e">
        <f>INDEX(Database!$AG$8:$BG$360,$BQ29,CN$22)</f>
        <v>#N/A</v>
      </c>
      <c r="CO29" t="e">
        <f>IF(ISBLANK(INDEX(Database!$AG$8:$BG$360,$BQ29,CO$22)),"",INDEX(Database!$AG$8:$BG$360,$BQ29,CO$22))</f>
        <v>#N/A</v>
      </c>
      <c r="CP29" t="e">
        <f>IF(ISBLANK(INDEX(Database!$AG$8:$BG$360,$BQ29,CP$22)),"",INDEX(Database!$AG$8:$BG$360,$BQ29,CP$22))</f>
        <v>#N/A</v>
      </c>
      <c r="CQ29" t="e">
        <f>IF(ISBLANK(INDEX(Database!$AG$8:$BG$360,$BQ29,CQ$22)),"",INDEX(Database!$AG$8:$BG$360,$BQ29,CQ$22))</f>
        <v>#N/A</v>
      </c>
      <c r="CR29" t="e">
        <f>IF(ISBLANK(INDEX(Database!$AG$8:$BG$360,$BQ29,CR$22)),"",INDEX(Database!$AG$8:$BG$360,$BQ29,CR$22))</f>
        <v>#N/A</v>
      </c>
      <c r="CS29" t="e">
        <f>IF(ISBLANK(INDEX(Database!$AG$8:$BG$360,$BQ29,CS$22)),"",INDEX(Database!$AG$8:$BG$360,$BQ29,CS$22))</f>
        <v>#N/A</v>
      </c>
      <c r="CT29" t="e">
        <f>IF(ISBLANK(INDEX(Database!$AG$8:$BG$360,$BQ29,CT$22)),"",INDEX(Database!$AG$8:$BG$360,$BQ29,CT$22))</f>
        <v>#N/A</v>
      </c>
      <c r="CU29" t="e">
        <f>IF(ISBLANK(INDEX(Database!$AG$8:$BG$360,$BQ29,CU$22)),"",INDEX(Database!$AG$8:$BG$360,$BQ29,CU$22))</f>
        <v>#N/A</v>
      </c>
      <c r="CV29" t="e">
        <f>IF(ISBLANK(INDEX(Database!$AG$8:$BG$360,$BQ29,CV$22)),"",INDEX(Database!$AG$8:$BG$360,$BQ29,CV$22))</f>
        <v>#N/A</v>
      </c>
      <c r="CW29" t="e">
        <f>IF(ISBLANK(INDEX(Database!$AG$8:$BG$360,$BQ29,CW$22)),"",INDEX(Database!$AG$8:$BG$360,$BQ29,CW$22))</f>
        <v>#N/A</v>
      </c>
      <c r="CX29" t="e">
        <f>IF(ISBLANK(INDEX(Database!$AG$8:$BG$360,$BQ29,CX$22)),"",INDEX(Database!$AG$8:$BG$360,$BQ29,CX$22))</f>
        <v>#N/A</v>
      </c>
      <c r="CY29" t="e">
        <f>INDEX(Database!$AG$8:$BG$360,$BQ29,CY$22)</f>
        <v>#N/A</v>
      </c>
      <c r="CZ29" t="e">
        <f>INDEX(Database!$AG$8:$BG$360,$BQ29,CZ$22)</f>
        <v>#N/A</v>
      </c>
      <c r="DA29" t="e">
        <f>INDEX(Database!$AG$8:$BG$360,$BQ29,DA$22)</f>
        <v>#N/A</v>
      </c>
      <c r="DB29" t="e">
        <f>INDEX(Database!$AG$8:$BG$360,$BQ29,DB$22)</f>
        <v>#N/A</v>
      </c>
      <c r="DC29" t="e">
        <f>INDEX(Database!$AG$8:$BG$360,$BQ29,DC$22)</f>
        <v>#N/A</v>
      </c>
      <c r="DD29" t="e">
        <f>INDEX(Database!$AG$8:$BG$360,$BQ29,DD$22)</f>
        <v>#N/A</v>
      </c>
      <c r="DE29" s="31" t="e">
        <f>INDEX(Database!$AG$8:$BG$360,$BQ29,DE$22)</f>
        <v>#N/A</v>
      </c>
      <c r="DF29" s="31" t="e">
        <f>INDEX(Database!$AG$8:$BG$360,$BQ29,DF$22)</f>
        <v>#N/A</v>
      </c>
      <c r="DG29" s="31" t="e">
        <f>INDEX(Database!$AG$8:$BG$360,$BQ29,DG$22)</f>
        <v>#N/A</v>
      </c>
      <c r="DH29" s="31" t="e">
        <f>INDEX(Database!$AG$8:$BG$360,$BQ29,DH$22)</f>
        <v>#N/A</v>
      </c>
      <c r="DI29" s="31" t="e">
        <f>INDEX(Database!$AG$8:$BG$360,$BQ29,DI$22)</f>
        <v>#N/A</v>
      </c>
      <c r="DJ29" s="5" t="e">
        <f>INDEX(Database!$AG$8:$BG$360,$BQ29,DJ$22)</f>
        <v>#N/A</v>
      </c>
      <c r="DK29" s="35" t="e">
        <f>INDEX(Database!$AG$8:$BG$360,$BQ29,DK$22)</f>
        <v>#N/A</v>
      </c>
      <c r="DL29" s="6" t="e">
        <f>INDEX(Database!$AG$8:$BG$360,$BQ29,DL$22)</f>
        <v>#N/A</v>
      </c>
      <c r="DM29" s="35" t="e">
        <f>INDEX(Database!$AG$8:$BG$360,$BQ29,DM$22)</f>
        <v>#N/A</v>
      </c>
      <c r="DN29" s="35" t="e">
        <f>INDEX(Database!$AG$8:$BG$360,$BQ29,DN$22)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IF(More_Plans,IF(Locked,IF(Selected_Plan,$BZ30,$BV30),IFERROR(PROPER(INDEX(Database!$G$8:$G$360,$BQ30)),"")),"")</f>
        <v/>
      </c>
      <c r="C30" s="306"/>
      <c r="D30" s="306"/>
      <c r="E30" s="306"/>
      <c r="F30" s="306"/>
      <c r="G30" s="260" t="str">
        <f>IF(Locked,"",IFERROR(HYPERLINK(INDEX(Database!$Y$8:$Y$360,$BQ30),"EFL"),""))</f>
        <v/>
      </c>
      <c r="H30" s="260" t="str">
        <f>IF(Locked,"",IFERROR(HYPERLINK(INDEX(Database!$U$8:$U$360,$BQ30),"TOS"),""))</f>
        <v/>
      </c>
      <c r="I30" s="299" t="str">
        <f>IFERROR(INDEX(Database!$Q$8:$Q$360,$BQ30),"")</f>
        <v/>
      </c>
      <c r="J30" s="299"/>
      <c r="K30" s="195" t="str">
        <f>IFERROR(IF(All_In,INDEX(Database!$BQ$8:$BQ$360,$BQ30),INDEX(Database!$BR$8:$BR$360,$BQ30)),"")</f>
        <v/>
      </c>
      <c r="L30" s="194" t="str">
        <f>IFERROR(INDEX(Database!$BO$8:$BO$360,$BQ30),"")</f>
        <v/>
      </c>
      <c r="M30" s="243" t="str">
        <f>IFERROR(INDEX(Database!$CX$8:$CX$360,$BQ30),"")</f>
        <v/>
      </c>
      <c r="N30" s="201" t="str">
        <f>IFERROR(INDEX(Database!$BH$8:$BH$360,$BQ30),"")</f>
        <v/>
      </c>
      <c r="O30" s="179"/>
      <c r="P30" s="179" t="str">
        <f>IFERROR(INDEX(Database!$P$8:$P$360,$BQ30),"")</f>
        <v/>
      </c>
      <c r="Q30" s="240" t="str">
        <f>IFERROR(INDEX(Database!$CR$8:$CR$360,$BQ30),"")</f>
        <v/>
      </c>
      <c r="R30" s="180" t="str">
        <f>IFERROR(INDEX(Database!$AC$8:$AC$360,$BQ30),"")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IFERROR(INDEX(Database!$BJ$8:$BJ$360,$BQ30),"")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INDEX(Database!CG$8:CG$360,$BF29)</f>
        <v>#N/A</v>
      </c>
      <c r="BG30" t="s">
        <v>203</v>
      </c>
      <c r="BH30" t="str">
        <f>IF(ISNA(Trends!$H$5),REPT("█",4),"")</f>
        <v>████</v>
      </c>
      <c r="BJ30" s="90" t="s">
        <v>204</v>
      </c>
      <c r="BL30" s="183"/>
      <c r="BQ30" s="6" t="e">
        <f>IF(More_Plans,MATCH($A30,Database!$CG$8:$CG$360,0),NA())</f>
        <v>#N/A</v>
      </c>
      <c r="BR30" s="118">
        <f>Locked*IFERROR((($K30-INDEX(Trends!$AA$5:$AA$8,MATCH($I30,{24,12,6,3},-1)))&lt;BR$25),0)</f>
        <v>0</v>
      </c>
      <c r="BS30" t="e">
        <f>MATCH(SUBSTITUTE(INDEX(Database!$U$8:$U$360,$BQ30),"~","~~"),TOS!$C$6:$C$213,0)</f>
        <v>#N/A</v>
      </c>
      <c r="BT30" t="e">
        <f>MATCH(INDEX(Database!$F$8:$F$360,$BQ30),REP_Info!$D$6:$D$250,0)</f>
        <v>#N/A</v>
      </c>
      <c r="BU30" t="str">
        <f>IFERROR(INDEX(Database!$CV$8:$CV$360,$BQ30),"")</f>
        <v/>
      </c>
      <c r="BV30" t="str">
        <f>""</f>
        <v/>
      </c>
      <c r="BZ30" t="str">
        <f>""</f>
        <v/>
      </c>
      <c r="CD30" t="str">
        <f>""</f>
        <v/>
      </c>
      <c r="CN30" t="e">
        <f>INDEX(Database!$AG$8:$BG$360,$BQ30,CN$22)</f>
        <v>#N/A</v>
      </c>
      <c r="CO30" t="e">
        <f>IF(ISBLANK(INDEX(Database!$AG$8:$BG$360,$BQ30,CO$22)),"",INDEX(Database!$AG$8:$BG$360,$BQ30,CO$22))</f>
        <v>#N/A</v>
      </c>
      <c r="CP30" t="e">
        <f>IF(ISBLANK(INDEX(Database!$AG$8:$BG$360,$BQ30,CP$22)),"",INDEX(Database!$AG$8:$BG$360,$BQ30,CP$22))</f>
        <v>#N/A</v>
      </c>
      <c r="CQ30" t="e">
        <f>IF(ISBLANK(INDEX(Database!$AG$8:$BG$360,$BQ30,CQ$22)),"",INDEX(Database!$AG$8:$BG$360,$BQ30,CQ$22))</f>
        <v>#N/A</v>
      </c>
      <c r="CR30" t="e">
        <f>IF(ISBLANK(INDEX(Database!$AG$8:$BG$360,$BQ30,CR$22)),"",INDEX(Database!$AG$8:$BG$360,$BQ30,CR$22))</f>
        <v>#N/A</v>
      </c>
      <c r="CS30" t="e">
        <f>IF(ISBLANK(INDEX(Database!$AG$8:$BG$360,$BQ30,CS$22)),"",INDEX(Database!$AG$8:$BG$360,$BQ30,CS$22))</f>
        <v>#N/A</v>
      </c>
      <c r="CT30" t="e">
        <f>IF(ISBLANK(INDEX(Database!$AG$8:$BG$360,$BQ30,CT$22)),"",INDEX(Database!$AG$8:$BG$360,$BQ30,CT$22))</f>
        <v>#N/A</v>
      </c>
      <c r="CU30" t="e">
        <f>IF(ISBLANK(INDEX(Database!$AG$8:$BG$360,$BQ30,CU$22)),"",INDEX(Database!$AG$8:$BG$360,$BQ30,CU$22))</f>
        <v>#N/A</v>
      </c>
      <c r="CV30" t="e">
        <f>IF(ISBLANK(INDEX(Database!$AG$8:$BG$360,$BQ30,CV$22)),"",INDEX(Database!$AG$8:$BG$360,$BQ30,CV$22))</f>
        <v>#N/A</v>
      </c>
      <c r="CW30" t="e">
        <f>IF(ISBLANK(INDEX(Database!$AG$8:$BG$360,$BQ30,CW$22)),"",INDEX(Database!$AG$8:$BG$360,$BQ30,CW$22))</f>
        <v>#N/A</v>
      </c>
      <c r="CX30" t="e">
        <f>IF(ISBLANK(INDEX(Database!$AG$8:$BG$360,$BQ30,CX$22)),"",INDEX(Database!$AG$8:$BG$360,$BQ30,CX$22))</f>
        <v>#N/A</v>
      </c>
      <c r="CY30" t="e">
        <f>INDEX(Database!$AG$8:$BG$360,$BQ30,CY$22)</f>
        <v>#N/A</v>
      </c>
      <c r="CZ30" t="e">
        <f>INDEX(Database!$AG$8:$BG$360,$BQ30,CZ$22)</f>
        <v>#N/A</v>
      </c>
      <c r="DA30" t="e">
        <f>INDEX(Database!$AG$8:$BG$360,$BQ30,DA$22)</f>
        <v>#N/A</v>
      </c>
      <c r="DB30" t="e">
        <f>INDEX(Database!$AG$8:$BG$360,$BQ30,DB$22)</f>
        <v>#N/A</v>
      </c>
      <c r="DC30" t="e">
        <f>INDEX(Database!$AG$8:$BG$360,$BQ30,DC$22)</f>
        <v>#N/A</v>
      </c>
      <c r="DD30" t="e">
        <f>INDEX(Database!$AG$8:$BG$360,$BQ30,DD$22)</f>
        <v>#N/A</v>
      </c>
      <c r="DE30" s="31" t="e">
        <f>INDEX(Database!$AG$8:$BG$360,$BQ30,DE$22)</f>
        <v>#N/A</v>
      </c>
      <c r="DF30" s="31" t="e">
        <f>INDEX(Database!$AG$8:$BG$360,$BQ30,DF$22)</f>
        <v>#N/A</v>
      </c>
      <c r="DG30" s="31" t="e">
        <f>INDEX(Database!$AG$8:$BG$360,$BQ30,DG$22)</f>
        <v>#N/A</v>
      </c>
      <c r="DH30" s="31" t="e">
        <f>INDEX(Database!$AG$8:$BG$360,$BQ30,DH$22)</f>
        <v>#N/A</v>
      </c>
      <c r="DI30" s="31" t="e">
        <f>INDEX(Database!$AG$8:$BG$360,$BQ30,DI$22)</f>
        <v>#N/A</v>
      </c>
      <c r="DJ30" s="5" t="e">
        <f>INDEX(Database!$AG$8:$BG$360,$BQ30,DJ$22)</f>
        <v>#N/A</v>
      </c>
      <c r="DK30" s="35" t="e">
        <f>INDEX(Database!$AG$8:$BG$360,$BQ30,DK$22)</f>
        <v>#N/A</v>
      </c>
      <c r="DL30" s="6" t="e">
        <f>INDEX(Database!$AG$8:$BG$360,$BQ30,DL$22)</f>
        <v>#N/A</v>
      </c>
      <c r="DM30" s="35" t="e">
        <f>INDEX(Database!$AG$8:$BG$360,$BQ30,DM$22)</f>
        <v>#N/A</v>
      </c>
      <c r="DN30" s="35" t="e">
        <f>INDEX(Database!$AG$8:$BG$360,$BQ30,DN$22)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IF(More_Plans,IF(Locked,IF(Selected_Plan,$BZ31,$BV31),IFERROR(PROPER(INDEX(Database!$G$8:$G$360,$BQ31)),"")),"")</f>
        <v/>
      </c>
      <c r="C31" s="306"/>
      <c r="D31" s="306"/>
      <c r="E31" s="306"/>
      <c r="F31" s="306"/>
      <c r="G31" s="260" t="str">
        <f>IF(Locked,"",IFERROR(HYPERLINK(INDEX(Database!$Y$8:$Y$360,$BQ31),"EFL"),""))</f>
        <v/>
      </c>
      <c r="H31" s="260" t="str">
        <f>IF(Locked,"",IFERROR(HYPERLINK(INDEX(Database!$U$8:$U$360,$BQ31),"TOS"),""))</f>
        <v/>
      </c>
      <c r="I31" s="299" t="str">
        <f>IFERROR(INDEX(Database!$Q$8:$Q$360,$BQ31),"")</f>
        <v/>
      </c>
      <c r="J31" s="299"/>
      <c r="K31" s="195" t="str">
        <f>IFERROR(IF(All_In,INDEX(Database!$BQ$8:$BQ$360,$BQ31),INDEX(Database!$BR$8:$BR$360,$BQ31)),"")</f>
        <v/>
      </c>
      <c r="L31" s="194" t="str">
        <f>IFERROR(INDEX(Database!$BO$8:$BO$360,$BQ31),"")</f>
        <v/>
      </c>
      <c r="M31" s="243" t="str">
        <f>IFERROR(INDEX(Database!$CX$8:$CX$360,$BQ31),"")</f>
        <v/>
      </c>
      <c r="N31" s="201" t="str">
        <f>IFERROR(INDEX(Database!$BH$8:$BH$360,$BQ31),"")</f>
        <v/>
      </c>
      <c r="O31" s="179"/>
      <c r="P31" s="179" t="str">
        <f>IFERROR(INDEX(Database!$P$8:$P$360,$BQ31),"")</f>
        <v/>
      </c>
      <c r="Q31" s="240" t="str">
        <f>IFERROR(INDEX(Database!$CR$8:$CR$360,$BQ31),"")</f>
        <v/>
      </c>
      <c r="R31" s="180" t="str">
        <f>IFERROR(INDEX(Database!$AC$8:$AC$360,$BQ31),"")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IFERROR(INDEX(Database!$BJ$8:$BJ$360,$BQ31),"")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IF(Risk_Input="Yes",NA(),INDEX(Database!BO$8:BO$360,$BF$29))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IF(More_Plans,MATCH($A31,Database!$CG$8:$CG$360,0),NA())</f>
        <v>#N/A</v>
      </c>
      <c r="BR31" s="118">
        <f>Locked*IFERROR((($K31-INDEX(Trends!$AA$5:$AA$8,MATCH($I31,{24,12,6,3},-1)))&lt;BR$25),0)</f>
        <v>0</v>
      </c>
      <c r="BS31" t="e">
        <f>MATCH(SUBSTITUTE(INDEX(Database!$U$8:$U$360,$BQ31),"~","~~"),TOS!$C$6:$C$213,0)</f>
        <v>#N/A</v>
      </c>
      <c r="BT31" t="e">
        <f>MATCH(INDEX(Database!$F$8:$F$360,$BQ31),REP_Info!$D$6:$D$250,0)</f>
        <v>#N/A</v>
      </c>
      <c r="BU31" t="str">
        <f>IFERROR(INDEX(Database!$CV$8:$CV$360,$BQ31),"")</f>
        <v/>
      </c>
      <c r="BV31" t="str">
        <f>IF(AND(Term_Min=Term_Min_Recd,Term_Max=Term_Max_Recd),"   We suggest Plan #"&amp;Default_Plan&amp;".","")</f>
        <v xml:space="preserve">   We suggest Plan #1.</v>
      </c>
      <c r="BZ31" t="s">
        <v>205</v>
      </c>
      <c r="CD31" t="str">
        <f>""</f>
        <v/>
      </c>
      <c r="CN31" t="e">
        <f>INDEX(Database!$AG$8:$BG$360,$BQ31,CN$22)</f>
        <v>#N/A</v>
      </c>
      <c r="CO31" t="e">
        <f>IF(ISBLANK(INDEX(Database!$AG$8:$BG$360,$BQ31,CO$22)),"",INDEX(Database!$AG$8:$BG$360,$BQ31,CO$22))</f>
        <v>#N/A</v>
      </c>
      <c r="CP31" t="e">
        <f>IF(ISBLANK(INDEX(Database!$AG$8:$BG$360,$BQ31,CP$22)),"",INDEX(Database!$AG$8:$BG$360,$BQ31,CP$22))</f>
        <v>#N/A</v>
      </c>
      <c r="CQ31" t="e">
        <f>IF(ISBLANK(INDEX(Database!$AG$8:$BG$360,$BQ31,CQ$22)),"",INDEX(Database!$AG$8:$BG$360,$BQ31,CQ$22))</f>
        <v>#N/A</v>
      </c>
      <c r="CR31" t="e">
        <f>IF(ISBLANK(INDEX(Database!$AG$8:$BG$360,$BQ31,CR$22)),"",INDEX(Database!$AG$8:$BG$360,$BQ31,CR$22))</f>
        <v>#N/A</v>
      </c>
      <c r="CS31" t="e">
        <f>IF(ISBLANK(INDEX(Database!$AG$8:$BG$360,$BQ31,CS$22)),"",INDEX(Database!$AG$8:$BG$360,$BQ31,CS$22))</f>
        <v>#N/A</v>
      </c>
      <c r="CT31" t="e">
        <f>IF(ISBLANK(INDEX(Database!$AG$8:$BG$360,$BQ31,CT$22)),"",INDEX(Database!$AG$8:$BG$360,$BQ31,CT$22))</f>
        <v>#N/A</v>
      </c>
      <c r="CU31" t="e">
        <f>IF(ISBLANK(INDEX(Database!$AG$8:$BG$360,$BQ31,CU$22)),"",INDEX(Database!$AG$8:$BG$360,$BQ31,CU$22))</f>
        <v>#N/A</v>
      </c>
      <c r="CV31" t="e">
        <f>IF(ISBLANK(INDEX(Database!$AG$8:$BG$360,$BQ31,CV$22)),"",INDEX(Database!$AG$8:$BG$360,$BQ31,CV$22))</f>
        <v>#N/A</v>
      </c>
      <c r="CW31" t="e">
        <f>IF(ISBLANK(INDEX(Database!$AG$8:$BG$360,$BQ31,CW$22)),"",INDEX(Database!$AG$8:$BG$360,$BQ31,CW$22))</f>
        <v>#N/A</v>
      </c>
      <c r="CX31" t="e">
        <f>IF(ISBLANK(INDEX(Database!$AG$8:$BG$360,$BQ31,CX$22)),"",INDEX(Database!$AG$8:$BG$360,$BQ31,CX$22))</f>
        <v>#N/A</v>
      </c>
      <c r="CY31" t="e">
        <f>INDEX(Database!$AG$8:$BG$360,$BQ31,CY$22)</f>
        <v>#N/A</v>
      </c>
      <c r="CZ31" t="e">
        <f>INDEX(Database!$AG$8:$BG$360,$BQ31,CZ$22)</f>
        <v>#N/A</v>
      </c>
      <c r="DA31" t="e">
        <f>INDEX(Database!$AG$8:$BG$360,$BQ31,DA$22)</f>
        <v>#N/A</v>
      </c>
      <c r="DB31" t="e">
        <f>INDEX(Database!$AG$8:$BG$360,$BQ31,DB$22)</f>
        <v>#N/A</v>
      </c>
      <c r="DC31" t="e">
        <f>INDEX(Database!$AG$8:$BG$360,$BQ31,DC$22)</f>
        <v>#N/A</v>
      </c>
      <c r="DD31" t="e">
        <f>INDEX(Database!$AG$8:$BG$360,$BQ31,DD$22)</f>
        <v>#N/A</v>
      </c>
      <c r="DE31" s="31" t="e">
        <f>INDEX(Database!$AG$8:$BG$360,$BQ31,DE$22)</f>
        <v>#N/A</v>
      </c>
      <c r="DF31" s="31" t="e">
        <f>INDEX(Database!$AG$8:$BG$360,$BQ31,DF$22)</f>
        <v>#N/A</v>
      </c>
      <c r="DG31" s="31" t="e">
        <f>INDEX(Database!$AG$8:$BG$360,$BQ31,DG$22)</f>
        <v>#N/A</v>
      </c>
      <c r="DH31" s="31" t="e">
        <f>INDEX(Database!$AG$8:$BG$360,$BQ31,DH$22)</f>
        <v>#N/A</v>
      </c>
      <c r="DI31" s="31" t="e">
        <f>INDEX(Database!$AG$8:$BG$360,$BQ31,DI$22)</f>
        <v>#N/A</v>
      </c>
      <c r="DJ31" s="5" t="e">
        <f>INDEX(Database!$AG$8:$BG$360,$BQ31,DJ$22)</f>
        <v>#N/A</v>
      </c>
      <c r="DK31" s="35" t="e">
        <f>INDEX(Database!$AG$8:$BG$360,$BQ31,DK$22)</f>
        <v>#N/A</v>
      </c>
      <c r="DL31" s="6" t="e">
        <f>INDEX(Database!$AG$8:$BG$360,$BQ31,DL$22)</f>
        <v>#N/A</v>
      </c>
      <c r="DM31" s="35" t="e">
        <f>INDEX(Database!$AG$8:$BG$360,$BQ31,DM$22)</f>
        <v>#N/A</v>
      </c>
      <c r="DN31" s="35" t="e">
        <f>INDEX(Database!$AG$8:$BG$360,$BQ31,DN$22)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IF(More_Plans,IF(Locked,IF(Selected_Plan,$BZ32,$BV32),IFERROR(PROPER(INDEX(Database!$G$8:$G$360,$BQ32)),"")),"")</f>
        <v/>
      </c>
      <c r="C32" s="306"/>
      <c r="D32" s="306"/>
      <c r="E32" s="306"/>
      <c r="F32" s="306"/>
      <c r="G32" s="260" t="str">
        <f>IF(Locked,"",IFERROR(HYPERLINK(INDEX(Database!$Y$8:$Y$360,$BQ32),"EFL"),""))</f>
        <v/>
      </c>
      <c r="H32" s="260" t="str">
        <f>IF(Locked,"",IFERROR(HYPERLINK(INDEX(Database!$U$8:$U$360,$BQ32),"TOS"),""))</f>
        <v/>
      </c>
      <c r="I32" s="299" t="str">
        <f>IFERROR(INDEX(Database!$Q$8:$Q$360,$BQ32),"")</f>
        <v/>
      </c>
      <c r="J32" s="299"/>
      <c r="K32" s="195" t="str">
        <f>IFERROR(IF(All_In,INDEX(Database!$BQ$8:$BQ$360,$BQ32),INDEX(Database!$BR$8:$BR$360,$BQ32)),"")</f>
        <v/>
      </c>
      <c r="L32" s="194" t="str">
        <f>IFERROR(INDEX(Database!$BO$8:$BO$360,$BQ32),"")</f>
        <v/>
      </c>
      <c r="M32" s="243" t="str">
        <f>IFERROR(INDEX(Database!$CX$8:$CX$360,$BQ32),"")</f>
        <v/>
      </c>
      <c r="N32" s="201" t="str">
        <f>IFERROR(INDEX(Database!$BH$8:$BH$360,$BQ32),"")</f>
        <v/>
      </c>
      <c r="O32" s="179"/>
      <c r="P32" s="179" t="str">
        <f>IFERROR(INDEX(Database!$P$8:$P$360,$BQ32),"")</f>
        <v/>
      </c>
      <c r="Q32" s="240" t="str">
        <f>IFERROR(INDEX(Database!$CR$8:$CR$360,$BQ32),"")</f>
        <v/>
      </c>
      <c r="R32" s="180" t="str">
        <f>IFERROR(INDEX(Database!$AC$8:$AC$360,$BQ32),"")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IFERROR(INDEX(Database!$BJ$8:$BJ$360,$BQ32),"")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IF(More_Plans,MATCH($A32,Database!$CG$8:$CG$360,0),NA())</f>
        <v>#N/A</v>
      </c>
      <c r="BR32" s="118">
        <f>Locked*IFERROR((($K32-INDEX(Trends!$AA$5:$AA$8,MATCH($I32,{24,12,6,3},-1)))&lt;BR$25),0)</f>
        <v>0</v>
      </c>
      <c r="BS32" t="e">
        <f>MATCH(SUBSTITUTE(INDEX(Database!$U$8:$U$360,$BQ32),"~","~~"),TOS!$C$6:$C$213,0)</f>
        <v>#N/A</v>
      </c>
      <c r="BT32" t="e">
        <f>MATCH(INDEX(Database!$F$8:$F$360,$BQ32),REP_Info!$D$6:$D$250,0)</f>
        <v>#N/A</v>
      </c>
      <c r="BU32" t="str">
        <f>IFERROR(INDEX(Database!$CV$8:$CV$360,$BQ32),"")</f>
        <v/>
      </c>
      <c r="BV32" t="str">
        <f>""</f>
        <v/>
      </c>
      <c r="BZ32" t="s">
        <v>209</v>
      </c>
      <c r="CD32" t="str">
        <f>""</f>
        <v/>
      </c>
      <c r="CN32" t="e">
        <f>INDEX(Database!$AG$8:$BG$360,$BQ32,CN$22)</f>
        <v>#N/A</v>
      </c>
      <c r="CO32" t="e">
        <f>IF(ISBLANK(INDEX(Database!$AG$8:$BG$360,$BQ32,CO$22)),"",INDEX(Database!$AG$8:$BG$360,$BQ32,CO$22))</f>
        <v>#N/A</v>
      </c>
      <c r="CP32" t="e">
        <f>IF(ISBLANK(INDEX(Database!$AG$8:$BG$360,$BQ32,CP$22)),"",INDEX(Database!$AG$8:$BG$360,$BQ32,CP$22))</f>
        <v>#N/A</v>
      </c>
      <c r="CQ32" t="e">
        <f>IF(ISBLANK(INDEX(Database!$AG$8:$BG$360,$BQ32,CQ$22)),"",INDEX(Database!$AG$8:$BG$360,$BQ32,CQ$22))</f>
        <v>#N/A</v>
      </c>
      <c r="CR32" t="e">
        <f>IF(ISBLANK(INDEX(Database!$AG$8:$BG$360,$BQ32,CR$22)),"",INDEX(Database!$AG$8:$BG$360,$BQ32,CR$22))</f>
        <v>#N/A</v>
      </c>
      <c r="CS32" t="e">
        <f>IF(ISBLANK(INDEX(Database!$AG$8:$BG$360,$BQ32,CS$22)),"",INDEX(Database!$AG$8:$BG$360,$BQ32,CS$22))</f>
        <v>#N/A</v>
      </c>
      <c r="CT32" t="e">
        <f>IF(ISBLANK(INDEX(Database!$AG$8:$BG$360,$BQ32,CT$22)),"",INDEX(Database!$AG$8:$BG$360,$BQ32,CT$22))</f>
        <v>#N/A</v>
      </c>
      <c r="CU32" t="e">
        <f>IF(ISBLANK(INDEX(Database!$AG$8:$BG$360,$BQ32,CU$22)),"",INDEX(Database!$AG$8:$BG$360,$BQ32,CU$22))</f>
        <v>#N/A</v>
      </c>
      <c r="CV32" t="e">
        <f>IF(ISBLANK(INDEX(Database!$AG$8:$BG$360,$BQ32,CV$22)),"",INDEX(Database!$AG$8:$BG$360,$BQ32,CV$22))</f>
        <v>#N/A</v>
      </c>
      <c r="CW32" t="e">
        <f>IF(ISBLANK(INDEX(Database!$AG$8:$BG$360,$BQ32,CW$22)),"",INDEX(Database!$AG$8:$BG$360,$BQ32,CW$22))</f>
        <v>#N/A</v>
      </c>
      <c r="CX32" t="e">
        <f>IF(ISBLANK(INDEX(Database!$AG$8:$BG$360,$BQ32,CX$22)),"",INDEX(Database!$AG$8:$BG$360,$BQ32,CX$22))</f>
        <v>#N/A</v>
      </c>
      <c r="CY32" t="e">
        <f>INDEX(Database!$AG$8:$BG$360,$BQ32,CY$22)</f>
        <v>#N/A</v>
      </c>
      <c r="CZ32" t="e">
        <f>INDEX(Database!$AG$8:$BG$360,$BQ32,CZ$22)</f>
        <v>#N/A</v>
      </c>
      <c r="DA32" t="e">
        <f>INDEX(Database!$AG$8:$BG$360,$BQ32,DA$22)</f>
        <v>#N/A</v>
      </c>
      <c r="DB32" t="e">
        <f>INDEX(Database!$AG$8:$BG$360,$BQ32,DB$22)</f>
        <v>#N/A</v>
      </c>
      <c r="DC32" t="e">
        <f>INDEX(Database!$AG$8:$BG$360,$BQ32,DC$22)</f>
        <v>#N/A</v>
      </c>
      <c r="DD32" t="e">
        <f>INDEX(Database!$AG$8:$BG$360,$BQ32,DD$22)</f>
        <v>#N/A</v>
      </c>
      <c r="DE32" s="31" t="e">
        <f>INDEX(Database!$AG$8:$BG$360,$BQ32,DE$22)</f>
        <v>#N/A</v>
      </c>
      <c r="DF32" s="31" t="e">
        <f>INDEX(Database!$AG$8:$BG$360,$BQ32,DF$22)</f>
        <v>#N/A</v>
      </c>
      <c r="DG32" s="31" t="e">
        <f>INDEX(Database!$AG$8:$BG$360,$BQ32,DG$22)</f>
        <v>#N/A</v>
      </c>
      <c r="DH32" s="31" t="e">
        <f>INDEX(Database!$AG$8:$BG$360,$BQ32,DH$22)</f>
        <v>#N/A</v>
      </c>
      <c r="DI32" s="31" t="e">
        <f>INDEX(Database!$AG$8:$BG$360,$BQ32,DI$22)</f>
        <v>#N/A</v>
      </c>
      <c r="DJ32" s="5" t="e">
        <f>INDEX(Database!$AG$8:$BG$360,$BQ32,DJ$22)</f>
        <v>#N/A</v>
      </c>
      <c r="DK32" s="35" t="e">
        <f>INDEX(Database!$AG$8:$BG$360,$BQ32,DK$22)</f>
        <v>#N/A</v>
      </c>
      <c r="DL32" s="6" t="e">
        <f>INDEX(Database!$AG$8:$BG$360,$BQ32,DL$22)</f>
        <v>#N/A</v>
      </c>
      <c r="DM32" s="35" t="e">
        <f>INDEX(Database!$AG$8:$BG$360,$BQ32,DM$22)</f>
        <v>#N/A</v>
      </c>
      <c r="DN32" s="35" t="e">
        <f>INDEX(Database!$AG$8:$BG$360,$BQ32,DN$22)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IF(More_Plans,IF(Locked,IF(Selected_Plan,HYPERLINK("https://www.paypal.com/cgi-bin/webscr?cmd=_s-xclick&amp;hosted_button_id=7ZQ7FRBT2DNJU",$BZ33),$BV33),IFERROR(PROPER(INDEX(Database!$G$8:$G$360,$BQ33)),"")),"")</f>
        <v/>
      </c>
      <c r="C33" s="306"/>
      <c r="D33" s="306"/>
      <c r="E33" s="306"/>
      <c r="F33" s="306"/>
      <c r="G33" s="260" t="str">
        <f>IF(Locked,"",IFERROR(HYPERLINK(INDEX(Database!$Y$8:$Y$360,$BQ33),"EFL"),""))</f>
        <v/>
      </c>
      <c r="H33" s="260" t="str">
        <f>IF(Locked,"",IFERROR(HYPERLINK(INDEX(Database!$U$8:$U$360,$BQ33),"TOS"),""))</f>
        <v/>
      </c>
      <c r="I33" s="299" t="str">
        <f>IFERROR(INDEX(Database!$Q$8:$Q$360,$BQ33),"")</f>
        <v/>
      </c>
      <c r="J33" s="299"/>
      <c r="K33" s="195" t="str">
        <f>IFERROR(IF(All_In,INDEX(Database!$BQ$8:$BQ$360,$BQ33),INDEX(Database!$BR$8:$BR$360,$BQ33)),"")</f>
        <v/>
      </c>
      <c r="L33" s="194" t="str">
        <f>IFERROR(INDEX(Database!$BO$8:$BO$360,$BQ33),"")</f>
        <v/>
      </c>
      <c r="M33" s="243" t="str">
        <f>IFERROR(INDEX(Database!$CX$8:$CX$360,$BQ33),"")</f>
        <v/>
      </c>
      <c r="N33" s="201" t="str">
        <f>IFERROR(INDEX(Database!$BH$8:$BH$360,$BQ33),"")</f>
        <v/>
      </c>
      <c r="O33" s="179"/>
      <c r="P33" s="179" t="str">
        <f>IFERROR(INDEX(Database!$P$8:$P$360,$BQ33),"")</f>
        <v/>
      </c>
      <c r="Q33" s="240" t="str">
        <f>IFERROR(INDEX(Database!$CR$8:$CR$360,$BQ33),"")</f>
        <v/>
      </c>
      <c r="R33" s="180" t="str">
        <f>IFERROR(INDEX(Database!$AC$8:$AC$360,$BQ33),"")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IFERROR(INDEX(Database!$BJ$8:$BJ$360,$BQ33),"")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IF(More_Plans,MATCH($A33,Database!$CG$8:$CG$360,0),NA())</f>
        <v>#N/A</v>
      </c>
      <c r="BR33" s="118">
        <f>Locked*IFERROR((($K33-INDEX(Trends!$AA$5:$AA$8,MATCH($I33,{24,12,6,3},-1)))&lt;BR$25),0)</f>
        <v>0</v>
      </c>
      <c r="BS33" t="e">
        <f>MATCH(SUBSTITUTE(INDEX(Database!$U$8:$U$360,$BQ33),"~","~~"),TOS!$C$6:$C$213,0)</f>
        <v>#N/A</v>
      </c>
      <c r="BT33" t="e">
        <f>MATCH(INDEX(Database!$F$8:$F$360,$BQ33),REP_Info!$D$6:$D$250,0)</f>
        <v>#N/A</v>
      </c>
      <c r="BU33" t="str">
        <f>IFERROR(INDEX(Database!$CV$8:$CV$360,$BQ33),"")</f>
        <v/>
      </c>
      <c r="BV33" t="s">
        <v>214</v>
      </c>
      <c r="BZ33" t="s">
        <v>1658</v>
      </c>
      <c r="CD33" t="str">
        <f>""</f>
        <v/>
      </c>
      <c r="CN33" t="e">
        <f>INDEX(Database!$AG$8:$BG$360,$BQ33,CN$22)</f>
        <v>#N/A</v>
      </c>
      <c r="CO33" t="e">
        <f>IF(ISBLANK(INDEX(Database!$AG$8:$BG$360,$BQ33,CO$22)),"",INDEX(Database!$AG$8:$BG$360,$BQ33,CO$22))</f>
        <v>#N/A</v>
      </c>
      <c r="CP33" t="e">
        <f>IF(ISBLANK(INDEX(Database!$AG$8:$BG$360,$BQ33,CP$22)),"",INDEX(Database!$AG$8:$BG$360,$BQ33,CP$22))</f>
        <v>#N/A</v>
      </c>
      <c r="CQ33" t="e">
        <f>IF(ISBLANK(INDEX(Database!$AG$8:$BG$360,$BQ33,CQ$22)),"",INDEX(Database!$AG$8:$BG$360,$BQ33,CQ$22))</f>
        <v>#N/A</v>
      </c>
      <c r="CR33" t="e">
        <f>IF(ISBLANK(INDEX(Database!$AG$8:$BG$360,$BQ33,CR$22)),"",INDEX(Database!$AG$8:$BG$360,$BQ33,CR$22))</f>
        <v>#N/A</v>
      </c>
      <c r="CS33" t="e">
        <f>IF(ISBLANK(INDEX(Database!$AG$8:$BG$360,$BQ33,CS$22)),"",INDEX(Database!$AG$8:$BG$360,$BQ33,CS$22))</f>
        <v>#N/A</v>
      </c>
      <c r="CT33" t="e">
        <f>IF(ISBLANK(INDEX(Database!$AG$8:$BG$360,$BQ33,CT$22)),"",INDEX(Database!$AG$8:$BG$360,$BQ33,CT$22))</f>
        <v>#N/A</v>
      </c>
      <c r="CU33" t="e">
        <f>IF(ISBLANK(INDEX(Database!$AG$8:$BG$360,$BQ33,CU$22)),"",INDEX(Database!$AG$8:$BG$360,$BQ33,CU$22))</f>
        <v>#N/A</v>
      </c>
      <c r="CV33" t="e">
        <f>IF(ISBLANK(INDEX(Database!$AG$8:$BG$360,$BQ33,CV$22)),"",INDEX(Database!$AG$8:$BG$360,$BQ33,CV$22))</f>
        <v>#N/A</v>
      </c>
      <c r="CW33" t="e">
        <f>IF(ISBLANK(INDEX(Database!$AG$8:$BG$360,$BQ33,CW$22)),"",INDEX(Database!$AG$8:$BG$360,$BQ33,CW$22))</f>
        <v>#N/A</v>
      </c>
      <c r="CX33" t="e">
        <f>IF(ISBLANK(INDEX(Database!$AG$8:$BG$360,$BQ33,CX$22)),"",INDEX(Database!$AG$8:$BG$360,$BQ33,CX$22))</f>
        <v>#N/A</v>
      </c>
      <c r="CY33" t="e">
        <f>INDEX(Database!$AG$8:$BG$360,$BQ33,CY$22)</f>
        <v>#N/A</v>
      </c>
      <c r="CZ33" t="e">
        <f>INDEX(Database!$AG$8:$BG$360,$BQ33,CZ$22)</f>
        <v>#N/A</v>
      </c>
      <c r="DA33" t="e">
        <f>INDEX(Database!$AG$8:$BG$360,$BQ33,DA$22)</f>
        <v>#N/A</v>
      </c>
      <c r="DB33" t="e">
        <f>INDEX(Database!$AG$8:$BG$360,$BQ33,DB$22)</f>
        <v>#N/A</v>
      </c>
      <c r="DC33" t="e">
        <f>INDEX(Database!$AG$8:$BG$360,$BQ33,DC$22)</f>
        <v>#N/A</v>
      </c>
      <c r="DD33" t="e">
        <f>INDEX(Database!$AG$8:$BG$360,$BQ33,DD$22)</f>
        <v>#N/A</v>
      </c>
      <c r="DE33" s="31" t="e">
        <f>INDEX(Database!$AG$8:$BG$360,$BQ33,DE$22)</f>
        <v>#N/A</v>
      </c>
      <c r="DF33" s="31" t="e">
        <f>INDEX(Database!$AG$8:$BG$360,$BQ33,DF$22)</f>
        <v>#N/A</v>
      </c>
      <c r="DG33" s="31" t="e">
        <f>INDEX(Database!$AG$8:$BG$360,$BQ33,DG$22)</f>
        <v>#N/A</v>
      </c>
      <c r="DH33" s="31" t="e">
        <f>INDEX(Database!$AG$8:$BG$360,$BQ33,DH$22)</f>
        <v>#N/A</v>
      </c>
      <c r="DI33" s="31" t="e">
        <f>INDEX(Database!$AG$8:$BG$360,$BQ33,DI$22)</f>
        <v>#N/A</v>
      </c>
      <c r="DJ33" s="5" t="e">
        <f>INDEX(Database!$AG$8:$BG$360,$BQ33,DJ$22)</f>
        <v>#N/A</v>
      </c>
      <c r="DK33" s="35" t="e">
        <f>INDEX(Database!$AG$8:$BG$360,$BQ33,DK$22)</f>
        <v>#N/A</v>
      </c>
      <c r="DL33" s="6" t="e">
        <f>INDEX(Database!$AG$8:$BG$360,$BQ33,DL$22)</f>
        <v>#N/A</v>
      </c>
      <c r="DM33" s="35" t="e">
        <f>INDEX(Database!$AG$8:$BG$360,$BQ33,DM$22)</f>
        <v>#N/A</v>
      </c>
      <c r="DN33" s="35" t="e">
        <f>INDEX(Database!$AG$8:$BG$360,$BQ33,DN$22)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IF(More_Plans,IF(Locked,IF(Selected_Plan,$BZ34,$BV34),IFERROR(PROPER(INDEX(Database!$G$8:$G$360,$BQ34)),"")),"")</f>
        <v/>
      </c>
      <c r="C34" s="306"/>
      <c r="D34" s="306"/>
      <c r="E34" s="306"/>
      <c r="F34" s="306"/>
      <c r="G34" s="260" t="str">
        <f>IF(Locked,"",IFERROR(HYPERLINK(INDEX(Database!$Y$8:$Y$360,$BQ34),"EFL"),""))</f>
        <v/>
      </c>
      <c r="H34" s="260" t="str">
        <f>IF(Locked,"",IFERROR(HYPERLINK(INDEX(Database!$U$8:$U$360,$BQ34),"TOS"),""))</f>
        <v/>
      </c>
      <c r="I34" s="299" t="str">
        <f>IFERROR(INDEX(Database!$Q$8:$Q$360,$BQ34),"")</f>
        <v/>
      </c>
      <c r="J34" s="299"/>
      <c r="K34" s="195" t="str">
        <f>IFERROR(IF(All_In,INDEX(Database!$BQ$8:$BQ$360,$BQ34),INDEX(Database!$BR$8:$BR$360,$BQ34)),"")</f>
        <v/>
      </c>
      <c r="L34" s="194" t="str">
        <f>IFERROR(INDEX(Database!$BO$8:$BO$360,$BQ34),"")</f>
        <v/>
      </c>
      <c r="M34" s="243" t="str">
        <f>IFERROR(INDEX(Database!$CX$8:$CX$360,$BQ34),"")</f>
        <v/>
      </c>
      <c r="N34" s="201" t="str">
        <f>IFERROR(INDEX(Database!$BH$8:$BH$360,$BQ34),"")</f>
        <v/>
      </c>
      <c r="O34" s="179"/>
      <c r="P34" s="179" t="str">
        <f>IFERROR(INDEX(Database!$P$8:$P$360,$BQ34),"")</f>
        <v/>
      </c>
      <c r="Q34" s="240" t="str">
        <f>IFERROR(INDEX(Database!$CR$8:$CR$360,$BQ34),"")</f>
        <v/>
      </c>
      <c r="R34" s="180" t="str">
        <f>IFERROR(INDEX(Database!$AC$8:$AC$360,$BQ34),"")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IFERROR(INDEX(Database!$BJ$8:$BJ$360,$BQ34),"")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IF(More_Plans,MATCH($A34,Database!$CG$8:$CG$360,0),NA())</f>
        <v>#N/A</v>
      </c>
      <c r="BR34" s="118">
        <f>Locked*IFERROR((($K34-INDEX(Trends!$AA$5:$AA$8,MATCH($I34,{24,12,6,3},-1)))&lt;BR$25),0)</f>
        <v>0</v>
      </c>
      <c r="BS34" t="e">
        <f>MATCH(SUBSTITUTE(INDEX(Database!$U$8:$U$360,$BQ34),"~","~~"),TOS!$C$6:$C$213,0)</f>
        <v>#N/A</v>
      </c>
      <c r="BT34" t="e">
        <f>MATCH(INDEX(Database!$F$8:$F$360,$BQ34),REP_Info!$D$6:$D$250,0)</f>
        <v>#N/A</v>
      </c>
      <c r="BU34" t="str">
        <f>IFERROR(INDEX(Database!$CV$8:$CV$360,$BQ34),"")</f>
        <v/>
      </c>
      <c r="BV34" t="s">
        <v>217</v>
      </c>
      <c r="BZ34" t="s">
        <v>218</v>
      </c>
      <c r="CD34" t="str">
        <f>""</f>
        <v/>
      </c>
      <c r="CN34" t="e">
        <f>INDEX(Database!$AG$8:$BG$360,$BQ34,CN$22)</f>
        <v>#N/A</v>
      </c>
      <c r="CO34" t="e">
        <f>IF(ISBLANK(INDEX(Database!$AG$8:$BG$360,$BQ34,CO$22)),"",INDEX(Database!$AG$8:$BG$360,$BQ34,CO$22))</f>
        <v>#N/A</v>
      </c>
      <c r="CP34" t="e">
        <f>IF(ISBLANK(INDEX(Database!$AG$8:$BG$360,$BQ34,CP$22)),"",INDEX(Database!$AG$8:$BG$360,$BQ34,CP$22))</f>
        <v>#N/A</v>
      </c>
      <c r="CQ34" t="e">
        <f>IF(ISBLANK(INDEX(Database!$AG$8:$BG$360,$BQ34,CQ$22)),"",INDEX(Database!$AG$8:$BG$360,$BQ34,CQ$22))</f>
        <v>#N/A</v>
      </c>
      <c r="CR34" t="e">
        <f>IF(ISBLANK(INDEX(Database!$AG$8:$BG$360,$BQ34,CR$22)),"",INDEX(Database!$AG$8:$BG$360,$BQ34,CR$22))</f>
        <v>#N/A</v>
      </c>
      <c r="CS34" t="e">
        <f>IF(ISBLANK(INDEX(Database!$AG$8:$BG$360,$BQ34,CS$22)),"",INDEX(Database!$AG$8:$BG$360,$BQ34,CS$22))</f>
        <v>#N/A</v>
      </c>
      <c r="CT34" t="e">
        <f>IF(ISBLANK(INDEX(Database!$AG$8:$BG$360,$BQ34,CT$22)),"",INDEX(Database!$AG$8:$BG$360,$BQ34,CT$22))</f>
        <v>#N/A</v>
      </c>
      <c r="CU34" t="e">
        <f>IF(ISBLANK(INDEX(Database!$AG$8:$BG$360,$BQ34,CU$22)),"",INDEX(Database!$AG$8:$BG$360,$BQ34,CU$22))</f>
        <v>#N/A</v>
      </c>
      <c r="CV34" t="e">
        <f>IF(ISBLANK(INDEX(Database!$AG$8:$BG$360,$BQ34,CV$22)),"",INDEX(Database!$AG$8:$BG$360,$BQ34,CV$22))</f>
        <v>#N/A</v>
      </c>
      <c r="CW34" t="e">
        <f>IF(ISBLANK(INDEX(Database!$AG$8:$BG$360,$BQ34,CW$22)),"",INDEX(Database!$AG$8:$BG$360,$BQ34,CW$22))</f>
        <v>#N/A</v>
      </c>
      <c r="CX34" t="e">
        <f>IF(ISBLANK(INDEX(Database!$AG$8:$BG$360,$BQ34,CX$22)),"",INDEX(Database!$AG$8:$BG$360,$BQ34,CX$22))</f>
        <v>#N/A</v>
      </c>
      <c r="CY34" t="e">
        <f>INDEX(Database!$AG$8:$BG$360,$BQ34,CY$22)</f>
        <v>#N/A</v>
      </c>
      <c r="CZ34" t="e">
        <f>INDEX(Database!$AG$8:$BG$360,$BQ34,CZ$22)</f>
        <v>#N/A</v>
      </c>
      <c r="DA34" t="e">
        <f>INDEX(Database!$AG$8:$BG$360,$BQ34,DA$22)</f>
        <v>#N/A</v>
      </c>
      <c r="DB34" t="e">
        <f>INDEX(Database!$AG$8:$BG$360,$BQ34,DB$22)</f>
        <v>#N/A</v>
      </c>
      <c r="DC34" t="e">
        <f>INDEX(Database!$AG$8:$BG$360,$BQ34,DC$22)</f>
        <v>#N/A</v>
      </c>
      <c r="DD34" t="e">
        <f>INDEX(Database!$AG$8:$BG$360,$BQ34,DD$22)</f>
        <v>#N/A</v>
      </c>
      <c r="DE34" s="31" t="e">
        <f>INDEX(Database!$AG$8:$BG$360,$BQ34,DE$22)</f>
        <v>#N/A</v>
      </c>
      <c r="DF34" s="31" t="e">
        <f>INDEX(Database!$AG$8:$BG$360,$BQ34,DF$22)</f>
        <v>#N/A</v>
      </c>
      <c r="DG34" s="31" t="e">
        <f>INDEX(Database!$AG$8:$BG$360,$BQ34,DG$22)</f>
        <v>#N/A</v>
      </c>
      <c r="DH34" s="31" t="e">
        <f>INDEX(Database!$AG$8:$BG$360,$BQ34,DH$22)</f>
        <v>#N/A</v>
      </c>
      <c r="DI34" s="31" t="e">
        <f>INDEX(Database!$AG$8:$BG$360,$BQ34,DI$22)</f>
        <v>#N/A</v>
      </c>
      <c r="DJ34" s="5" t="e">
        <f>INDEX(Database!$AG$8:$BG$360,$BQ34,DJ$22)</f>
        <v>#N/A</v>
      </c>
      <c r="DK34" s="35" t="e">
        <f>INDEX(Database!$AG$8:$BG$360,$BQ34,DK$22)</f>
        <v>#N/A</v>
      </c>
      <c r="DL34" s="6" t="e">
        <f>INDEX(Database!$AG$8:$BG$360,$BQ34,DL$22)</f>
        <v>#N/A</v>
      </c>
      <c r="DM34" s="35" t="e">
        <f>INDEX(Database!$AG$8:$BG$360,$BQ34,DM$22)</f>
        <v>#N/A</v>
      </c>
      <c r="DN34" s="35" t="e">
        <f>INDEX(Database!$AG$8:$BG$360,$BQ34,DN$22)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IF(More_Plans,IF(Locked,IF(Selected_Plan,$BZ35,$BV35),IFERROR(PROPER(INDEX(Database!$G$8:$G$360,$BQ35)),"")),"")</f>
        <v/>
      </c>
      <c r="C35" s="306"/>
      <c r="D35" s="306"/>
      <c r="E35" s="306"/>
      <c r="F35" s="306"/>
      <c r="G35" s="260" t="str">
        <f>IF(Locked,"",IFERROR(HYPERLINK(INDEX(Database!$Y$8:$Y$360,$BQ35),"EFL"),""))</f>
        <v/>
      </c>
      <c r="H35" s="260" t="str">
        <f>IF(Locked,"",IFERROR(HYPERLINK(INDEX(Database!$U$8:$U$360,$BQ35),"TOS"),""))</f>
        <v/>
      </c>
      <c r="I35" s="299" t="str">
        <f>IFERROR(INDEX(Database!$Q$8:$Q$360,$BQ35),"")</f>
        <v/>
      </c>
      <c r="J35" s="299"/>
      <c r="K35" s="195" t="str">
        <f>IFERROR(IF(All_In,INDEX(Database!$BQ$8:$BQ$360,$BQ35),INDEX(Database!$BR$8:$BR$360,$BQ35)),"")</f>
        <v/>
      </c>
      <c r="L35" s="194" t="str">
        <f>IFERROR(INDEX(Database!$BO$8:$BO$360,$BQ35),"")</f>
        <v/>
      </c>
      <c r="M35" s="243" t="str">
        <f>IFERROR(INDEX(Database!$CX$8:$CX$360,$BQ35),"")</f>
        <v/>
      </c>
      <c r="N35" s="201" t="str">
        <f>IFERROR(INDEX(Database!$BH$8:$BH$360,$BQ35),"")</f>
        <v/>
      </c>
      <c r="O35" s="179"/>
      <c r="P35" s="179" t="str">
        <f>IFERROR(INDEX(Database!$P$8:$P$360,$BQ35),"")</f>
        <v/>
      </c>
      <c r="Q35" s="240" t="str">
        <f>IFERROR(INDEX(Database!$CR$8:$CR$360,$BQ35),"")</f>
        <v/>
      </c>
      <c r="R35" s="180" t="str">
        <f>IFERROR(INDEX(Database!$AC$8:$AC$360,$BQ35),"")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IFERROR(INDEX(Database!$BJ$8:$BJ$360,$BQ35),"")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IF(More_Plans,MATCH($A35,Database!$CG$8:$CG$360,0),NA())</f>
        <v>#N/A</v>
      </c>
      <c r="BR35" s="118">
        <f>Locked*IFERROR((($K35-INDEX(Trends!$AA$5:$AA$8,MATCH($I35,{24,12,6,3},-1)))&lt;BR$25),0)</f>
        <v>0</v>
      </c>
      <c r="BS35" t="e">
        <f>MATCH(SUBSTITUTE(INDEX(Database!$U$8:$U$360,$BQ35),"~","~~"),TOS!$C$6:$C$213,0)</f>
        <v>#N/A</v>
      </c>
      <c r="BT35" t="e">
        <f>MATCH(INDEX(Database!$F$8:$F$360,$BQ35),REP_Info!$D$6:$D$250,0)</f>
        <v>#N/A</v>
      </c>
      <c r="BU35" t="str">
        <f>IFERROR(INDEX(Database!$CV$8:$CV$360,$BQ35),"")</f>
        <v/>
      </c>
      <c r="BV35" t="str">
        <f>""</f>
        <v/>
      </c>
      <c r="BZ35" t="s">
        <v>221</v>
      </c>
      <c r="CD35" t="str">
        <f>""</f>
        <v/>
      </c>
      <c r="CN35" t="e">
        <f>INDEX(Database!$AG$8:$BG$360,$BQ35,CN$22)</f>
        <v>#N/A</v>
      </c>
      <c r="CO35" t="e">
        <f>IF(ISBLANK(INDEX(Database!$AG$8:$BG$360,$BQ35,CO$22)),"",INDEX(Database!$AG$8:$BG$360,$BQ35,CO$22))</f>
        <v>#N/A</v>
      </c>
      <c r="CP35" t="e">
        <f>IF(ISBLANK(INDEX(Database!$AG$8:$BG$360,$BQ35,CP$22)),"",INDEX(Database!$AG$8:$BG$360,$BQ35,CP$22))</f>
        <v>#N/A</v>
      </c>
      <c r="CQ35" t="e">
        <f>IF(ISBLANK(INDEX(Database!$AG$8:$BG$360,$BQ35,CQ$22)),"",INDEX(Database!$AG$8:$BG$360,$BQ35,CQ$22))</f>
        <v>#N/A</v>
      </c>
      <c r="CR35" t="e">
        <f>IF(ISBLANK(INDEX(Database!$AG$8:$BG$360,$BQ35,CR$22)),"",INDEX(Database!$AG$8:$BG$360,$BQ35,CR$22))</f>
        <v>#N/A</v>
      </c>
      <c r="CS35" t="e">
        <f>IF(ISBLANK(INDEX(Database!$AG$8:$BG$360,$BQ35,CS$22)),"",INDEX(Database!$AG$8:$BG$360,$BQ35,CS$22))</f>
        <v>#N/A</v>
      </c>
      <c r="CT35" t="e">
        <f>IF(ISBLANK(INDEX(Database!$AG$8:$BG$360,$BQ35,CT$22)),"",INDEX(Database!$AG$8:$BG$360,$BQ35,CT$22))</f>
        <v>#N/A</v>
      </c>
      <c r="CU35" t="e">
        <f>IF(ISBLANK(INDEX(Database!$AG$8:$BG$360,$BQ35,CU$22)),"",INDEX(Database!$AG$8:$BG$360,$BQ35,CU$22))</f>
        <v>#N/A</v>
      </c>
      <c r="CV35" t="e">
        <f>IF(ISBLANK(INDEX(Database!$AG$8:$BG$360,$BQ35,CV$22)),"",INDEX(Database!$AG$8:$BG$360,$BQ35,CV$22))</f>
        <v>#N/A</v>
      </c>
      <c r="CW35" t="e">
        <f>IF(ISBLANK(INDEX(Database!$AG$8:$BG$360,$BQ35,CW$22)),"",INDEX(Database!$AG$8:$BG$360,$BQ35,CW$22))</f>
        <v>#N/A</v>
      </c>
      <c r="CX35" t="e">
        <f>IF(ISBLANK(INDEX(Database!$AG$8:$BG$360,$BQ35,CX$22)),"",INDEX(Database!$AG$8:$BG$360,$BQ35,CX$22))</f>
        <v>#N/A</v>
      </c>
      <c r="CY35" t="e">
        <f>INDEX(Database!$AG$8:$BG$360,$BQ35,CY$22)</f>
        <v>#N/A</v>
      </c>
      <c r="CZ35" t="e">
        <f>INDEX(Database!$AG$8:$BG$360,$BQ35,CZ$22)</f>
        <v>#N/A</v>
      </c>
      <c r="DA35" t="e">
        <f>INDEX(Database!$AG$8:$BG$360,$BQ35,DA$22)</f>
        <v>#N/A</v>
      </c>
      <c r="DB35" t="e">
        <f>INDEX(Database!$AG$8:$BG$360,$BQ35,DB$22)</f>
        <v>#N/A</v>
      </c>
      <c r="DC35" t="e">
        <f>INDEX(Database!$AG$8:$BG$360,$BQ35,DC$22)</f>
        <v>#N/A</v>
      </c>
      <c r="DD35" t="e">
        <f>INDEX(Database!$AG$8:$BG$360,$BQ35,DD$22)</f>
        <v>#N/A</v>
      </c>
      <c r="DE35" s="31" t="e">
        <f>INDEX(Database!$AG$8:$BG$360,$BQ35,DE$22)</f>
        <v>#N/A</v>
      </c>
      <c r="DF35" s="31" t="e">
        <f>INDEX(Database!$AG$8:$BG$360,$BQ35,DF$22)</f>
        <v>#N/A</v>
      </c>
      <c r="DG35" s="31" t="e">
        <f>INDEX(Database!$AG$8:$BG$360,$BQ35,DG$22)</f>
        <v>#N/A</v>
      </c>
      <c r="DH35" s="31" t="e">
        <f>INDEX(Database!$AG$8:$BG$360,$BQ35,DH$22)</f>
        <v>#N/A</v>
      </c>
      <c r="DI35" s="31" t="e">
        <f>INDEX(Database!$AG$8:$BG$360,$BQ35,DI$22)</f>
        <v>#N/A</v>
      </c>
      <c r="DJ35" s="5" t="e">
        <f>INDEX(Database!$AG$8:$BG$360,$BQ35,DJ$22)</f>
        <v>#N/A</v>
      </c>
      <c r="DK35" s="35" t="e">
        <f>INDEX(Database!$AG$8:$BG$360,$BQ35,DK$22)</f>
        <v>#N/A</v>
      </c>
      <c r="DL35" s="6" t="e">
        <f>INDEX(Database!$AG$8:$BG$360,$BQ35,DL$22)</f>
        <v>#N/A</v>
      </c>
      <c r="DM35" s="35" t="e">
        <f>INDEX(Database!$AG$8:$BG$360,$BQ35,DM$22)</f>
        <v>#N/A</v>
      </c>
      <c r="DN35" s="35" t="e">
        <f>INDEX(Database!$AG$8:$BG$360,$BQ35,DN$22)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IF(Locked,"",IF(Sign_Up,IF(LEFT(INDEX(Database!$Z$8:$Z$360,Plan_DBRow),4)="http",HYPERLINK(INDEX(Database!$Z$8:$Z$360,Plan_DBRow),"Sign Up!"),HYPERLINK("Call "&amp;INDEX(Database!$AB$8:$AB$360,Plan_DBRow)&amp;"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2"/>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26, 2026 3:51p)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46321.660416666666</v>
      </c>
      <c r="C3" s="41">
        <f>A3+1.5</f>
        <v>46323.160416666666</v>
      </c>
      <c r="E3" s="275">
        <f>SUBTOTAL(3,E8:E360)</f>
        <v>351</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2.7052019164955827</v>
      </c>
      <c r="BT4" s="143">
        <v>3.6251197809719691</v>
      </c>
      <c r="BU4" s="143">
        <v>4.6436002737851103</v>
      </c>
      <c r="BV4" s="143">
        <v>5.6292265571526672</v>
      </c>
      <c r="BW4" s="143">
        <v>6.6477070499658089</v>
      </c>
      <c r="BX4" s="143">
        <v>7.6333333333333648</v>
      </c>
      <c r="BY4" s="143">
        <v>8.6518138261465065</v>
      </c>
      <c r="BZ4" s="143">
        <v>9.6702943189596482</v>
      </c>
      <c r="CA4" s="143">
        <v>10.655920602327205</v>
      </c>
      <c r="CB4" s="143">
        <v>11.674401095140347</v>
      </c>
      <c r="CC4" s="143">
        <v>0.66824093086929948</v>
      </c>
      <c r="CD4" s="143">
        <v>1.6867214236824413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INDEX($CG$8:$CG$360,MATCH(MIN($CR$8:$CR$360),$CR$8:$CR$360,0))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60"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5"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60" si="2">IFERROR(SUMPRODUCT($BS$7:$CD$7,$BS8:$CD8)/100,"$$$")</f>
        <v>$$$</v>
      </c>
      <c r="BP8" s="88" t="str">
        <f t="shared" ref="BP8" si="3">IFERROR(BO8*100/BO$5,"$$$")</f>
        <v>$$$</v>
      </c>
      <c r="BQ8" s="88" t="str">
        <f t="shared" ref="BQ8:BQ360" si="4">IFERROR(SUMPRODUCT($BS$7:$CD$7,$BS8:$CD8,--($BS$4:$CD$4&lt;=$Q8))/SUMPRODUCT(--($BS$4:$CD$4&lt;=$Q8),$BS$7:$CD$7),"$$$")</f>
        <v>$$$</v>
      </c>
      <c r="BR8" s="88" t="str">
        <f t="shared" ref="BR8:BR360" si="5">IFERROR($BQ8-$BF8*100*SUMPRODUCT(--($BS$4:$CD$4&lt;=$Q8))/SUMPRODUCT(--($BS$4:$CD$4&lt;=$Q8),$BS$7:$CD$7)-$BG8*100,"$$$")</f>
        <v>$$$</v>
      </c>
      <c r="BS8" s="29" t="e">
        <f t="shared" ref="BS8:CD175"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0" si="7">IF(ISNUMBER(CF8),RANK($CF8,$CF$8:$CF$360,1),"")</f>
        <v/>
      </c>
      <c r="CF8" s="27" t="e">
        <f>IF(AND(CI8,NOT(AD8)),LOOKUP(CF$5,{0,750,1500},H8:J8),"")</f>
        <v>#N/A</v>
      </c>
      <c r="CG8" s="6" t="str">
        <f t="shared" ref="CG8:CG80" si="8">IF(ISNUMBER(CH8),RANK($CH8,$CH$8:$CH$360,1),"")</f>
        <v/>
      </c>
      <c r="CH8" t="e">
        <f t="shared" ref="CH8" si="9">IF(CI8,IF(ISNUMBER(BO8),BO8,100000)+CV8/10000+IF(ISNUMBER(BJ8),BJ8,2)/10000-P8/100000+ROW()/10000000,"")</f>
        <v>#N/A</v>
      </c>
      <c r="CI8" t="e">
        <f t="shared" ref="CI8" si="10">PRODUCT(CJ8:CQ8)</f>
        <v>#N/A</v>
      </c>
      <c r="CJ8" s="6" t="e">
        <f t="shared" ref="CJ8:CJ360" si="11">IF($E8=CJ$5,1,0)</f>
        <v>#N/A</v>
      </c>
      <c r="CK8" s="6">
        <f t="shared" ref="CK8:CK360" si="12">IF(CK$5="[Any]",1,IF($F8=CK$5,1,0))</f>
        <v>1</v>
      </c>
      <c r="CL8" s="6">
        <f>IFERROR(--OR(ISBLANK(CL$5),$BJ8="",AND(ISNUMBER($BJ8),$BJ8&lt;=CL$5)),1)</f>
        <v>1</v>
      </c>
      <c r="CM8" s="6">
        <f t="shared" ref="CM8:CM360" si="13">IF($O8="Fixed",1,0)</f>
        <v>0</v>
      </c>
      <c r="CN8" s="6">
        <f t="shared" ref="CN8:CN360" si="14">IF($Q8&gt;=CN$5,1,0)</f>
        <v>0</v>
      </c>
      <c r="CO8" s="6">
        <f t="shared" ref="CO8:CO360" si="15">IF($Q8&lt;=CO$5,1,0)</f>
        <v>1</v>
      </c>
      <c r="CP8" s="6">
        <f t="shared" ref="CP8:CP360" si="16">IF($P8&gt;=CP$5,1,0)</f>
        <v>1</v>
      </c>
      <c r="CQ8" s="6">
        <f>IF(CQ$5="Any",1,IF(AND(CQ$5="Med",AV8=0,SUM(AN8:AQ8)=0),1,IF(AND(CQ$5="Low",AV8=0,SUM(AN8:AQ8)=0,AM8=0),1,IF(AND(CQ$5="Flat",AV8=0,SUM(AN8:AQ8)=0,AM8=0,IFERROR(NOT(BE8="Y"),0)),1,0))))</f>
        <v>1</v>
      </c>
      <c r="CR8" s="81" t="str">
        <f t="shared" ref="CR8:CR360" si="17">IF(ISNUMBER($CH8),$CH8+$CS8+$CW8,"")</f>
        <v/>
      </c>
      <c r="CS8">
        <f t="shared" ref="CS8" si="18">CS$5*(12/(MIN(12,Q8))-1)</f>
        <v>0</v>
      </c>
      <c r="CT8">
        <f t="shared" ref="CT8:CT297"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60"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60"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46317.620833333334</v>
      </c>
      <c r="D10">
        <v>38553</v>
      </c>
      <c r="E10" s="54" t="s">
        <v>235</v>
      </c>
      <c r="F10" s="54" t="s">
        <v>811</v>
      </c>
      <c r="G10" s="54" t="s">
        <v>1998</v>
      </c>
      <c r="H10" s="55">
        <v>12.6</v>
      </c>
      <c r="I10" s="55">
        <v>12.1</v>
      </c>
      <c r="J10" s="55">
        <v>11.899999999999999</v>
      </c>
      <c r="K10" s="54"/>
      <c r="L10" s="56" t="b">
        <v>0</v>
      </c>
      <c r="M10" s="56" t="b">
        <v>0</v>
      </c>
      <c r="N10" s="54">
        <v>1</v>
      </c>
      <c r="O10" s="54" t="s">
        <v>228</v>
      </c>
      <c r="P10" s="54">
        <v>26</v>
      </c>
      <c r="Q10" s="54">
        <v>3</v>
      </c>
      <c r="R10" s="54">
        <v>200</v>
      </c>
      <c r="S10" s="54" t="s">
        <v>1888</v>
      </c>
      <c r="T10" s="54"/>
      <c r="U10" s="54" t="s">
        <v>1880</v>
      </c>
      <c r="V10" s="54" t="s">
        <v>1889</v>
      </c>
      <c r="W10" s="54" t="b">
        <v>0</v>
      </c>
      <c r="X10" s="54"/>
      <c r="Y10" s="57" t="s">
        <v>2208</v>
      </c>
      <c r="Z10" s="54" t="s">
        <v>1890</v>
      </c>
      <c r="AA10" s="54"/>
      <c r="AB10" s="54" t="s">
        <v>1891</v>
      </c>
      <c r="AC10" s="56" t="b">
        <v>1</v>
      </c>
      <c r="AD10" s="56" t="b">
        <v>0</v>
      </c>
      <c r="AE10" s="54" t="s">
        <v>302</v>
      </c>
      <c r="AF10" s="58">
        <v>46314</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5.1200000000000002E-2</v>
      </c>
      <c r="BC10" s="60">
        <v>4.9000000000000004</v>
      </c>
      <c r="BD10" s="61">
        <v>6.5333000000000002E-2</v>
      </c>
      <c r="BE10" s="62" t="s">
        <v>302</v>
      </c>
      <c r="BF10" s="35">
        <f t="shared" ref="BF10:BG15" si="32">IF($E10=$E$4,BF$4,IF($E10=$E$5,BF$5,""))</f>
        <v>4.9000000000000004</v>
      </c>
      <c r="BG10" s="35">
        <f t="shared" si="32"/>
        <v>6.5333000000000002E-2</v>
      </c>
      <c r="BH10" s="35" t="str">
        <f t="shared" ref="BH10:BH15" si="33">IF(ISTEXT(BE10),IF(AND(AV10=0,SUM(AN10:AQ10)=0),IF(AM10&lt;=0,IF(BE10="Y","Low","Flat"),"Med"),"High"),"?")</f>
        <v>Flat</v>
      </c>
      <c r="BI10" s="110">
        <f t="shared" ref="BI10:BI15" si="34">IF(ISNUMBER(AH10),0*BI$5*SIN((EDATE($A$3,$Q10)-DATE(YEAR(EDATE($A$3,$Q10)),1,0)-BI$4)*2*PI()/365),"")</f>
        <v>0</v>
      </c>
      <c r="BJ10" s="83">
        <f>VLOOKUP($F10,REP_Info!$D$6:$H$250,5,FALSE)</f>
        <v>2.7330000000000001</v>
      </c>
      <c r="BK10" s="30">
        <f t="shared" ref="BK10:BN15" si="35">IF(BK$7&gt;0,(LOOKUP(BK$7,$AH10:$AL10,$AM10:$AQ10)+IF($AG10="Y",SUMPRODUCT($AX10:$BB10-$AW10:$BA10,BK$7-$AR10:$AV10,N(BK$7&gt;$AR10:$AV10)),BK$7*LOOKUP(BK$7,$AR10:$AV10,$AX10:$BB10))+IF($BE10="Y",$BF10,$BC10)+BK$7*IF($BE10="Y",$BG10,$BD10))*100/BK$7,"")</f>
        <v>12.633299999999998</v>
      </c>
      <c r="BL10" s="30">
        <f t="shared" si="35"/>
        <v>12.1433</v>
      </c>
      <c r="BM10" s="30">
        <f t="shared" si="35"/>
        <v>11.898300000000001</v>
      </c>
      <c r="BN10" s="29">
        <f t="shared" si="35"/>
        <v>11.816633333333334</v>
      </c>
      <c r="BO10" s="85" t="str">
        <f t="shared" ref="BO10:BO15" si="36">IFERROR(SUMPRODUCT($BS$7:$CD$7,$BS10:$CD10)/100,"$$$")</f>
        <v>$$$</v>
      </c>
      <c r="BP10" s="88" t="str">
        <f t="shared" ref="BP10:BP15" si="37">IFERROR(BO10*100/BO$5,"$$$")</f>
        <v>$$$</v>
      </c>
      <c r="BQ10" s="88" t="str">
        <f t="shared" ref="BQ10:BQ15" si="38">IFERROR(SUMPRODUCT($BS$7:$CD$7,$BS10:$CD10,--($BS$4:$CD$4&lt;=$Q10))/SUMPRODUCT(--($BS$4:$CD$4&lt;=$Q10),$BS$7:$CD$7),"$$$")</f>
        <v>$$$</v>
      </c>
      <c r="BR10" s="88" t="str">
        <f t="shared" ref="BR10:BR15" si="39">IFERROR($BQ10-$BF10*100*SUMPRODUCT(--($BS$4:$CD$4&lt;=$Q10))/SUMPRODUCT(--($BS$4:$CD$4&lt;=$Q10),$BS$7:$CD$7)-$BG10*100,"$$$")</f>
        <v>$$$</v>
      </c>
      <c r="BS10" s="29" t="e">
        <f t="shared" ref="BS10:CD15"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5" si="41">IF(ISNUMBER(CF10),RANK($CF10,$CF$8:$CF$360,1),"")</f>
        <v/>
      </c>
      <c r="CF10" s="27" t="e">
        <f>IF(AND(CI10,NOT(AD10)),LOOKUP(CF$5,{0,750,1500},H10:J10),"")</f>
        <v>#N/A</v>
      </c>
      <c r="CG10" s="6" t="str">
        <f t="shared" ref="CG10:CG15" si="42">IF(ISNUMBER(CH10),RANK($CH10,$CH$8:$CH$360,1),"")</f>
        <v/>
      </c>
      <c r="CH10" t="e">
        <f t="shared" ref="CH10:CH15" si="43">IF(CI10,IF(ISNUMBER(BO10),BO10,100000)+CV10/10000+IF(ISNUMBER(BJ10),BJ10,2)/10000-P10/100000+ROW()/10000000,"")</f>
        <v>#N/A</v>
      </c>
      <c r="CI10" t="e">
        <f t="shared" ref="CI10:CI15" si="44">PRODUCT(CJ10:CQ10)</f>
        <v>#N/A</v>
      </c>
      <c r="CJ10" s="6" t="e">
        <f t="shared" ref="CJ10:CJ15" si="45">IF($E10=CJ$5,1,0)</f>
        <v>#N/A</v>
      </c>
      <c r="CK10" s="6">
        <f t="shared" ref="CK10:CK15" si="46">IF(CK$5="[Any]",1,IF($F10=CK$5,1,0))</f>
        <v>1</v>
      </c>
      <c r="CL10" s="6">
        <f t="shared" ref="CL10:CL15" si="47">IFERROR(--OR(ISBLANK(CL$5),$BJ10="",AND(ISNUMBER($BJ10),$BJ10&lt;=CL$5)),1)</f>
        <v>1</v>
      </c>
      <c r="CM10" s="6">
        <f t="shared" ref="CM10:CM15" si="48">IF($O10="Fixed",1,0)</f>
        <v>1</v>
      </c>
      <c r="CN10" s="6">
        <f t="shared" ref="CN10:CN15" si="49">IF($Q10&gt;=CN$5,1,0)</f>
        <v>0</v>
      </c>
      <c r="CO10" s="6">
        <f t="shared" ref="CO10:CO15" si="50">IF($Q10&lt;=CO$5,1,0)</f>
        <v>1</v>
      </c>
      <c r="CP10" s="6">
        <f t="shared" ref="CP10:CP15" si="51">IF($P10&gt;=CP$5,1,0)</f>
        <v>1</v>
      </c>
      <c r="CQ10" s="6">
        <f t="shared" ref="CQ10:CQ15" si="52">IF(CQ$5="Any",1,IF(AND(CQ$5="Med",AV10=0,SUM(AN10:AQ10)=0),1,IF(AND(CQ$5="Low",AV10=0,SUM(AN10:AQ10)=0,AM10=0),1,IF(AND(CQ$5="Flat",AV10=0,SUM(AN10:AQ10)=0,AM10=0,IFERROR(NOT(BE10="Y"),0)),1,0))))</f>
        <v>1</v>
      </c>
      <c r="CR10" s="81" t="str">
        <f t="shared" ref="CR10:CR15" si="53">IF(ISNUMBER($CH10),$CH10+$CS10+$CW10,"")</f>
        <v/>
      </c>
      <c r="CS10">
        <f t="shared" ref="CS10:CS15" si="54">CS$5*(12/(MIN(12,Q10))-1)</f>
        <v>54</v>
      </c>
      <c r="CT10">
        <f t="shared" si="19"/>
        <v>200</v>
      </c>
      <c r="CU10" t="str">
        <f t="shared" ref="CU10:CU15" si="55">IF(AND(ISERR(FIND("remain",$R10)),ISERR(FIND("left",$R10))),"","r")&amp;IF(ISERR(FIND("mon",$R10)),"","m")</f>
        <v/>
      </c>
      <c r="CV10" s="81">
        <f t="shared" ref="CV10:CV15" si="56">CT10*IF(CU10="",1,Q10)</f>
        <v>200</v>
      </c>
      <c r="CW10" s="81">
        <f>(CV10/25)^1.5*(Calculator!$BU$4/10000)*CW$5</f>
        <v>11.767523974296054</v>
      </c>
      <c r="CX10" t="str">
        <f t="shared" ref="CX10:CX15" si="57">"$"&amp;IF(LEFT(CU10,1)="r",CT10&amp;"/"&amp;CU10,CV10)</f>
        <v>$200</v>
      </c>
    </row>
    <row r="11" spans="1:102" x14ac:dyDescent="0.25">
      <c r="B11" s="115" t="s">
        <v>233</v>
      </c>
      <c r="C11" s="13">
        <v>46317.620833333334</v>
      </c>
      <c r="D11">
        <v>38573</v>
      </c>
      <c r="E11" s="54" t="s">
        <v>237</v>
      </c>
      <c r="F11" s="54" t="s">
        <v>811</v>
      </c>
      <c r="G11" s="54" t="s">
        <v>1998</v>
      </c>
      <c r="H11" s="55">
        <v>12.9</v>
      </c>
      <c r="I11" s="55">
        <v>12.5</v>
      </c>
      <c r="J11" s="55">
        <v>12.3</v>
      </c>
      <c r="K11" s="54"/>
      <c r="L11" s="56" t="b">
        <v>0</v>
      </c>
      <c r="M11" s="56" t="b">
        <v>0</v>
      </c>
      <c r="N11" s="54">
        <v>1</v>
      </c>
      <c r="O11" s="54" t="s">
        <v>228</v>
      </c>
      <c r="P11" s="54">
        <v>26</v>
      </c>
      <c r="Q11" s="54">
        <v>3</v>
      </c>
      <c r="R11" s="54">
        <v>200</v>
      </c>
      <c r="S11" s="54" t="s">
        <v>1888</v>
      </c>
      <c r="T11" s="54"/>
      <c r="U11" s="54" t="s">
        <v>1880</v>
      </c>
      <c r="V11" s="54" t="s">
        <v>1889</v>
      </c>
      <c r="W11" s="54" t="b">
        <v>0</v>
      </c>
      <c r="X11" s="54"/>
      <c r="Y11" s="57" t="s">
        <v>2209</v>
      </c>
      <c r="Z11" s="54" t="s">
        <v>1890</v>
      </c>
      <c r="AA11" s="54"/>
      <c r="AB11" s="54" t="s">
        <v>1891</v>
      </c>
      <c r="AC11" s="56" t="b">
        <v>1</v>
      </c>
      <c r="AD11" s="56" t="b">
        <v>0</v>
      </c>
      <c r="AE11" s="54" t="s">
        <v>302</v>
      </c>
      <c r="AF11" s="58">
        <v>46314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5.1900000000000002E-2</v>
      </c>
      <c r="BC11" s="60">
        <v>4.0599999999999996</v>
      </c>
      <c r="BD11" s="61">
        <v>6.8672999999999998E-2</v>
      </c>
      <c r="BE11" s="62" t="s">
        <v>293</v>
      </c>
      <c r="BF11" s="35">
        <f t="shared" si="32"/>
        <v>4.0600000000000005</v>
      </c>
      <c r="BG11" s="35">
        <f t="shared" si="32"/>
        <v>6.8672999999999998E-2</v>
      </c>
      <c r="BH11" s="35" t="str">
        <f t="shared" si="33"/>
        <v>Low</v>
      </c>
      <c r="BI11" s="110">
        <f t="shared" si="34"/>
        <v>0</v>
      </c>
      <c r="BJ11" s="83">
        <f>VLOOKUP($F11,REP_Info!$D$6:$H$250,5,FALSE)</f>
        <v>2.7330000000000001</v>
      </c>
      <c r="BK11" s="30">
        <f t="shared" si="35"/>
        <v>12.869299999999999</v>
      </c>
      <c r="BL11" s="30">
        <f t="shared" si="35"/>
        <v>12.4633</v>
      </c>
      <c r="BM11" s="30">
        <f t="shared" si="35"/>
        <v>12.260300000000001</v>
      </c>
      <c r="BN11" s="29">
        <f t="shared" si="35"/>
        <v>12.192633333333333</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0</v>
      </c>
      <c r="CO11" s="6">
        <f t="shared" si="50"/>
        <v>1</v>
      </c>
      <c r="CP11" s="6">
        <f t="shared" si="51"/>
        <v>1</v>
      </c>
      <c r="CQ11" s="6">
        <f t="shared" si="52"/>
        <v>1</v>
      </c>
      <c r="CR11" s="81" t="str">
        <f t="shared" si="53"/>
        <v/>
      </c>
      <c r="CS11">
        <f t="shared" si="54"/>
        <v>54</v>
      </c>
      <c r="CT11">
        <f t="shared" si="19"/>
        <v>200</v>
      </c>
      <c r="CU11" t="str">
        <f t="shared" si="55"/>
        <v/>
      </c>
      <c r="CV11" s="81">
        <f t="shared" si="56"/>
        <v>200</v>
      </c>
      <c r="CW11" s="81">
        <f>(CV11/25)^1.5*(Calculator!$BU$4/10000)*CW$5</f>
        <v>11.767523974296054</v>
      </c>
      <c r="CX11" t="str">
        <f t="shared" si="57"/>
        <v>$200</v>
      </c>
    </row>
    <row r="12" spans="1:102" x14ac:dyDescent="0.25">
      <c r="B12" s="115" t="s">
        <v>233</v>
      </c>
      <c r="C12" s="13">
        <v>46321.660416666666</v>
      </c>
      <c r="D12">
        <v>38684</v>
      </c>
      <c r="E12" s="54" t="s">
        <v>235</v>
      </c>
      <c r="F12" s="54" t="s">
        <v>811</v>
      </c>
      <c r="G12" s="54" t="s">
        <v>1999</v>
      </c>
      <c r="H12" s="55">
        <v>14.000000000000002</v>
      </c>
      <c r="I12" s="55">
        <v>13</v>
      </c>
      <c r="J12" s="55">
        <v>12.6</v>
      </c>
      <c r="K12" s="54"/>
      <c r="L12" s="56" t="b">
        <v>0</v>
      </c>
      <c r="M12" s="56" t="b">
        <v>0</v>
      </c>
      <c r="N12" s="54">
        <v>1</v>
      </c>
      <c r="O12" s="54" t="s">
        <v>228</v>
      </c>
      <c r="P12" s="54">
        <v>26</v>
      </c>
      <c r="Q12" s="54">
        <v>12</v>
      </c>
      <c r="R12" s="54">
        <v>200</v>
      </c>
      <c r="S12" s="54" t="s">
        <v>1888</v>
      </c>
      <c r="T12" s="54"/>
      <c r="U12" s="54" t="s">
        <v>1880</v>
      </c>
      <c r="V12" s="54" t="s">
        <v>1889</v>
      </c>
      <c r="W12" s="54" t="b">
        <v>0</v>
      </c>
      <c r="X12" s="54"/>
      <c r="Y12" s="57" t="s">
        <v>2256</v>
      </c>
      <c r="Z12" s="54" t="s">
        <v>1890</v>
      </c>
      <c r="AA12" s="54"/>
      <c r="AB12" s="54" t="s">
        <v>1891</v>
      </c>
      <c r="AC12" s="56" t="b">
        <v>1</v>
      </c>
      <c r="AD12" s="56" t="b">
        <v>0</v>
      </c>
      <c r="AE12" s="54" t="s">
        <v>302</v>
      </c>
      <c r="AF12" s="58">
        <v>46321</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5.5300000000000002E-2</v>
      </c>
      <c r="BC12" s="60">
        <v>4.9000000000000004</v>
      </c>
      <c r="BD12" s="61">
        <v>6.5333000000000002E-2</v>
      </c>
      <c r="BE12" s="62" t="s">
        <v>293</v>
      </c>
      <c r="BF12" s="35">
        <f t="shared" si="32"/>
        <v>4.9000000000000004</v>
      </c>
      <c r="BG12" s="35">
        <f t="shared" si="32"/>
        <v>6.5333000000000002E-2</v>
      </c>
      <c r="BH12" s="35" t="str">
        <f t="shared" si="33"/>
        <v>Med</v>
      </c>
      <c r="BI12" s="110">
        <f t="shared" si="34"/>
        <v>0</v>
      </c>
      <c r="BJ12" s="83">
        <f>VLOOKUP($F12,REP_Info!$D$6:$H$250,5,FALSE)</f>
        <v>2.7330000000000001</v>
      </c>
      <c r="BK12" s="30">
        <f t="shared" si="35"/>
        <v>14.043299999999999</v>
      </c>
      <c r="BL12" s="30">
        <f t="shared" si="35"/>
        <v>13.053300000000002</v>
      </c>
      <c r="BM12" s="30">
        <f t="shared" si="35"/>
        <v>12.558299999999999</v>
      </c>
      <c r="BN12" s="29">
        <f t="shared" si="35"/>
        <v>12.393299999999998</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41"/>
        <v/>
      </c>
      <c r="CF12" s="27" t="e">
        <f>IF(AND(CI12,NOT(AD12)),LOOKUP(CF$5,{0,750,1500},H12:J12),"")</f>
        <v>#N/A</v>
      </c>
      <c r="CG12" s="6" t="str">
        <f t="shared" si="42"/>
        <v/>
      </c>
      <c r="CH12" t="e">
        <f t="shared" si="43"/>
        <v>#N/A</v>
      </c>
      <c r="CI12" t="e">
        <f t="shared" si="44"/>
        <v>#N/A</v>
      </c>
      <c r="CJ12" s="6" t="e">
        <f t="shared" si="45"/>
        <v>#N/A</v>
      </c>
      <c r="CK12" s="6">
        <f t="shared" si="46"/>
        <v>1</v>
      </c>
      <c r="CL12" s="6">
        <f t="shared" si="47"/>
        <v>1</v>
      </c>
      <c r="CM12" s="6">
        <f t="shared" si="48"/>
        <v>1</v>
      </c>
      <c r="CN12" s="6">
        <f t="shared" si="49"/>
        <v>1</v>
      </c>
      <c r="CO12" s="6">
        <f t="shared" si="50"/>
        <v>1</v>
      </c>
      <c r="CP12" s="6">
        <f t="shared" si="51"/>
        <v>1</v>
      </c>
      <c r="CQ12" s="6">
        <f t="shared" si="52"/>
        <v>1</v>
      </c>
      <c r="CR12" s="81" t="str">
        <f t="shared" si="53"/>
        <v/>
      </c>
      <c r="CS12">
        <f t="shared" si="54"/>
        <v>0</v>
      </c>
      <c r="CT12">
        <f t="shared" ref="CT12:CT15" si="58">IF(OR(LEFT($R12,2)="No",LEFT($R12,4)="Batt"),0,VALUE(IFERROR(LEFT($R12,FIND("/",$R12)-1),IFERROR(LEFT($R12,FIND(" ",$R12)-1),$R12))))</f>
        <v>200</v>
      </c>
      <c r="CU12" t="str">
        <f t="shared" si="55"/>
        <v/>
      </c>
      <c r="CV12" s="81">
        <f t="shared" si="56"/>
        <v>200</v>
      </c>
      <c r="CW12" s="81">
        <f>(CV12/25)^1.5*(Calculator!$BU$4/10000)*CW$5</f>
        <v>11.767523974296054</v>
      </c>
      <c r="CX12" t="str">
        <f t="shared" si="57"/>
        <v>$200</v>
      </c>
    </row>
    <row r="13" spans="1:102" x14ac:dyDescent="0.25">
      <c r="B13" s="115" t="s">
        <v>233</v>
      </c>
      <c r="C13" s="13">
        <v>46321.660416666666</v>
      </c>
      <c r="D13">
        <v>38686</v>
      </c>
      <c r="E13" s="54" t="s">
        <v>235</v>
      </c>
      <c r="F13" s="54" t="s">
        <v>811</v>
      </c>
      <c r="G13" s="54" t="s">
        <v>2000</v>
      </c>
      <c r="H13" s="55">
        <v>14.399999999999999</v>
      </c>
      <c r="I13" s="55">
        <v>13.4</v>
      </c>
      <c r="J13" s="55">
        <v>12.9</v>
      </c>
      <c r="K13" s="54"/>
      <c r="L13" s="56" t="b">
        <v>0</v>
      </c>
      <c r="M13" s="56" t="b">
        <v>0</v>
      </c>
      <c r="N13" s="54">
        <v>1</v>
      </c>
      <c r="O13" s="54" t="s">
        <v>228</v>
      </c>
      <c r="P13" s="54">
        <v>26</v>
      </c>
      <c r="Q13" s="54">
        <v>24</v>
      </c>
      <c r="R13" s="54">
        <v>200</v>
      </c>
      <c r="S13" s="54" t="s">
        <v>1888</v>
      </c>
      <c r="T13" s="54"/>
      <c r="U13" s="54" t="s">
        <v>1880</v>
      </c>
      <c r="V13" s="54" t="s">
        <v>1889</v>
      </c>
      <c r="W13" s="54" t="b">
        <v>0</v>
      </c>
      <c r="X13" s="54"/>
      <c r="Y13" s="57" t="s">
        <v>2257</v>
      </c>
      <c r="Z13" s="54" t="s">
        <v>1890</v>
      </c>
      <c r="AA13" s="54"/>
      <c r="AB13" s="54" t="s">
        <v>1891</v>
      </c>
      <c r="AC13" s="56" t="b">
        <v>1</v>
      </c>
      <c r="AD13" s="56" t="b">
        <v>0</v>
      </c>
      <c r="AE13" s="54" t="s">
        <v>302</v>
      </c>
      <c r="AF13" s="58">
        <v>46321</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5.8400000000000001E-2</v>
      </c>
      <c r="BC13" s="60">
        <v>4.9000000000000004</v>
      </c>
      <c r="BD13" s="61">
        <v>6.5333000000000002E-2</v>
      </c>
      <c r="BE13" s="62" t="s">
        <v>293</v>
      </c>
      <c r="BF13" s="35">
        <f t="shared" si="32"/>
        <v>4.9000000000000004</v>
      </c>
      <c r="BG13" s="35">
        <f t="shared" si="32"/>
        <v>6.5333000000000002E-2</v>
      </c>
      <c r="BH13" s="35" t="str">
        <f t="shared" si="33"/>
        <v>Med</v>
      </c>
      <c r="BI13" s="110">
        <f t="shared" si="34"/>
        <v>0</v>
      </c>
      <c r="BJ13" s="83">
        <f>VLOOKUP($F13,REP_Info!$D$6:$H$250,5,FALSE)</f>
        <v>2.7330000000000001</v>
      </c>
      <c r="BK13" s="30">
        <f t="shared" si="35"/>
        <v>14.353300000000001</v>
      </c>
      <c r="BL13" s="30">
        <f t="shared" si="35"/>
        <v>13.363299999999997</v>
      </c>
      <c r="BM13" s="30">
        <f t="shared" si="35"/>
        <v>12.8683</v>
      </c>
      <c r="BN13" s="29">
        <f t="shared" si="35"/>
        <v>12.7033</v>
      </c>
      <c r="BO13" s="85" t="str">
        <f t="shared" si="36"/>
        <v>$$$</v>
      </c>
      <c r="BP13" s="88" t="str">
        <f t="shared" si="37"/>
        <v>$$$</v>
      </c>
      <c r="BQ13" s="88" t="str">
        <f t="shared" si="38"/>
        <v>$$$</v>
      </c>
      <c r="BR13" s="88" t="str">
        <f t="shared" si="39"/>
        <v>$$$</v>
      </c>
      <c r="BS13" s="29" t="e">
        <f t="shared" si="40"/>
        <v>#N/A</v>
      </c>
      <c r="BT13" s="29" t="e">
        <f t="shared" si="40"/>
        <v>#N/A</v>
      </c>
      <c r="BU13" s="29" t="e">
        <f t="shared" si="40"/>
        <v>#N/A</v>
      </c>
      <c r="BV13" s="29" t="e">
        <f t="shared" si="40"/>
        <v>#N/A</v>
      </c>
      <c r="BW13" s="29" t="e">
        <f t="shared" si="40"/>
        <v>#N/A</v>
      </c>
      <c r="BX13" s="29" t="e">
        <f t="shared" si="40"/>
        <v>#N/A</v>
      </c>
      <c r="BY13" s="29" t="e">
        <f t="shared" si="40"/>
        <v>#N/A</v>
      </c>
      <c r="BZ13" s="29" t="e">
        <f t="shared" si="40"/>
        <v>#N/A</v>
      </c>
      <c r="CA13" s="29" t="e">
        <f t="shared" si="40"/>
        <v>#N/A</v>
      </c>
      <c r="CB13" s="29" t="e">
        <f t="shared" si="40"/>
        <v>#N/A</v>
      </c>
      <c r="CC13" s="29" t="e">
        <f t="shared" si="40"/>
        <v>#N/A</v>
      </c>
      <c r="CD13" s="29" t="e">
        <f t="shared" si="40"/>
        <v>#N/A</v>
      </c>
      <c r="CE13" s="6" t="str">
        <f t="shared" si="41"/>
        <v/>
      </c>
      <c r="CF13" s="27" t="e">
        <f>IF(AND(CI13,NOT(AD13)),LOOKUP(CF$5,{0,750,1500},H13:J13),"")</f>
        <v>#N/A</v>
      </c>
      <c r="CG13" s="6" t="str">
        <f t="shared" si="42"/>
        <v/>
      </c>
      <c r="CH13" t="e">
        <f t="shared" si="43"/>
        <v>#N/A</v>
      </c>
      <c r="CI13" t="e">
        <f t="shared" si="44"/>
        <v>#N/A</v>
      </c>
      <c r="CJ13" s="6" t="e">
        <f t="shared" si="45"/>
        <v>#N/A</v>
      </c>
      <c r="CK13" s="6">
        <f t="shared" si="46"/>
        <v>1</v>
      </c>
      <c r="CL13" s="6">
        <f t="shared" si="47"/>
        <v>1</v>
      </c>
      <c r="CM13" s="6">
        <f t="shared" si="48"/>
        <v>1</v>
      </c>
      <c r="CN13" s="6">
        <f t="shared" si="49"/>
        <v>1</v>
      </c>
      <c r="CO13" s="6">
        <f t="shared" si="50"/>
        <v>0</v>
      </c>
      <c r="CP13" s="6">
        <f t="shared" si="51"/>
        <v>1</v>
      </c>
      <c r="CQ13" s="6">
        <f t="shared" si="52"/>
        <v>1</v>
      </c>
      <c r="CR13" s="81" t="str">
        <f t="shared" si="53"/>
        <v/>
      </c>
      <c r="CS13">
        <f t="shared" si="54"/>
        <v>0</v>
      </c>
      <c r="CT13">
        <f t="shared" si="58"/>
        <v>200</v>
      </c>
      <c r="CU13" t="str">
        <f t="shared" si="55"/>
        <v/>
      </c>
      <c r="CV13" s="81">
        <f t="shared" si="56"/>
        <v>200</v>
      </c>
      <c r="CW13" s="81">
        <f>(CV13/25)^1.5*(Calculator!$BU$4/10000)*CW$5</f>
        <v>11.767523974296054</v>
      </c>
      <c r="CX13" t="str">
        <f t="shared" si="57"/>
        <v>$200</v>
      </c>
    </row>
    <row r="14" spans="1:102" x14ac:dyDescent="0.25">
      <c r="B14" s="115" t="s">
        <v>233</v>
      </c>
      <c r="C14" s="13">
        <v>46321.660416666666</v>
      </c>
      <c r="D14">
        <v>38689</v>
      </c>
      <c r="E14" s="54" t="s">
        <v>235</v>
      </c>
      <c r="F14" s="54" t="s">
        <v>811</v>
      </c>
      <c r="G14" s="54" t="s">
        <v>2001</v>
      </c>
      <c r="H14" s="55">
        <v>14.7</v>
      </c>
      <c r="I14" s="55">
        <v>13.700000000000001</v>
      </c>
      <c r="J14" s="55">
        <v>13.200000000000001</v>
      </c>
      <c r="K14" s="54"/>
      <c r="L14" s="56" t="b">
        <v>0</v>
      </c>
      <c r="M14" s="56" t="b">
        <v>0</v>
      </c>
      <c r="N14" s="54">
        <v>1</v>
      </c>
      <c r="O14" s="54" t="s">
        <v>228</v>
      </c>
      <c r="P14" s="54">
        <v>26</v>
      </c>
      <c r="Q14" s="54">
        <v>36</v>
      </c>
      <c r="R14" s="54">
        <v>200</v>
      </c>
      <c r="S14" s="54" t="s">
        <v>1888</v>
      </c>
      <c r="T14" s="54"/>
      <c r="U14" s="54" t="s">
        <v>1880</v>
      </c>
      <c r="V14" s="54" t="s">
        <v>1889</v>
      </c>
      <c r="W14" s="54" t="b">
        <v>0</v>
      </c>
      <c r="X14" s="54"/>
      <c r="Y14" s="57" t="s">
        <v>2258</v>
      </c>
      <c r="Z14" s="54" t="s">
        <v>1890</v>
      </c>
      <c r="AA14" s="54"/>
      <c r="AB14" s="54" t="s">
        <v>1891</v>
      </c>
      <c r="AC14" s="56" t="b">
        <v>1</v>
      </c>
      <c r="AD14" s="56" t="b">
        <v>0</v>
      </c>
      <c r="AE14" s="54" t="s">
        <v>302</v>
      </c>
      <c r="AF14" s="58">
        <v>46321</v>
      </c>
      <c r="AG14" s="62" t="s">
        <v>293</v>
      </c>
      <c r="AH14" s="54">
        <v>0</v>
      </c>
      <c r="AI14" s="54"/>
      <c r="AJ14" s="54"/>
      <c r="AK14" s="54"/>
      <c r="AL14" s="54"/>
      <c r="AM14" s="54">
        <v>5</v>
      </c>
      <c r="AN14" s="54"/>
      <c r="AO14" s="54"/>
      <c r="AP14" s="54"/>
      <c r="AQ14" s="54"/>
      <c r="AR14" s="54"/>
      <c r="AS14" s="54"/>
      <c r="AT14" s="54"/>
      <c r="AU14" s="54"/>
      <c r="AV14" s="54"/>
      <c r="AW14" s="54"/>
      <c r="AX14" s="59"/>
      <c r="AY14" s="59"/>
      <c r="AZ14" s="59"/>
      <c r="BA14" s="59"/>
      <c r="BB14" s="59">
        <v>6.1699999999999998E-2</v>
      </c>
      <c r="BC14" s="60">
        <v>4.9000000000000004</v>
      </c>
      <c r="BD14" s="61">
        <v>6.5333000000000002E-2</v>
      </c>
      <c r="BE14" s="62" t="s">
        <v>293</v>
      </c>
      <c r="BF14" s="35">
        <f t="shared" si="32"/>
        <v>4.9000000000000004</v>
      </c>
      <c r="BG14" s="35">
        <f t="shared" si="32"/>
        <v>6.5333000000000002E-2</v>
      </c>
      <c r="BH14" s="35" t="str">
        <f t="shared" si="33"/>
        <v>Med</v>
      </c>
      <c r="BI14" s="110">
        <f t="shared" si="34"/>
        <v>0</v>
      </c>
      <c r="BJ14" s="83">
        <f>VLOOKUP($F14,REP_Info!$D$6:$H$250,5,FALSE)</f>
        <v>2.7330000000000001</v>
      </c>
      <c r="BK14" s="30">
        <f t="shared" si="35"/>
        <v>14.683299999999997</v>
      </c>
      <c r="BL14" s="30">
        <f t="shared" si="35"/>
        <v>13.693299999999999</v>
      </c>
      <c r="BM14" s="30">
        <f t="shared" si="35"/>
        <v>13.198300000000001</v>
      </c>
      <c r="BN14" s="29">
        <f t="shared" si="35"/>
        <v>13.033300000000001</v>
      </c>
      <c r="BO14" s="85" t="str">
        <f t="shared" si="36"/>
        <v>$$$</v>
      </c>
      <c r="BP14" s="88" t="str">
        <f t="shared" si="37"/>
        <v>$$$</v>
      </c>
      <c r="BQ14" s="88" t="str">
        <f t="shared" si="38"/>
        <v>$$$</v>
      </c>
      <c r="BR14" s="88" t="str">
        <f t="shared" si="39"/>
        <v>$$$</v>
      </c>
      <c r="BS14" s="29" t="e">
        <f t="shared" si="40"/>
        <v>#N/A</v>
      </c>
      <c r="BT14" s="29" t="e">
        <f t="shared" si="40"/>
        <v>#N/A</v>
      </c>
      <c r="BU14" s="29" t="e">
        <f t="shared" si="40"/>
        <v>#N/A</v>
      </c>
      <c r="BV14" s="29" t="e">
        <f t="shared" si="40"/>
        <v>#N/A</v>
      </c>
      <c r="BW14" s="29" t="e">
        <f t="shared" si="40"/>
        <v>#N/A</v>
      </c>
      <c r="BX14" s="29" t="e">
        <f t="shared" si="40"/>
        <v>#N/A</v>
      </c>
      <c r="BY14" s="29" t="e">
        <f t="shared" si="40"/>
        <v>#N/A</v>
      </c>
      <c r="BZ14" s="29" t="e">
        <f t="shared" si="40"/>
        <v>#N/A</v>
      </c>
      <c r="CA14" s="29" t="e">
        <f t="shared" si="40"/>
        <v>#N/A</v>
      </c>
      <c r="CB14" s="29" t="e">
        <f t="shared" si="40"/>
        <v>#N/A</v>
      </c>
      <c r="CC14" s="29" t="e">
        <f t="shared" si="40"/>
        <v>#N/A</v>
      </c>
      <c r="CD14" s="29" t="e">
        <f t="shared" si="40"/>
        <v>#N/A</v>
      </c>
      <c r="CE14" s="6" t="str">
        <f t="shared" si="41"/>
        <v/>
      </c>
      <c r="CF14" s="27" t="e">
        <f>IF(AND(CI14,NOT(AD14)),LOOKUP(CF$5,{0,750,1500},H14:J14),"")</f>
        <v>#N/A</v>
      </c>
      <c r="CG14" s="6" t="str">
        <f t="shared" si="42"/>
        <v/>
      </c>
      <c r="CH14" t="e">
        <f t="shared" si="43"/>
        <v>#N/A</v>
      </c>
      <c r="CI14" t="e">
        <f t="shared" si="44"/>
        <v>#N/A</v>
      </c>
      <c r="CJ14" s="6" t="e">
        <f t="shared" si="45"/>
        <v>#N/A</v>
      </c>
      <c r="CK14" s="6">
        <f t="shared" si="46"/>
        <v>1</v>
      </c>
      <c r="CL14" s="6">
        <f t="shared" si="47"/>
        <v>1</v>
      </c>
      <c r="CM14" s="6">
        <f t="shared" si="48"/>
        <v>1</v>
      </c>
      <c r="CN14" s="6">
        <f t="shared" si="49"/>
        <v>1</v>
      </c>
      <c r="CO14" s="6">
        <f t="shared" si="50"/>
        <v>0</v>
      </c>
      <c r="CP14" s="6">
        <f t="shared" si="51"/>
        <v>1</v>
      </c>
      <c r="CQ14" s="6">
        <f t="shared" si="52"/>
        <v>1</v>
      </c>
      <c r="CR14" s="81" t="str">
        <f t="shared" si="53"/>
        <v/>
      </c>
      <c r="CS14">
        <f t="shared" si="54"/>
        <v>0</v>
      </c>
      <c r="CT14">
        <f t="shared" si="58"/>
        <v>200</v>
      </c>
      <c r="CU14" t="str">
        <f t="shared" si="55"/>
        <v/>
      </c>
      <c r="CV14" s="81">
        <f t="shared" si="56"/>
        <v>200</v>
      </c>
      <c r="CW14" s="81">
        <f>(CV14/25)^1.5*(Calculator!$BU$4/10000)*CW$5</f>
        <v>11.767523974296054</v>
      </c>
      <c r="CX14" t="str">
        <f t="shared" si="57"/>
        <v>$200</v>
      </c>
    </row>
    <row r="15" spans="1:102" x14ac:dyDescent="0.25">
      <c r="B15" s="115" t="s">
        <v>233</v>
      </c>
      <c r="C15" s="13">
        <v>46321.660416666666</v>
      </c>
      <c r="D15">
        <v>38702</v>
      </c>
      <c r="E15" s="54" t="s">
        <v>237</v>
      </c>
      <c r="F15" s="54" t="s">
        <v>811</v>
      </c>
      <c r="G15" s="54" t="s">
        <v>1999</v>
      </c>
      <c r="H15" s="55">
        <v>14.000000000000002</v>
      </c>
      <c r="I15" s="55">
        <v>13.100000000000001</v>
      </c>
      <c r="J15" s="55">
        <v>12.6</v>
      </c>
      <c r="K15" s="54"/>
      <c r="L15" s="56" t="b">
        <v>0</v>
      </c>
      <c r="M15" s="56" t="b">
        <v>0</v>
      </c>
      <c r="N15" s="54">
        <v>1</v>
      </c>
      <c r="O15" s="54" t="s">
        <v>228</v>
      </c>
      <c r="P15" s="54">
        <v>26</v>
      </c>
      <c r="Q15" s="54">
        <v>12</v>
      </c>
      <c r="R15" s="54">
        <v>200</v>
      </c>
      <c r="S15" s="54" t="s">
        <v>1888</v>
      </c>
      <c r="T15" s="54"/>
      <c r="U15" s="54" t="s">
        <v>1880</v>
      </c>
      <c r="V15" s="54" t="s">
        <v>1889</v>
      </c>
      <c r="W15" s="54" t="b">
        <v>0</v>
      </c>
      <c r="X15" s="54"/>
      <c r="Y15" s="57" t="s">
        <v>2259</v>
      </c>
      <c r="Z15" s="54" t="s">
        <v>1890</v>
      </c>
      <c r="AA15" s="54"/>
      <c r="AB15" s="54" t="s">
        <v>1891</v>
      </c>
      <c r="AC15" s="56" t="b">
        <v>1</v>
      </c>
      <c r="AD15" s="56" t="b">
        <v>0</v>
      </c>
      <c r="AE15" s="54" t="s">
        <v>302</v>
      </c>
      <c r="AF15" s="58">
        <v>46321</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5.2999999999999999E-2</v>
      </c>
      <c r="BC15" s="60">
        <v>4.0599999999999996</v>
      </c>
      <c r="BD15" s="61">
        <v>6.8672999999999998E-2</v>
      </c>
      <c r="BE15" s="62" t="s">
        <v>293</v>
      </c>
      <c r="BF15" s="35">
        <f t="shared" si="32"/>
        <v>4.0600000000000005</v>
      </c>
      <c r="BG15" s="35">
        <f t="shared" si="32"/>
        <v>6.8672999999999998E-2</v>
      </c>
      <c r="BH15" s="35" t="str">
        <f t="shared" si="33"/>
        <v>Med</v>
      </c>
      <c r="BI15" s="110">
        <f t="shared" si="34"/>
        <v>0</v>
      </c>
      <c r="BJ15" s="83">
        <f>VLOOKUP($F15,REP_Info!$D$6:$H$250,5,FALSE)</f>
        <v>2.7330000000000001</v>
      </c>
      <c r="BK15" s="30">
        <f t="shared" si="35"/>
        <v>13.9793</v>
      </c>
      <c r="BL15" s="30">
        <f t="shared" si="35"/>
        <v>13.073300000000001</v>
      </c>
      <c r="BM15" s="30">
        <f t="shared" si="35"/>
        <v>12.6203</v>
      </c>
      <c r="BN15" s="29">
        <f t="shared" si="35"/>
        <v>12.4693</v>
      </c>
      <c r="BO15" s="85" t="str">
        <f t="shared" si="36"/>
        <v>$$$</v>
      </c>
      <c r="BP15" s="88" t="str">
        <f t="shared" si="37"/>
        <v>$$$</v>
      </c>
      <c r="BQ15" s="88" t="str">
        <f t="shared" si="38"/>
        <v>$$$</v>
      </c>
      <c r="BR15" s="88" t="str">
        <f t="shared" si="39"/>
        <v>$$$</v>
      </c>
      <c r="BS15" s="29" t="e">
        <f t="shared" si="40"/>
        <v>#N/A</v>
      </c>
      <c r="BT15" s="29" t="e">
        <f t="shared" si="40"/>
        <v>#N/A</v>
      </c>
      <c r="BU15" s="29" t="e">
        <f t="shared" si="40"/>
        <v>#N/A</v>
      </c>
      <c r="BV15" s="29" t="e">
        <f t="shared" si="40"/>
        <v>#N/A</v>
      </c>
      <c r="BW15" s="29" t="e">
        <f t="shared" si="40"/>
        <v>#N/A</v>
      </c>
      <c r="BX15" s="29" t="e">
        <f t="shared" si="40"/>
        <v>#N/A</v>
      </c>
      <c r="BY15" s="29" t="e">
        <f t="shared" si="40"/>
        <v>#N/A</v>
      </c>
      <c r="BZ15" s="29" t="e">
        <f t="shared" si="40"/>
        <v>#N/A</v>
      </c>
      <c r="CA15" s="29" t="e">
        <f t="shared" si="40"/>
        <v>#N/A</v>
      </c>
      <c r="CB15" s="29" t="e">
        <f t="shared" si="40"/>
        <v>#N/A</v>
      </c>
      <c r="CC15" s="29" t="e">
        <f t="shared" si="40"/>
        <v>#N/A</v>
      </c>
      <c r="CD15" s="29" t="e">
        <f t="shared" si="40"/>
        <v>#N/A</v>
      </c>
      <c r="CE15" s="6" t="str">
        <f t="shared" si="41"/>
        <v/>
      </c>
      <c r="CF15" s="27" t="e">
        <f>IF(AND(CI15,NOT(AD15)),LOOKUP(CF$5,{0,750,1500},H15:J15),"")</f>
        <v>#N/A</v>
      </c>
      <c r="CG15" s="6" t="str">
        <f t="shared" si="42"/>
        <v/>
      </c>
      <c r="CH15" t="e">
        <f t="shared" si="43"/>
        <v>#N/A</v>
      </c>
      <c r="CI15" t="e">
        <f t="shared" si="44"/>
        <v>#N/A</v>
      </c>
      <c r="CJ15" s="6" t="e">
        <f t="shared" si="45"/>
        <v>#N/A</v>
      </c>
      <c r="CK15" s="6">
        <f t="shared" si="46"/>
        <v>1</v>
      </c>
      <c r="CL15" s="6">
        <f t="shared" si="47"/>
        <v>1</v>
      </c>
      <c r="CM15" s="6">
        <f t="shared" si="48"/>
        <v>1</v>
      </c>
      <c r="CN15" s="6">
        <f t="shared" si="49"/>
        <v>1</v>
      </c>
      <c r="CO15" s="6">
        <f t="shared" si="50"/>
        <v>1</v>
      </c>
      <c r="CP15" s="6">
        <f t="shared" si="51"/>
        <v>1</v>
      </c>
      <c r="CQ15" s="6">
        <f t="shared" si="52"/>
        <v>1</v>
      </c>
      <c r="CR15" s="81" t="str">
        <f t="shared" si="53"/>
        <v/>
      </c>
      <c r="CS15">
        <f t="shared" si="54"/>
        <v>0</v>
      </c>
      <c r="CT15">
        <f t="shared" si="58"/>
        <v>200</v>
      </c>
      <c r="CU15" t="str">
        <f t="shared" si="55"/>
        <v/>
      </c>
      <c r="CV15" s="81">
        <f t="shared" si="56"/>
        <v>200</v>
      </c>
      <c r="CW15" s="81">
        <f>(CV15/25)^1.5*(Calculator!$BU$4/10000)*CW$5</f>
        <v>11.767523974296054</v>
      </c>
      <c r="CX15" t="str">
        <f t="shared" si="57"/>
        <v>$200</v>
      </c>
    </row>
    <row r="16" spans="1:102" x14ac:dyDescent="0.25">
      <c r="B16" s="115" t="s">
        <v>233</v>
      </c>
      <c r="C16" s="13">
        <v>46321.660416666666</v>
      </c>
      <c r="D16">
        <v>38704</v>
      </c>
      <c r="E16" s="54" t="s">
        <v>237</v>
      </c>
      <c r="F16" s="54" t="s">
        <v>811</v>
      </c>
      <c r="G16" s="54" t="s">
        <v>2000</v>
      </c>
      <c r="H16" s="55">
        <v>14.399999999999999</v>
      </c>
      <c r="I16" s="55">
        <v>13.5</v>
      </c>
      <c r="J16" s="55">
        <v>13</v>
      </c>
      <c r="K16" s="54"/>
      <c r="L16" s="56" t="b">
        <v>0</v>
      </c>
      <c r="M16" s="56" t="b">
        <v>0</v>
      </c>
      <c r="N16" s="54">
        <v>1</v>
      </c>
      <c r="O16" s="54" t="s">
        <v>228</v>
      </c>
      <c r="P16" s="54">
        <v>26</v>
      </c>
      <c r="Q16" s="54">
        <v>24</v>
      </c>
      <c r="R16" s="54">
        <v>200</v>
      </c>
      <c r="S16" s="54" t="s">
        <v>1888</v>
      </c>
      <c r="T16" s="54"/>
      <c r="U16" s="54" t="s">
        <v>1880</v>
      </c>
      <c r="V16" s="54" t="s">
        <v>1889</v>
      </c>
      <c r="W16" s="54" t="b">
        <v>0</v>
      </c>
      <c r="X16" s="54"/>
      <c r="Y16" s="57" t="s">
        <v>2260</v>
      </c>
      <c r="Z16" s="54" t="s">
        <v>1890</v>
      </c>
      <c r="AA16" s="54"/>
      <c r="AB16" s="54" t="s">
        <v>1891</v>
      </c>
      <c r="AC16" s="56" t="b">
        <v>1</v>
      </c>
      <c r="AD16" s="56" t="b">
        <v>0</v>
      </c>
      <c r="AE16" s="54" t="s">
        <v>302</v>
      </c>
      <c r="AF16" s="58">
        <v>46321</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5.6899999999999999E-2</v>
      </c>
      <c r="BC16" s="60">
        <v>4.0599999999999996</v>
      </c>
      <c r="BD16" s="61">
        <v>6.8672999999999998E-2</v>
      </c>
      <c r="BE16" s="62" t="s">
        <v>293</v>
      </c>
      <c r="BF16" s="35">
        <f t="shared" si="0"/>
        <v>4.0600000000000005</v>
      </c>
      <c r="BG16" s="35">
        <f t="shared" si="0"/>
        <v>6.8672999999999998E-2</v>
      </c>
      <c r="BH16" s="35" t="str">
        <f t="shared" ref="BH16:BH17" si="59">IF(ISTEXT(BE16),IF(AND(AV16=0,SUM(AN16:AQ16)=0),IF(AM16&lt;=0,IF(BE16="Y","Low","Flat"),"Med"),"High"),"?")</f>
        <v>Med</v>
      </c>
      <c r="BI16" s="110">
        <f t="shared" ref="BI16:BI17" si="60">IF(ISNUMBER(AH16),0*BI$5*SIN((EDATE($A$3,$Q16)-DATE(YEAR(EDATE($A$3,$Q16)),1,0)-BI$4)*2*PI()/365),"")</f>
        <v>0</v>
      </c>
      <c r="BJ16" s="83">
        <f>VLOOKUP($F16,REP_Info!$D$6:$H$250,5,FALSE)</f>
        <v>2.7330000000000001</v>
      </c>
      <c r="BK16" s="30">
        <f t="shared" ref="BK16:BN17" si="61">IF(BK$7&gt;0,(LOOKUP(BK$7,$AH16:$AL16,$AM16:$AQ16)+IF($AG16="Y",SUMPRODUCT($AX16:$BB16-$AW16:$BA16,BK$7-$AR16:$AV16,N(BK$7&gt;$AR16:$AV16)),BK$7*LOOKUP(BK$7,$AR16:$AV16,$AX16:$BB16))+IF($BE16="Y",$BF16,$BC16)+BK$7*IF($BE16="Y",$BG16,$BD16))*100/BK$7,"")</f>
        <v>14.369300000000001</v>
      </c>
      <c r="BL16" s="30">
        <f t="shared" si="61"/>
        <v>13.463299999999997</v>
      </c>
      <c r="BM16" s="30">
        <f t="shared" si="61"/>
        <v>13.010300000000001</v>
      </c>
      <c r="BN16" s="29">
        <f t="shared" si="61"/>
        <v>12.859300000000001</v>
      </c>
      <c r="BO16" s="85" t="str">
        <f t="shared" si="2"/>
        <v>$$$</v>
      </c>
      <c r="BP16" s="88" t="str">
        <f t="shared" ref="BP16:BP17" si="62">IFERROR(BO16*100/BO$5,"$$$")</f>
        <v>$$$</v>
      </c>
      <c r="BQ16" s="88" t="str">
        <f t="shared" si="4"/>
        <v>$$$</v>
      </c>
      <c r="BR16" s="88" t="str">
        <f t="shared" si="5"/>
        <v>$$$</v>
      </c>
      <c r="BS16" s="29" t="e">
        <f t="shared" ref="BS16:CD17" si="63">IF($CI16,IF(BS$7&gt;0,IF(BS$4&gt;$Q16,$BF16+BS$7*(BS$5+$BG16+$BI16),LOOKUP(BS$7,$AH16:$AL16,$AM16:$AQ16)+IF($AG16="Y",SUMPRODUCT($AX16:$BB16-$AW16:$BA16,BS$7-$AR16:$AV16,N(BS$7&gt;$AR16:$AV16)),BS$7*LOOKUP(BS$7,$AR16:$AV16,$AX16:$BB16))+IF($BE16="Y",$BF16,$BC16)+BS$7*IF($BE16="Y",$BG16,$BD16))*100/BS$7,""),NA())</f>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 t="shared" ref="CE16:CE17" si="64">IF(ISNUMBER(CF16),RANK($CF16,$CF$8:$CF$360,1),"")</f>
        <v/>
      </c>
      <c r="CF16" s="27" t="e">
        <f>IF(AND(CI16,NOT(AD16)),LOOKUP(CF$5,{0,750,1500},H16:J16),"")</f>
        <v>#N/A</v>
      </c>
      <c r="CG16" s="6" t="str">
        <f t="shared" ref="CG16:CG17" si="65">IF(ISNUMBER(CH16),RANK($CH16,$CH$8:$CH$360,1),"")</f>
        <v/>
      </c>
      <c r="CH16" t="e">
        <f t="shared" ref="CH16:CH17" si="66">IF(CI16,IF(ISNUMBER(BO16),BO16,100000)+CV16/10000+IF(ISNUMBER(BJ16),BJ16,2)/10000-P16/100000+ROW()/10000000,"")</f>
        <v>#N/A</v>
      </c>
      <c r="CI16" t="e">
        <f t="shared" ref="CI16:CI17" si="67">PRODUCT(CJ16:CQ16)</f>
        <v>#N/A</v>
      </c>
      <c r="CJ16" s="6" t="e">
        <f t="shared" si="11"/>
        <v>#N/A</v>
      </c>
      <c r="CK16" s="6">
        <f t="shared" si="12"/>
        <v>1</v>
      </c>
      <c r="CL16" s="6">
        <f t="shared" si="26"/>
        <v>1</v>
      </c>
      <c r="CM16" s="6">
        <f t="shared" si="13"/>
        <v>1</v>
      </c>
      <c r="CN16" s="6">
        <f t="shared" si="14"/>
        <v>1</v>
      </c>
      <c r="CO16" s="6">
        <f t="shared" si="15"/>
        <v>0</v>
      </c>
      <c r="CP16" s="6">
        <f t="shared" si="16"/>
        <v>1</v>
      </c>
      <c r="CQ16" s="6">
        <f t="shared" ref="CQ16:CQ17" si="68">IF(CQ$5="Any",1,IF(AND(CQ$5="Med",AV16=0,SUM(AN16:AQ16)=0),1,IF(AND(CQ$5="Low",AV16=0,SUM(AN16:AQ16)=0,AM16=0),1,IF(AND(CQ$5="Flat",AV16=0,SUM(AN16:AQ16)=0,AM16=0,IFERROR(NOT(BE16="Y"),0)),1,0))))</f>
        <v>1</v>
      </c>
      <c r="CR16" s="81" t="str">
        <f t="shared" si="17"/>
        <v/>
      </c>
      <c r="CS16">
        <f t="shared" ref="CS16:CS17" si="69">CS$5*(12/(MIN(12,Q16))-1)</f>
        <v>0</v>
      </c>
      <c r="CT16">
        <f t="shared" si="19"/>
        <v>200</v>
      </c>
      <c r="CU16" t="str">
        <f t="shared" si="29"/>
        <v/>
      </c>
      <c r="CV16" s="81">
        <f t="shared" ref="CV16:CV17" si="70">CT16*IF(CU16="",1,Q16)</f>
        <v>200</v>
      </c>
      <c r="CW16" s="81">
        <f>(CV16/25)^1.5*(Calculator!$BU$4/10000)*CW$5</f>
        <v>11.767523974296054</v>
      </c>
      <c r="CX16" t="str">
        <f t="shared" ref="CX16:CX17" si="71">"$"&amp;IF(LEFT(CU16,1)="r",CT16&amp;"/"&amp;CU16,CV16)</f>
        <v>$200</v>
      </c>
    </row>
    <row r="17" spans="2:102" x14ac:dyDescent="0.25">
      <c r="B17" s="115" t="s">
        <v>233</v>
      </c>
      <c r="C17" s="13">
        <v>46321.660416666666</v>
      </c>
      <c r="D17">
        <v>38706</v>
      </c>
      <c r="E17" s="54" t="s">
        <v>237</v>
      </c>
      <c r="F17" s="54" t="s">
        <v>811</v>
      </c>
      <c r="G17" s="54" t="s">
        <v>2001</v>
      </c>
      <c r="H17" s="55">
        <v>14.7</v>
      </c>
      <c r="I17" s="55">
        <v>13.8</v>
      </c>
      <c r="J17" s="55">
        <v>13.4</v>
      </c>
      <c r="K17" s="54"/>
      <c r="L17" s="56" t="b">
        <v>0</v>
      </c>
      <c r="M17" s="56" t="b">
        <v>0</v>
      </c>
      <c r="N17" s="54">
        <v>1</v>
      </c>
      <c r="O17" s="54" t="s">
        <v>228</v>
      </c>
      <c r="P17" s="54">
        <v>26</v>
      </c>
      <c r="Q17" s="54">
        <v>36</v>
      </c>
      <c r="R17" s="54">
        <v>200</v>
      </c>
      <c r="S17" s="54" t="s">
        <v>1888</v>
      </c>
      <c r="T17" s="54"/>
      <c r="U17" s="54" t="s">
        <v>1880</v>
      </c>
      <c r="V17" s="54" t="s">
        <v>1889</v>
      </c>
      <c r="W17" s="54" t="b">
        <v>0</v>
      </c>
      <c r="X17" s="54"/>
      <c r="Y17" s="57" t="s">
        <v>2261</v>
      </c>
      <c r="Z17" s="54" t="s">
        <v>1890</v>
      </c>
      <c r="AA17" s="54"/>
      <c r="AB17" s="54" t="s">
        <v>1891</v>
      </c>
      <c r="AC17" s="56" t="b">
        <v>1</v>
      </c>
      <c r="AD17" s="56" t="b">
        <v>0</v>
      </c>
      <c r="AE17" s="54" t="s">
        <v>302</v>
      </c>
      <c r="AF17" s="58">
        <v>46321</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6.0299999999999999E-2</v>
      </c>
      <c r="BC17" s="60">
        <v>4.0599999999999996</v>
      </c>
      <c r="BD17" s="61">
        <v>6.8672999999999998E-2</v>
      </c>
      <c r="BE17" s="62" t="s">
        <v>293</v>
      </c>
      <c r="BF17" s="35">
        <f t="shared" si="0"/>
        <v>4.0600000000000005</v>
      </c>
      <c r="BG17" s="35">
        <f t="shared" si="0"/>
        <v>6.8672999999999998E-2</v>
      </c>
      <c r="BH17" s="35" t="str">
        <f t="shared" si="59"/>
        <v>Med</v>
      </c>
      <c r="BI17" s="110">
        <f t="shared" si="60"/>
        <v>0</v>
      </c>
      <c r="BJ17" s="83">
        <f>VLOOKUP($F17,REP_Info!$D$6:$H$250,5,FALSE)</f>
        <v>2.7330000000000001</v>
      </c>
      <c r="BK17" s="30">
        <f t="shared" si="61"/>
        <v>14.709300000000001</v>
      </c>
      <c r="BL17" s="30">
        <f t="shared" si="61"/>
        <v>13.803300000000002</v>
      </c>
      <c r="BM17" s="30">
        <f t="shared" si="61"/>
        <v>13.350299999999999</v>
      </c>
      <c r="BN17" s="29">
        <f t="shared" si="61"/>
        <v>13.199300000000001</v>
      </c>
      <c r="BO17" s="85" t="str">
        <f t="shared" si="2"/>
        <v>$$$</v>
      </c>
      <c r="BP17" s="88" t="str">
        <f t="shared" si="62"/>
        <v>$$$</v>
      </c>
      <c r="BQ17" s="88" t="str">
        <f t="shared" si="4"/>
        <v>$$$</v>
      </c>
      <c r="BR17" s="88" t="str">
        <f t="shared" si="5"/>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 t="shared" si="64"/>
        <v/>
      </c>
      <c r="CF17" s="27" t="e">
        <f>IF(AND(CI17,NOT(AD17)),LOOKUP(CF$5,{0,750,1500},H17:J17),"")</f>
        <v>#N/A</v>
      </c>
      <c r="CG17" s="6" t="str">
        <f t="shared" si="65"/>
        <v/>
      </c>
      <c r="CH17" t="e">
        <f t="shared" si="66"/>
        <v>#N/A</v>
      </c>
      <c r="CI17" t="e">
        <f t="shared" si="67"/>
        <v>#N/A</v>
      </c>
      <c r="CJ17" s="6" t="e">
        <f t="shared" si="11"/>
        <v>#N/A</v>
      </c>
      <c r="CK17" s="6">
        <f t="shared" si="12"/>
        <v>1</v>
      </c>
      <c r="CL17" s="6">
        <f t="shared" si="26"/>
        <v>1</v>
      </c>
      <c r="CM17" s="6">
        <f t="shared" si="13"/>
        <v>1</v>
      </c>
      <c r="CN17" s="6">
        <f t="shared" si="14"/>
        <v>1</v>
      </c>
      <c r="CO17" s="6">
        <f t="shared" si="15"/>
        <v>0</v>
      </c>
      <c r="CP17" s="6">
        <f t="shared" si="16"/>
        <v>1</v>
      </c>
      <c r="CQ17" s="6">
        <f t="shared" si="68"/>
        <v>1</v>
      </c>
      <c r="CR17" s="81" t="str">
        <f t="shared" si="17"/>
        <v/>
      </c>
      <c r="CS17">
        <f t="shared" si="69"/>
        <v>0</v>
      </c>
      <c r="CT17">
        <f t="shared" si="19"/>
        <v>200</v>
      </c>
      <c r="CU17" t="str">
        <f t="shared" si="29"/>
        <v/>
      </c>
      <c r="CV17" s="81">
        <f t="shared" si="70"/>
        <v>200</v>
      </c>
      <c r="CW17" s="81">
        <f>(CV17/25)^1.5*(Calculator!$BU$4/10000)*CW$5</f>
        <v>11.767523974296054</v>
      </c>
      <c r="CX17" t="str">
        <f t="shared" si="71"/>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1662</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0"/>
        <v>4.9000000000000004</v>
      </c>
      <c r="BG18" s="35">
        <f t="shared" si="0"/>
        <v>6.5333000000000002E-2</v>
      </c>
      <c r="BH18" s="35" t="str">
        <f t="shared" ref="BH18" si="72">IF(ISTEXT(BE18),IF(AND(AV18=0,SUM(AN18:AQ18)=0),IF(AM18&lt;=0,IF(BE18="Y","Low","Flat"),"Med"),"High"),"?")</f>
        <v>Low</v>
      </c>
      <c r="BI18" s="110">
        <f t="shared" ref="BI18" si="73">IF(ISNUMBER(AH18),0*BI$5*SIN((EDATE($A$3,$Q18)-DATE(YEAR(EDATE($A$3,$Q18)),1,0)-BI$4)*2*PI()/365),"")</f>
        <v>0</v>
      </c>
      <c r="BJ18" s="83" t="str">
        <f>VLOOKUP($F18,REP_Info!$D$6:$H$250,5,FALSE)</f>
        <v/>
      </c>
      <c r="BK18" s="30">
        <f t="shared" ref="BK18:BN18" si="74">IF(BK$7&gt;0,(LOOKUP(BK$7,$AH18:$AL18,$AM18:$AQ18)+IF($AG18="Y",SUMPRODUCT($AX18:$BB18-$AW18:$BA18,BK$7-$AR18:$AV18,N(BK$7&gt;$AR18:$AV18)),BK$7*LOOKUP(BK$7,$AR18:$AV18,$AX18:$BB18))+IF($BE18="Y",$BF18,$BC18)+BK$7*IF($BE18="Y",$BG18,$BD18))*100/BK$7,"")</f>
        <v>14.803300000000002</v>
      </c>
      <c r="BL18" s="30">
        <f t="shared" si="74"/>
        <v>14.313300000000002</v>
      </c>
      <c r="BM18" s="30">
        <f t="shared" si="74"/>
        <v>14.068299999999999</v>
      </c>
      <c r="BN18" s="29">
        <f t="shared" si="74"/>
        <v>13.986633333333334</v>
      </c>
      <c r="BO18" s="85" t="str">
        <f t="shared" si="2"/>
        <v>$$$</v>
      </c>
      <c r="BP18" s="88" t="str">
        <f t="shared" ref="BP18" si="75">IFERROR(BO18*100/BO$5,"$$$")</f>
        <v>$$$</v>
      </c>
      <c r="BQ18" s="88" t="str">
        <f t="shared" si="4"/>
        <v>$$$</v>
      </c>
      <c r="BR18" s="88" t="str">
        <f t="shared" si="5"/>
        <v>$$$</v>
      </c>
      <c r="BS18" s="29" t="e">
        <f t="shared" ref="BS18:CD18" si="76">IF($CI18,IF(BS$7&gt;0,IF(BS$4&gt;$Q18,$BF18+BS$7*(BS$5+$BG18+$BI18),LOOKUP(BS$7,$AH18:$AL18,$AM18:$AQ18)+IF($AG18="Y",SUMPRODUCT($AX18:$BB18-$AW18:$BA18,BS$7-$AR18:$AV18,N(BS$7&gt;$AR18:$AV18)),BS$7*LOOKUP(BS$7,$AR18:$AV18,$AX18:$BB18))+IF($BE18="Y",$BF18,$BC18)+BS$7*IF($BE18="Y",$BG18,$BD18))*100/BS$7,""),NA())</f>
        <v>#N/A</v>
      </c>
      <c r="BT18" s="29" t="e">
        <f t="shared" si="76"/>
        <v>#N/A</v>
      </c>
      <c r="BU18" s="29" t="e">
        <f t="shared" si="76"/>
        <v>#N/A</v>
      </c>
      <c r="BV18" s="29" t="e">
        <f t="shared" si="76"/>
        <v>#N/A</v>
      </c>
      <c r="BW18" s="29" t="e">
        <f t="shared" si="76"/>
        <v>#N/A</v>
      </c>
      <c r="BX18" s="29" t="e">
        <f t="shared" si="76"/>
        <v>#N/A</v>
      </c>
      <c r="BY18" s="29" t="e">
        <f t="shared" si="76"/>
        <v>#N/A</v>
      </c>
      <c r="BZ18" s="29" t="e">
        <f t="shared" si="76"/>
        <v>#N/A</v>
      </c>
      <c r="CA18" s="29" t="e">
        <f t="shared" si="76"/>
        <v>#N/A</v>
      </c>
      <c r="CB18" s="29" t="e">
        <f t="shared" si="76"/>
        <v>#N/A</v>
      </c>
      <c r="CC18" s="29" t="e">
        <f t="shared" si="76"/>
        <v>#N/A</v>
      </c>
      <c r="CD18" s="29" t="e">
        <f t="shared" si="76"/>
        <v>#N/A</v>
      </c>
      <c r="CE18" s="6" t="str">
        <f t="shared" si="7"/>
        <v/>
      </c>
      <c r="CF18" s="27" t="e">
        <f>IF(AND(CI18,NOT(AD18)),LOOKUP(CF$5,{0,750,1500},H18:J18),"")</f>
        <v>#N/A</v>
      </c>
      <c r="CG18" s="6" t="str">
        <f t="shared" si="8"/>
        <v/>
      </c>
      <c r="CH18" t="e">
        <f t="shared" ref="CH18" si="77">IF(CI18,IF(ISNUMBER(BO18),BO18,100000)+CV18/10000+IF(ISNUMBER(BJ18),BJ18,2)/10000-P18/100000+ROW()/10000000,"")</f>
        <v>#N/A</v>
      </c>
      <c r="CI18" t="e">
        <f t="shared" ref="CI18" si="78">PRODUCT(CJ18:CQ18)</f>
        <v>#N/A</v>
      </c>
      <c r="CJ18" s="6" t="e">
        <f t="shared" si="11"/>
        <v>#N/A</v>
      </c>
      <c r="CK18" s="6">
        <f t="shared" si="12"/>
        <v>1</v>
      </c>
      <c r="CL18" s="6">
        <f t="shared" si="26"/>
        <v>1</v>
      </c>
      <c r="CM18" s="6">
        <f t="shared" si="13"/>
        <v>1</v>
      </c>
      <c r="CN18" s="6">
        <f t="shared" si="14"/>
        <v>1</v>
      </c>
      <c r="CO18" s="6">
        <f t="shared" si="15"/>
        <v>0</v>
      </c>
      <c r="CP18" s="6">
        <f t="shared" si="16"/>
        <v>1</v>
      </c>
      <c r="CQ18" s="6">
        <f t="shared" ref="CQ18" si="79">IF(CQ$5="Any",1,IF(AND(CQ$5="Med",AV18=0,SUM(AN18:AQ18)=0),1,IF(AND(CQ$5="Low",AV18=0,SUM(AN18:AQ18)=0,AM18=0),1,IF(AND(CQ$5="Flat",AV18=0,SUM(AN18:AQ18)=0,AM18=0,IFERROR(NOT(BE18="Y"),0)),1,0))))</f>
        <v>1</v>
      </c>
      <c r="CR18" s="81" t="str">
        <f t="shared" si="17"/>
        <v/>
      </c>
      <c r="CS18">
        <f t="shared" ref="CS18" si="80">CS$5*(12/(MIN(12,Q18))-1)</f>
        <v>0</v>
      </c>
      <c r="CT18">
        <f t="shared" si="19"/>
        <v>20</v>
      </c>
      <c r="CU18" t="str">
        <f t="shared" si="29"/>
        <v>rm</v>
      </c>
      <c r="CV18" s="81">
        <f t="shared" ref="CV18" si="81">CT18*IF(CU18="",1,Q18)</f>
        <v>720</v>
      </c>
      <c r="CW18" s="81">
        <f>(CV18/25)^1.5*(Calculator!$BU$4/10000)*CW$5</f>
        <v>80.37830486753046</v>
      </c>
      <c r="CX18" t="str">
        <f t="shared" ref="CX18" si="82">"$"&amp;IF(LEFT(CU18,1)="r",CT18&amp;"/"&amp;CU18,CV18)</f>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1662</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ref="BF19:BG21" si="83">IF($E19=$E$4,BF$4,IF($E19=$E$5,BF$5,""))</f>
        <v>4.0600000000000005</v>
      </c>
      <c r="BG19" s="35">
        <f t="shared" si="83"/>
        <v>6.8672999999999998E-2</v>
      </c>
      <c r="BH19" s="35" t="str">
        <f t="shared" ref="BH19:BH21" si="84">IF(ISTEXT(BE19),IF(AND(AV19=0,SUM(AN19:AQ19)=0),IF(AM19&lt;=0,IF(BE19="Y","Low","Flat"),"Med"),"High"),"?")</f>
        <v>Low</v>
      </c>
      <c r="BI19" s="110">
        <f t="shared" ref="BI19:BI21" si="85">IF(ISNUMBER(AH19),0*BI$5*SIN((EDATE($A$3,$Q19)-DATE(YEAR(EDATE($A$3,$Q19)),1,0)-BI$4)*2*PI()/365),"")</f>
        <v>0</v>
      </c>
      <c r="BJ19" s="83" t="str">
        <f>VLOOKUP($F19,REP_Info!$D$6:$H$250,5,FALSE)</f>
        <v/>
      </c>
      <c r="BK19" s="30">
        <f t="shared" ref="BK19:BN21" si="86">IF(BK$7&gt;0,(LOOKUP(BK$7,$AH19:$AL19,$AM19:$AQ19)+IF($AG19="Y",SUMPRODUCT($AX19:$BB19-$AW19:$BA19,BK$7-$AR19:$AV19,N(BK$7&gt;$AR19:$AV19)),BK$7*LOOKUP(BK$7,$AR19:$AV19,$AX19:$BB19))+IF($BE19="Y",$BF19,$BC19)+BK$7*IF($BE19="Y",$BG19,$BD19))*100/BK$7,"")</f>
        <v>14.869300000000001</v>
      </c>
      <c r="BL19" s="30">
        <f t="shared" si="86"/>
        <v>14.4633</v>
      </c>
      <c r="BM19" s="30">
        <f t="shared" si="86"/>
        <v>14.260300000000001</v>
      </c>
      <c r="BN19" s="29">
        <f t="shared" si="86"/>
        <v>14.192633333333333</v>
      </c>
      <c r="BO19" s="85" t="str">
        <f t="shared" ref="BO19:BO21" si="87">IFERROR(SUMPRODUCT($BS$7:$CD$7,$BS19:$CD19)/100,"$$$")</f>
        <v>$$$</v>
      </c>
      <c r="BP19" s="88" t="str">
        <f t="shared" ref="BP19:BP21" si="88">IFERROR(BO19*100/BO$5,"$$$")</f>
        <v>$$$</v>
      </c>
      <c r="BQ19" s="88" t="str">
        <f t="shared" ref="BQ19:BQ21" si="89">IFERROR(SUMPRODUCT($BS$7:$CD$7,$BS19:$CD19,--($BS$4:$CD$4&lt;=$Q19))/SUMPRODUCT(--($BS$4:$CD$4&lt;=$Q19),$BS$7:$CD$7),"$$$")</f>
        <v>$$$</v>
      </c>
      <c r="BR19" s="88" t="str">
        <f t="shared" ref="BR19:BR21" si="90">IFERROR($BQ19-$BF19*100*SUMPRODUCT(--($BS$4:$CD$4&lt;=$Q19))/SUMPRODUCT(--($BS$4:$CD$4&lt;=$Q19),$BS$7:$CD$7)-$BG19*100,"$$$")</f>
        <v>$$$</v>
      </c>
      <c r="BS19" s="29" t="e">
        <f t="shared" ref="BS19:CD21" si="91">IF($CI19,IF(BS$7&gt;0,IF(BS$4&gt;$Q19,$BF19+BS$7*(BS$5+$BG19+$BI19),LOOKUP(BS$7,$AH19:$AL19,$AM19:$AQ19)+IF($AG19="Y",SUMPRODUCT($AX19:$BB19-$AW19:$BA19,BS$7-$AR19:$AV19,N(BS$7&gt;$AR19:$AV19)),BS$7*LOOKUP(BS$7,$AR19:$AV19,$AX19:$BB19))+IF($BE19="Y",$BF19,$BC19)+BS$7*IF($BE19="Y",$BG19,$BD19))*100/BS$7,""),NA())</f>
        <v>#N/A</v>
      </c>
      <c r="BT19" s="29" t="e">
        <f t="shared" si="91"/>
        <v>#N/A</v>
      </c>
      <c r="BU19" s="29" t="e">
        <f t="shared" si="91"/>
        <v>#N/A</v>
      </c>
      <c r="BV19" s="29" t="e">
        <f t="shared" si="91"/>
        <v>#N/A</v>
      </c>
      <c r="BW19" s="29" t="e">
        <f t="shared" si="91"/>
        <v>#N/A</v>
      </c>
      <c r="BX19" s="29" t="e">
        <f t="shared" si="91"/>
        <v>#N/A</v>
      </c>
      <c r="BY19" s="29" t="e">
        <f t="shared" si="91"/>
        <v>#N/A</v>
      </c>
      <c r="BZ19" s="29" t="e">
        <f t="shared" si="91"/>
        <v>#N/A</v>
      </c>
      <c r="CA19" s="29" t="e">
        <f t="shared" si="91"/>
        <v>#N/A</v>
      </c>
      <c r="CB19" s="29" t="e">
        <f t="shared" si="91"/>
        <v>#N/A</v>
      </c>
      <c r="CC19" s="29" t="e">
        <f t="shared" si="91"/>
        <v>#N/A</v>
      </c>
      <c r="CD19" s="29" t="e">
        <f t="shared" si="91"/>
        <v>#N/A</v>
      </c>
      <c r="CE19" s="6" t="str">
        <f t="shared" si="7"/>
        <v/>
      </c>
      <c r="CF19" s="27" t="e">
        <f>IF(AND(CI19,NOT(AD19)),LOOKUP(CF$5,{0,750,1500},H19:J19),"")</f>
        <v>#N/A</v>
      </c>
      <c r="CG19" s="6" t="str">
        <f t="shared" si="8"/>
        <v/>
      </c>
      <c r="CH19" t="e">
        <f t="shared" ref="CH19:CH21" si="92">IF(CI19,IF(ISNUMBER(BO19),BO19,100000)+CV19/10000+IF(ISNUMBER(BJ19),BJ19,2)/10000-P19/100000+ROW()/10000000,"")</f>
        <v>#N/A</v>
      </c>
      <c r="CI19" t="e">
        <f t="shared" ref="CI19:CI21" si="93">PRODUCT(CJ19:CQ19)</f>
        <v>#N/A</v>
      </c>
      <c r="CJ19" s="6" t="e">
        <f t="shared" ref="CJ19:CJ21" si="94">IF($E19=CJ$5,1,0)</f>
        <v>#N/A</v>
      </c>
      <c r="CK19" s="6">
        <f t="shared" ref="CK19:CK21" si="95">IF(CK$5="[Any]",1,IF($F19=CK$5,1,0))</f>
        <v>1</v>
      </c>
      <c r="CL19" s="6">
        <f t="shared" ref="CL19:CL21" si="96">IFERROR(--OR(ISBLANK(CL$5),$BJ19="",AND(ISNUMBER($BJ19),$BJ19&lt;=CL$5)),1)</f>
        <v>1</v>
      </c>
      <c r="CM19" s="6">
        <f t="shared" ref="CM19:CM21" si="97">IF($O19="Fixed",1,0)</f>
        <v>1</v>
      </c>
      <c r="CN19" s="6">
        <f t="shared" ref="CN19:CN21" si="98">IF($Q19&gt;=CN$5,1,0)</f>
        <v>1</v>
      </c>
      <c r="CO19" s="6">
        <f t="shared" ref="CO19:CO21" si="99">IF($Q19&lt;=CO$5,1,0)</f>
        <v>0</v>
      </c>
      <c r="CP19" s="6">
        <f t="shared" ref="CP19:CP21" si="100">IF($P19&gt;=CP$5,1,0)</f>
        <v>1</v>
      </c>
      <c r="CQ19" s="6">
        <f t="shared" ref="CQ19:CQ21" si="101">IF(CQ$5="Any",1,IF(AND(CQ$5="Med",AV19=0,SUM(AN19:AQ19)=0),1,IF(AND(CQ$5="Low",AV19=0,SUM(AN19:AQ19)=0,AM19=0),1,IF(AND(CQ$5="Flat",AV19=0,SUM(AN19:AQ19)=0,AM19=0,IFERROR(NOT(BE19="Y"),0)),1,0))))</f>
        <v>1</v>
      </c>
      <c r="CR19" s="81" t="str">
        <f t="shared" ref="CR19:CR21" si="102">IF(ISNUMBER($CH19),$CH19+$CS19+$CW19,"")</f>
        <v/>
      </c>
      <c r="CS19">
        <f t="shared" ref="CS19:CS21" si="103">CS$5*(12/(MIN(12,Q19))-1)</f>
        <v>0</v>
      </c>
      <c r="CT19">
        <f t="shared" ref="CT19:CT21" si="104">IF(OR(LEFT($R19,2)="No",LEFT($R19,4)="Batt"),0,VALUE(IFERROR(LEFT($R19,FIND("/",$R19)-1),IFERROR(LEFT($R19,FIND(" ",$R19)-1),$R19))))</f>
        <v>20</v>
      </c>
      <c r="CU19" t="str">
        <f t="shared" ref="CU19:CU21" si="105">IF(AND(ISERR(FIND("remain",$R19)),ISERR(FIND("left",$R19))),"","r")&amp;IF(ISERR(FIND("mon",$R19)),"","m")</f>
        <v>rm</v>
      </c>
      <c r="CV19" s="81">
        <f t="shared" ref="CV19:CV21" si="106">CT19*IF(CU19="",1,Q19)</f>
        <v>720</v>
      </c>
      <c r="CW19" s="81">
        <f>(CV19/25)^1.5*(Calculator!$BU$4/10000)*CW$5</f>
        <v>80.37830486753046</v>
      </c>
      <c r="CX19" t="str">
        <f t="shared" ref="CX19:CX21" si="107">"$"&amp;IF(LEFT(CU19,1)="r",CT19&amp;"/"&amp;CU19,CV19)</f>
        <v>$20/rm</v>
      </c>
    </row>
    <row r="20" spans="2:102" x14ac:dyDescent="0.25">
      <c r="B20" s="115" t="s">
        <v>233</v>
      </c>
      <c r="C20" s="13">
        <v>46307.748611111114</v>
      </c>
      <c r="D20">
        <v>35654</v>
      </c>
      <c r="E20" s="54" t="s">
        <v>235</v>
      </c>
      <c r="F20" s="54" t="s">
        <v>294</v>
      </c>
      <c r="G20" s="54" t="s">
        <v>1663</v>
      </c>
      <c r="H20" s="55">
        <v>12.9</v>
      </c>
      <c r="I20" s="55">
        <v>12.4</v>
      </c>
      <c r="J20" s="55">
        <v>12.2</v>
      </c>
      <c r="K20" s="54"/>
      <c r="L20" s="56" t="b">
        <v>0</v>
      </c>
      <c r="M20" s="56" t="b">
        <v>0</v>
      </c>
      <c r="N20" s="54">
        <v>1</v>
      </c>
      <c r="O20" s="54" t="s">
        <v>228</v>
      </c>
      <c r="P20" s="54">
        <v>23</v>
      </c>
      <c r="Q20" s="54">
        <v>9</v>
      </c>
      <c r="R20" s="54" t="s">
        <v>296</v>
      </c>
      <c r="S20" s="54" t="s">
        <v>297</v>
      </c>
      <c r="T20" s="54" t="s">
        <v>1662</v>
      </c>
      <c r="U20" s="54" t="s">
        <v>298</v>
      </c>
      <c r="V20" s="54" t="s">
        <v>299</v>
      </c>
      <c r="W20" s="54" t="b">
        <v>0</v>
      </c>
      <c r="X20" s="54"/>
      <c r="Y20" s="57" t="s">
        <v>1664</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83"/>
        <v>4.9000000000000004</v>
      </c>
      <c r="BG20" s="35">
        <f t="shared" si="83"/>
        <v>6.5333000000000002E-2</v>
      </c>
      <c r="BH20" s="35" t="str">
        <f t="shared" si="84"/>
        <v>Low</v>
      </c>
      <c r="BI20" s="110">
        <f t="shared" si="85"/>
        <v>0</v>
      </c>
      <c r="BJ20" s="83" t="str">
        <f>VLOOKUP($F20,REP_Info!$D$6:$H$250,5,FALSE)</f>
        <v/>
      </c>
      <c r="BK20" s="30">
        <f t="shared" si="86"/>
        <v>12.903300000000002</v>
      </c>
      <c r="BL20" s="30">
        <f t="shared" si="86"/>
        <v>12.413300000000001</v>
      </c>
      <c r="BM20" s="30">
        <f t="shared" si="86"/>
        <v>12.1683</v>
      </c>
      <c r="BN20" s="29">
        <f t="shared" si="86"/>
        <v>12.086633333333333</v>
      </c>
      <c r="BO20" s="85" t="str">
        <f t="shared" si="87"/>
        <v>$$$</v>
      </c>
      <c r="BP20" s="88" t="str">
        <f t="shared" si="88"/>
        <v>$$$</v>
      </c>
      <c r="BQ20" s="88" t="str">
        <f t="shared" si="89"/>
        <v>$$$</v>
      </c>
      <c r="BR20" s="88" t="str">
        <f t="shared" si="90"/>
        <v>$$$</v>
      </c>
      <c r="BS20" s="29" t="e">
        <f t="shared" si="91"/>
        <v>#N/A</v>
      </c>
      <c r="BT20" s="29" t="e">
        <f t="shared" si="91"/>
        <v>#N/A</v>
      </c>
      <c r="BU20" s="29" t="e">
        <f t="shared" si="91"/>
        <v>#N/A</v>
      </c>
      <c r="BV20" s="29" t="e">
        <f t="shared" si="91"/>
        <v>#N/A</v>
      </c>
      <c r="BW20" s="29" t="e">
        <f t="shared" si="91"/>
        <v>#N/A</v>
      </c>
      <c r="BX20" s="29" t="e">
        <f t="shared" si="91"/>
        <v>#N/A</v>
      </c>
      <c r="BY20" s="29" t="e">
        <f t="shared" si="91"/>
        <v>#N/A</v>
      </c>
      <c r="BZ20" s="29" t="e">
        <f t="shared" si="91"/>
        <v>#N/A</v>
      </c>
      <c r="CA20" s="29" t="e">
        <f t="shared" si="91"/>
        <v>#N/A</v>
      </c>
      <c r="CB20" s="29" t="e">
        <f t="shared" si="91"/>
        <v>#N/A</v>
      </c>
      <c r="CC20" s="29" t="e">
        <f t="shared" si="91"/>
        <v>#N/A</v>
      </c>
      <c r="CD20" s="29" t="e">
        <f t="shared" si="91"/>
        <v>#N/A</v>
      </c>
      <c r="CE20" s="6" t="str">
        <f t="shared" si="7"/>
        <v/>
      </c>
      <c r="CF20" s="27" t="e">
        <f>IF(AND(CI20,NOT(AD20)),LOOKUP(CF$5,{0,750,1500},H20:J20),"")</f>
        <v>#N/A</v>
      </c>
      <c r="CG20" s="6" t="str">
        <f t="shared" si="8"/>
        <v/>
      </c>
      <c r="CH20" t="e">
        <f t="shared" si="92"/>
        <v>#N/A</v>
      </c>
      <c r="CI20" t="e">
        <f t="shared" si="93"/>
        <v>#N/A</v>
      </c>
      <c r="CJ20" s="6" t="e">
        <f t="shared" si="94"/>
        <v>#N/A</v>
      </c>
      <c r="CK20" s="6">
        <f t="shared" si="95"/>
        <v>1</v>
      </c>
      <c r="CL20" s="6">
        <f t="shared" si="96"/>
        <v>1</v>
      </c>
      <c r="CM20" s="6">
        <f t="shared" si="97"/>
        <v>1</v>
      </c>
      <c r="CN20" s="6">
        <f t="shared" si="98"/>
        <v>0</v>
      </c>
      <c r="CO20" s="6">
        <f t="shared" si="99"/>
        <v>1</v>
      </c>
      <c r="CP20" s="6">
        <f t="shared" si="100"/>
        <v>1</v>
      </c>
      <c r="CQ20" s="6">
        <f t="shared" si="101"/>
        <v>1</v>
      </c>
      <c r="CR20" s="81" t="str">
        <f t="shared" si="102"/>
        <v/>
      </c>
      <c r="CS20">
        <f t="shared" si="103"/>
        <v>5.9999999999999982</v>
      </c>
      <c r="CT20">
        <f t="shared" si="104"/>
        <v>20</v>
      </c>
      <c r="CU20" t="str">
        <f t="shared" si="105"/>
        <v>rm</v>
      </c>
      <c r="CV20" s="81">
        <f t="shared" si="106"/>
        <v>180</v>
      </c>
      <c r="CW20" s="81">
        <f>(CV20/25)^1.5*(Calculator!$BU$4/10000)*CW$5</f>
        <v>10.047288108441309</v>
      </c>
      <c r="CX20" t="str">
        <f t="shared" si="107"/>
        <v>$20/rm</v>
      </c>
    </row>
    <row r="21" spans="2:102" x14ac:dyDescent="0.25">
      <c r="B21" s="115" t="s">
        <v>233</v>
      </c>
      <c r="C21" s="13">
        <v>46307.748611111114</v>
      </c>
      <c r="D21">
        <v>35658</v>
      </c>
      <c r="E21" s="54" t="s">
        <v>237</v>
      </c>
      <c r="F21" s="54" t="s">
        <v>294</v>
      </c>
      <c r="G21" s="54" t="s">
        <v>1663</v>
      </c>
      <c r="H21" s="55">
        <v>13.100000000000001</v>
      </c>
      <c r="I21" s="55">
        <v>12.7</v>
      </c>
      <c r="J21" s="55">
        <v>12.5</v>
      </c>
      <c r="K21" s="54"/>
      <c r="L21" s="56" t="b">
        <v>0</v>
      </c>
      <c r="M21" s="56" t="b">
        <v>0</v>
      </c>
      <c r="N21" s="54">
        <v>1</v>
      </c>
      <c r="O21" s="54" t="s">
        <v>228</v>
      </c>
      <c r="P21" s="54">
        <v>23</v>
      </c>
      <c r="Q21" s="54">
        <v>9</v>
      </c>
      <c r="R21" s="54" t="s">
        <v>296</v>
      </c>
      <c r="S21" s="54" t="s">
        <v>297</v>
      </c>
      <c r="T21" s="54" t="s">
        <v>1662</v>
      </c>
      <c r="U21" s="54" t="s">
        <v>298</v>
      </c>
      <c r="V21" s="54" t="s">
        <v>299</v>
      </c>
      <c r="W21" s="54" t="b">
        <v>0</v>
      </c>
      <c r="X21" s="54"/>
      <c r="Y21" s="57" t="s">
        <v>1665</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83"/>
        <v>4.0600000000000005</v>
      </c>
      <c r="BG21" s="35">
        <f t="shared" si="83"/>
        <v>6.8672999999999998E-2</v>
      </c>
      <c r="BH21" s="35" t="str">
        <f t="shared" si="84"/>
        <v>Low</v>
      </c>
      <c r="BI21" s="110">
        <f t="shared" si="85"/>
        <v>0</v>
      </c>
      <c r="BJ21" s="83" t="str">
        <f>VLOOKUP($F21,REP_Info!$D$6:$H$250,5,FALSE)</f>
        <v/>
      </c>
      <c r="BK21" s="30">
        <f t="shared" si="86"/>
        <v>13.069300000000002</v>
      </c>
      <c r="BL21" s="30">
        <f t="shared" si="86"/>
        <v>12.663300000000001</v>
      </c>
      <c r="BM21" s="30">
        <f t="shared" si="86"/>
        <v>12.460300000000002</v>
      </c>
      <c r="BN21" s="29">
        <f t="shared" si="86"/>
        <v>12.392633333333334</v>
      </c>
      <c r="BO21" s="85" t="str">
        <f t="shared" si="87"/>
        <v>$$$</v>
      </c>
      <c r="BP21" s="88" t="str">
        <f t="shared" si="88"/>
        <v>$$$</v>
      </c>
      <c r="BQ21" s="88" t="str">
        <f t="shared" si="89"/>
        <v>$$$</v>
      </c>
      <c r="BR21" s="88" t="str">
        <f t="shared" si="90"/>
        <v>$$$</v>
      </c>
      <c r="BS21" s="29" t="e">
        <f t="shared" si="91"/>
        <v>#N/A</v>
      </c>
      <c r="BT21" s="29" t="e">
        <f t="shared" si="91"/>
        <v>#N/A</v>
      </c>
      <c r="BU21" s="29" t="e">
        <f t="shared" si="91"/>
        <v>#N/A</v>
      </c>
      <c r="BV21" s="29" t="e">
        <f t="shared" si="91"/>
        <v>#N/A</v>
      </c>
      <c r="BW21" s="29" t="e">
        <f t="shared" si="91"/>
        <v>#N/A</v>
      </c>
      <c r="BX21" s="29" t="e">
        <f t="shared" si="91"/>
        <v>#N/A</v>
      </c>
      <c r="BY21" s="29" t="e">
        <f t="shared" si="91"/>
        <v>#N/A</v>
      </c>
      <c r="BZ21" s="29" t="e">
        <f t="shared" si="91"/>
        <v>#N/A</v>
      </c>
      <c r="CA21" s="29" t="e">
        <f t="shared" si="91"/>
        <v>#N/A</v>
      </c>
      <c r="CB21" s="29" t="e">
        <f t="shared" si="91"/>
        <v>#N/A</v>
      </c>
      <c r="CC21" s="29" t="e">
        <f t="shared" si="91"/>
        <v>#N/A</v>
      </c>
      <c r="CD21" s="29" t="e">
        <f t="shared" si="91"/>
        <v>#N/A</v>
      </c>
      <c r="CE21" s="6" t="str">
        <f t="shared" si="7"/>
        <v/>
      </c>
      <c r="CF21" s="27" t="e">
        <f>IF(AND(CI21,NOT(AD21)),LOOKUP(CF$5,{0,750,1500},H21:J21),"")</f>
        <v>#N/A</v>
      </c>
      <c r="CG21" s="6" t="str">
        <f t="shared" si="8"/>
        <v/>
      </c>
      <c r="CH21" t="e">
        <f t="shared" si="92"/>
        <v>#N/A</v>
      </c>
      <c r="CI21" t="e">
        <f t="shared" si="93"/>
        <v>#N/A</v>
      </c>
      <c r="CJ21" s="6" t="e">
        <f t="shared" si="94"/>
        <v>#N/A</v>
      </c>
      <c r="CK21" s="6">
        <f t="shared" si="95"/>
        <v>1</v>
      </c>
      <c r="CL21" s="6">
        <f t="shared" si="96"/>
        <v>1</v>
      </c>
      <c r="CM21" s="6">
        <f t="shared" si="97"/>
        <v>1</v>
      </c>
      <c r="CN21" s="6">
        <f t="shared" si="98"/>
        <v>0</v>
      </c>
      <c r="CO21" s="6">
        <f t="shared" si="99"/>
        <v>1</v>
      </c>
      <c r="CP21" s="6">
        <f t="shared" si="100"/>
        <v>1</v>
      </c>
      <c r="CQ21" s="6">
        <f t="shared" si="101"/>
        <v>1</v>
      </c>
      <c r="CR21" s="81" t="str">
        <f t="shared" si="102"/>
        <v/>
      </c>
      <c r="CS21">
        <f t="shared" si="103"/>
        <v>5.9999999999999982</v>
      </c>
      <c r="CT21">
        <f t="shared" si="104"/>
        <v>20</v>
      </c>
      <c r="CU21" t="str">
        <f t="shared" si="105"/>
        <v>rm</v>
      </c>
      <c r="CV21" s="81">
        <f t="shared" si="106"/>
        <v>180</v>
      </c>
      <c r="CW21" s="81">
        <f>(CV21/25)^1.5*(Calculator!$BU$4/10000)*CW$5</f>
        <v>10.047288108441309</v>
      </c>
      <c r="CX21" t="str">
        <f t="shared" si="107"/>
        <v>$20/rm</v>
      </c>
    </row>
    <row r="22" spans="2:102" x14ac:dyDescent="0.25">
      <c r="B22" s="115" t="s">
        <v>233</v>
      </c>
      <c r="C22" s="13">
        <v>46302.234722222223</v>
      </c>
      <c r="D22">
        <v>17326</v>
      </c>
      <c r="E22" s="54" t="s">
        <v>237</v>
      </c>
      <c r="F22" s="54" t="s">
        <v>304</v>
      </c>
      <c r="G22" s="54" t="s">
        <v>1626</v>
      </c>
      <c r="H22" s="55">
        <v>11.1</v>
      </c>
      <c r="I22" s="55">
        <v>10.299999999999999</v>
      </c>
      <c r="J22" s="55">
        <v>9.9</v>
      </c>
      <c r="K22" s="54"/>
      <c r="L22" s="56" t="b">
        <v>0</v>
      </c>
      <c r="M22" s="56" t="b">
        <v>1</v>
      </c>
      <c r="N22" s="54">
        <v>1</v>
      </c>
      <c r="O22" s="54" t="s">
        <v>228</v>
      </c>
      <c r="P22" s="54">
        <v>22</v>
      </c>
      <c r="Q22" s="54">
        <v>3</v>
      </c>
      <c r="R22" s="54">
        <v>175</v>
      </c>
      <c r="S22" s="54" t="s">
        <v>305</v>
      </c>
      <c r="T22" s="54" t="s">
        <v>306</v>
      </c>
      <c r="U22" s="54" t="s">
        <v>1613</v>
      </c>
      <c r="V22" s="54" t="s">
        <v>307</v>
      </c>
      <c r="W22" s="54" t="b">
        <v>0</v>
      </c>
      <c r="X22" s="54"/>
      <c r="Y22" s="57" t="s">
        <v>1627</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26" si="108">IF($E22=$E$4,BF$4,IF($E22=$E$5,BF$5,""))</f>
        <v>4.0600000000000005</v>
      </c>
      <c r="BG22" s="35">
        <f t="shared" si="108"/>
        <v>6.8672999999999998E-2</v>
      </c>
      <c r="BH22" s="35" t="str">
        <f t="shared" ref="BH22:BH26" si="109">IF(ISTEXT(BE22),IF(AND(AV22=0,SUM(AN22:AQ22)=0),IF(AM22&lt;=0,IF(BE22="Y","Low","Flat"),"Med"),"High"),"?")</f>
        <v>?</v>
      </c>
      <c r="BI22" s="110">
        <f t="shared" ref="BI22:BI26" si="110">IF(ISNUMBER(AH22),0*BI$5*SIN((EDATE($A$3,$Q22)-DATE(YEAR(EDATE($A$3,$Q22)),1,0)-BI$4)*2*PI()/365),"")</f>
        <v>0</v>
      </c>
      <c r="BJ22" s="83">
        <f>VLOOKUP($F22,REP_Info!$D$6:$H$250,5,FALSE)</f>
        <v>1.573</v>
      </c>
      <c r="BK22" s="30" t="e">
        <f t="shared" ref="BK22:BN26" si="111">IF(BK$7&gt;0,(LOOKUP(BK$7,$AH22:$AL22,$AM22:$AQ22)+IF($AG22="Y",SUMPRODUCT($AX22:$BB22-$AW22:$BA22,BK$7-$AR22:$AV22,N(BK$7&gt;$AR22:$AV22)),BK$7*LOOKUP(BK$7,$AR22:$AV22,$AX22:$BB22))+IF($BE22="Y",$BF22,$BC22)+BK$7*IF($BE22="Y",$BG22,$BD22))*100/BK$7,"")</f>
        <v>#N/A</v>
      </c>
      <c r="BL22" s="30" t="e">
        <f t="shared" si="111"/>
        <v>#N/A</v>
      </c>
      <c r="BM22" s="30" t="e">
        <f t="shared" si="111"/>
        <v>#N/A</v>
      </c>
      <c r="BN22" s="29" t="e">
        <f t="shared" si="111"/>
        <v>#N/A</v>
      </c>
      <c r="BO22" s="85" t="str">
        <f t="shared" ref="BO22:BO26" si="112">IFERROR(SUMPRODUCT($BS$7:$CD$7,$BS22:$CD22)/100,"$$$")</f>
        <v>$$$</v>
      </c>
      <c r="BP22" s="88" t="str">
        <f t="shared" ref="BP22:BP26" si="113">IFERROR(BO22*100/BO$5,"$$$")</f>
        <v>$$$</v>
      </c>
      <c r="BQ22" s="88" t="str">
        <f t="shared" ref="BQ22:BQ26" si="114">IFERROR(SUMPRODUCT($BS$7:$CD$7,$BS22:$CD22,--($BS$4:$CD$4&lt;=$Q22))/SUMPRODUCT(--($BS$4:$CD$4&lt;=$Q22),$BS$7:$CD$7),"$$$")</f>
        <v>$$$</v>
      </c>
      <c r="BR22" s="88" t="str">
        <f t="shared" ref="BR22:BR26" si="115">IFERROR($BQ22-$BF22*100*SUMPRODUCT(--($BS$4:$CD$4&lt;=$Q22))/SUMPRODUCT(--($BS$4:$CD$4&lt;=$Q22),$BS$7:$CD$7)-$BG22*100,"$$$")</f>
        <v>$$$</v>
      </c>
      <c r="BS22" s="29" t="e">
        <f t="shared" ref="BS22:CD26" si="116">IF($CI22,IF(BS$7&gt;0,IF(BS$4&gt;$Q22,$BF22+BS$7*(BS$5+$BG22+$BI22),LOOKUP(BS$7,$AH22:$AL22,$AM22:$AQ22)+IF($AG22="Y",SUMPRODUCT($AX22:$BB22-$AW22:$BA22,BS$7-$AR22:$AV22,N(BS$7&gt;$AR22:$AV22)),BS$7*LOOKUP(BS$7,$AR22:$AV22,$AX22:$BB22))+IF($BE22="Y",$BF22,$BC22)+BS$7*IF($BE22="Y",$BG22,$BD22))*100/BS$7,""),NA())</f>
        <v>#N/A</v>
      </c>
      <c r="BT22" s="29" t="e">
        <f t="shared" si="116"/>
        <v>#N/A</v>
      </c>
      <c r="BU22" s="29" t="e">
        <f t="shared" si="116"/>
        <v>#N/A</v>
      </c>
      <c r="BV22" s="29" t="e">
        <f t="shared" si="116"/>
        <v>#N/A</v>
      </c>
      <c r="BW22" s="29" t="e">
        <f t="shared" si="116"/>
        <v>#N/A</v>
      </c>
      <c r="BX22" s="29" t="e">
        <f t="shared" si="116"/>
        <v>#N/A</v>
      </c>
      <c r="BY22" s="29" t="e">
        <f t="shared" si="116"/>
        <v>#N/A</v>
      </c>
      <c r="BZ22" s="29" t="e">
        <f t="shared" si="116"/>
        <v>#N/A</v>
      </c>
      <c r="CA22" s="29" t="e">
        <f t="shared" si="116"/>
        <v>#N/A</v>
      </c>
      <c r="CB22" s="29" t="e">
        <f t="shared" si="116"/>
        <v>#N/A</v>
      </c>
      <c r="CC22" s="29" t="e">
        <f t="shared" si="116"/>
        <v>#N/A</v>
      </c>
      <c r="CD22" s="29" t="e">
        <f t="shared" si="116"/>
        <v>#N/A</v>
      </c>
      <c r="CE22" s="6" t="str">
        <f t="shared" si="7"/>
        <v/>
      </c>
      <c r="CF22" s="27" t="e">
        <f>IF(AND(CI22,NOT(AD22)),LOOKUP(CF$5,{0,750,1500},H22:J22),"")</f>
        <v>#N/A</v>
      </c>
      <c r="CG22" s="6" t="str">
        <f t="shared" si="8"/>
        <v/>
      </c>
      <c r="CH22" t="e">
        <f t="shared" ref="CH22:CH26" si="117">IF(CI22,IF(ISNUMBER(BO22),BO22,100000)+CV22/10000+IF(ISNUMBER(BJ22),BJ22,2)/10000-P22/100000+ROW()/10000000,"")</f>
        <v>#N/A</v>
      </c>
      <c r="CI22" t="e">
        <f t="shared" ref="CI22:CI26" si="118">PRODUCT(CJ22:CQ22)</f>
        <v>#N/A</v>
      </c>
      <c r="CJ22" s="6" t="e">
        <f t="shared" ref="CJ22:CJ26" si="119">IF($E22=CJ$5,1,0)</f>
        <v>#N/A</v>
      </c>
      <c r="CK22" s="6">
        <f t="shared" ref="CK22:CK26" si="120">IF(CK$5="[Any]",1,IF($F22=CK$5,1,0))</f>
        <v>1</v>
      </c>
      <c r="CL22" s="6">
        <f t="shared" ref="CL22:CL26" si="121">IFERROR(--OR(ISBLANK(CL$5),$BJ22="",AND(ISNUMBER($BJ22),$BJ22&lt;=CL$5)),1)</f>
        <v>1</v>
      </c>
      <c r="CM22" s="6">
        <f t="shared" ref="CM22:CM26" si="122">IF($O22="Fixed",1,0)</f>
        <v>1</v>
      </c>
      <c r="CN22" s="6">
        <f t="shared" ref="CN22:CN26" si="123">IF($Q22&gt;=CN$5,1,0)</f>
        <v>0</v>
      </c>
      <c r="CO22" s="6">
        <f t="shared" ref="CO22:CO26" si="124">IF($Q22&lt;=CO$5,1,0)</f>
        <v>1</v>
      </c>
      <c r="CP22" s="6">
        <f t="shared" ref="CP22:CP26" si="125">IF($P22&gt;=CP$5,1,0)</f>
        <v>1</v>
      </c>
      <c r="CQ22" s="6">
        <f t="shared" ref="CQ22:CQ26" si="126">IF(CQ$5="Any",1,IF(AND(CQ$5="Med",AV22=0,SUM(AN22:AQ22)=0),1,IF(AND(CQ$5="Low",AV22=0,SUM(AN22:AQ22)=0,AM22=0),1,IF(AND(CQ$5="Flat",AV22=0,SUM(AN22:AQ22)=0,AM22=0,IFERROR(NOT(BE22="Y"),0)),1,0))))</f>
        <v>1</v>
      </c>
      <c r="CR22" s="81" t="str">
        <f t="shared" ref="CR22:CR26" si="127">IF(ISNUMBER($CH22),$CH22+$CS22+$CW22,"")</f>
        <v/>
      </c>
      <c r="CS22">
        <f t="shared" ref="CS22:CS26" si="128">CS$5*(12/(MIN(12,Q22))-1)</f>
        <v>54</v>
      </c>
      <c r="CT22">
        <f t="shared" ref="CT22:CT26" si="129">IF(OR(LEFT($R22,2)="No",LEFT($R22,4)="Batt"),0,VALUE(IFERROR(LEFT($R22,FIND("/",$R22)-1),IFERROR(LEFT($R22,FIND(" ",$R22)-1),$R22))))</f>
        <v>175</v>
      </c>
      <c r="CU22" t="str">
        <f t="shared" ref="CU22:CU26" si="130">IF(AND(ISERR(FIND("remain",$R22)),ISERR(FIND("left",$R22))),"","r")&amp;IF(ISERR(FIND("mon",$R22)),"","m")</f>
        <v/>
      </c>
      <c r="CV22" s="81">
        <f t="shared" ref="CV22:CV26" si="131">CT22*IF(CU22="",1,Q22)</f>
        <v>175</v>
      </c>
      <c r="CW22" s="81">
        <f>(CV22/25)^1.5*(Calculator!$BU$4/10000)*CW$5</f>
        <v>9.6315719067890644</v>
      </c>
      <c r="CX22" t="str">
        <f t="shared" ref="CX22:CX26" si="132">"$"&amp;IF(LEFT(CU22,1)="r",CT22&amp;"/"&amp;CU22,CV22)</f>
        <v>$175</v>
      </c>
    </row>
    <row r="23" spans="2:102" x14ac:dyDescent="0.25">
      <c r="B23" s="115" t="s">
        <v>233</v>
      </c>
      <c r="C23" s="13">
        <v>46304.647222222222</v>
      </c>
      <c r="D23">
        <v>17330</v>
      </c>
      <c r="E23" s="54" t="s">
        <v>235</v>
      </c>
      <c r="F23" s="54" t="s">
        <v>304</v>
      </c>
      <c r="G23" s="54" t="s">
        <v>1626</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1612</v>
      </c>
      <c r="V23" s="54" t="s">
        <v>307</v>
      </c>
      <c r="W23" s="54" t="b">
        <v>0</v>
      </c>
      <c r="X23" s="54"/>
      <c r="Y23" s="57" t="s">
        <v>1628</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08"/>
        <v>4.9000000000000004</v>
      </c>
      <c r="BG23" s="35">
        <f t="shared" si="108"/>
        <v>6.5333000000000002E-2</v>
      </c>
      <c r="BH23" s="35" t="str">
        <f t="shared" si="109"/>
        <v>?</v>
      </c>
      <c r="BI23" s="110">
        <f t="shared" si="110"/>
        <v>0</v>
      </c>
      <c r="BJ23" s="83">
        <f>VLOOKUP($F23,REP_Info!$D$6:$H$250,5,FALSE)</f>
        <v>1.573</v>
      </c>
      <c r="BK23" s="30" t="e">
        <f t="shared" si="111"/>
        <v>#N/A</v>
      </c>
      <c r="BL23" s="30" t="e">
        <f t="shared" si="111"/>
        <v>#N/A</v>
      </c>
      <c r="BM23" s="30" t="e">
        <f t="shared" si="111"/>
        <v>#N/A</v>
      </c>
      <c r="BN23" s="29" t="e">
        <f t="shared" si="111"/>
        <v>#N/A</v>
      </c>
      <c r="BO23" s="85" t="str">
        <f t="shared" si="112"/>
        <v>$$$</v>
      </c>
      <c r="BP23" s="88" t="str">
        <f t="shared" si="113"/>
        <v>$$$</v>
      </c>
      <c r="BQ23" s="88" t="str">
        <f t="shared" si="114"/>
        <v>$$$</v>
      </c>
      <c r="BR23" s="88" t="str">
        <f t="shared" si="115"/>
        <v>$$$</v>
      </c>
      <c r="BS23" s="29" t="e">
        <f t="shared" si="116"/>
        <v>#N/A</v>
      </c>
      <c r="BT23" s="29" t="e">
        <f t="shared" si="116"/>
        <v>#N/A</v>
      </c>
      <c r="BU23" s="29" t="e">
        <f t="shared" si="116"/>
        <v>#N/A</v>
      </c>
      <c r="BV23" s="29" t="e">
        <f t="shared" si="116"/>
        <v>#N/A</v>
      </c>
      <c r="BW23" s="29" t="e">
        <f t="shared" si="116"/>
        <v>#N/A</v>
      </c>
      <c r="BX23" s="29" t="e">
        <f t="shared" si="116"/>
        <v>#N/A</v>
      </c>
      <c r="BY23" s="29" t="e">
        <f t="shared" si="116"/>
        <v>#N/A</v>
      </c>
      <c r="BZ23" s="29" t="e">
        <f t="shared" si="116"/>
        <v>#N/A</v>
      </c>
      <c r="CA23" s="29" t="e">
        <f t="shared" si="116"/>
        <v>#N/A</v>
      </c>
      <c r="CB23" s="29" t="e">
        <f t="shared" si="116"/>
        <v>#N/A</v>
      </c>
      <c r="CC23" s="29" t="e">
        <f t="shared" si="116"/>
        <v>#N/A</v>
      </c>
      <c r="CD23" s="29" t="e">
        <f t="shared" si="116"/>
        <v>#N/A</v>
      </c>
      <c r="CE23" s="6" t="str">
        <f t="shared" si="7"/>
        <v/>
      </c>
      <c r="CF23" s="27" t="e">
        <f>IF(AND(CI23,NOT(AD23)),LOOKUP(CF$5,{0,750,1500},H23:J23),"")</f>
        <v>#N/A</v>
      </c>
      <c r="CG23" s="6" t="str">
        <f t="shared" si="8"/>
        <v/>
      </c>
      <c r="CH23" t="e">
        <f t="shared" si="117"/>
        <v>#N/A</v>
      </c>
      <c r="CI23" t="e">
        <f t="shared" si="118"/>
        <v>#N/A</v>
      </c>
      <c r="CJ23" s="6" t="e">
        <f t="shared" si="119"/>
        <v>#N/A</v>
      </c>
      <c r="CK23" s="6">
        <f t="shared" si="120"/>
        <v>1</v>
      </c>
      <c r="CL23" s="6">
        <f t="shared" si="121"/>
        <v>1</v>
      </c>
      <c r="CM23" s="6">
        <f t="shared" si="122"/>
        <v>1</v>
      </c>
      <c r="CN23" s="6">
        <f t="shared" si="123"/>
        <v>0</v>
      </c>
      <c r="CO23" s="6">
        <f t="shared" si="124"/>
        <v>1</v>
      </c>
      <c r="CP23" s="6">
        <f t="shared" si="125"/>
        <v>1</v>
      </c>
      <c r="CQ23" s="6">
        <f t="shared" si="126"/>
        <v>1</v>
      </c>
      <c r="CR23" s="81" t="str">
        <f t="shared" si="127"/>
        <v/>
      </c>
      <c r="CS23">
        <f t="shared" si="128"/>
        <v>54</v>
      </c>
      <c r="CT23">
        <f t="shared" si="129"/>
        <v>175</v>
      </c>
      <c r="CU23" t="str">
        <f t="shared" si="130"/>
        <v/>
      </c>
      <c r="CV23" s="81">
        <f t="shared" si="131"/>
        <v>175</v>
      </c>
      <c r="CW23" s="81">
        <f>(CV23/25)^1.5*(Calculator!$BU$4/10000)*CW$5</f>
        <v>9.6315719067890644</v>
      </c>
      <c r="CX23" t="str">
        <f t="shared" si="132"/>
        <v>$175</v>
      </c>
    </row>
    <row r="24" spans="2:102" x14ac:dyDescent="0.25">
      <c r="B24" s="115" t="s">
        <v>233</v>
      </c>
      <c r="C24" s="13">
        <v>46302.234722222223</v>
      </c>
      <c r="D24">
        <v>22141</v>
      </c>
      <c r="E24" s="54" t="s">
        <v>237</v>
      </c>
      <c r="F24" s="54" t="s">
        <v>304</v>
      </c>
      <c r="G24" s="54" t="s">
        <v>1629</v>
      </c>
      <c r="H24" s="55">
        <v>11.1</v>
      </c>
      <c r="I24" s="55">
        <v>10.299999999999999</v>
      </c>
      <c r="J24" s="55">
        <v>9.9</v>
      </c>
      <c r="K24" s="54"/>
      <c r="L24" s="56" t="b">
        <v>0</v>
      </c>
      <c r="M24" s="56" t="b">
        <v>0</v>
      </c>
      <c r="N24" s="54">
        <v>1</v>
      </c>
      <c r="O24" s="54" t="s">
        <v>228</v>
      </c>
      <c r="P24" s="54">
        <v>22</v>
      </c>
      <c r="Q24" s="54">
        <v>3</v>
      </c>
      <c r="R24" s="54">
        <v>175</v>
      </c>
      <c r="S24" s="54" t="s">
        <v>305</v>
      </c>
      <c r="T24" s="54" t="s">
        <v>310</v>
      </c>
      <c r="U24" s="54" t="s">
        <v>1614</v>
      </c>
      <c r="V24" s="54" t="s">
        <v>307</v>
      </c>
      <c r="W24" s="54" t="b">
        <v>0</v>
      </c>
      <c r="X24" s="54"/>
      <c r="Y24" s="57" t="s">
        <v>1630</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08"/>
        <v>4.0600000000000005</v>
      </c>
      <c r="BG24" s="35">
        <f t="shared" si="108"/>
        <v>6.8672999999999998E-2</v>
      </c>
      <c r="BH24" s="35" t="str">
        <f t="shared" si="109"/>
        <v>Med</v>
      </c>
      <c r="BI24" s="110">
        <f t="shared" si="110"/>
        <v>0</v>
      </c>
      <c r="BJ24" s="83">
        <f>VLOOKUP($F24,REP_Info!$D$6:$H$250,5,FALSE)</f>
        <v>1.573</v>
      </c>
      <c r="BK24" s="30">
        <f t="shared" si="111"/>
        <v>13.611966666666666</v>
      </c>
      <c r="BL24" s="30">
        <f t="shared" si="111"/>
        <v>11.539633333333333</v>
      </c>
      <c r="BM24" s="30">
        <f t="shared" si="111"/>
        <v>10.503466666666666</v>
      </c>
      <c r="BN24" s="29">
        <f t="shared" si="111"/>
        <v>10.158077777777779</v>
      </c>
      <c r="BO24" s="85" t="str">
        <f t="shared" si="112"/>
        <v>$$$</v>
      </c>
      <c r="BP24" s="88" t="str">
        <f t="shared" si="113"/>
        <v>$$$</v>
      </c>
      <c r="BQ24" s="88" t="str">
        <f t="shared" si="114"/>
        <v>$$$</v>
      </c>
      <c r="BR24" s="88" t="str">
        <f t="shared" si="115"/>
        <v>$$$</v>
      </c>
      <c r="BS24" s="29" t="e">
        <f t="shared" si="116"/>
        <v>#N/A</v>
      </c>
      <c r="BT24" s="29" t="e">
        <f t="shared" si="116"/>
        <v>#N/A</v>
      </c>
      <c r="BU24" s="29" t="e">
        <f t="shared" si="116"/>
        <v>#N/A</v>
      </c>
      <c r="BV24" s="29" t="e">
        <f t="shared" si="116"/>
        <v>#N/A</v>
      </c>
      <c r="BW24" s="29" t="e">
        <f t="shared" si="116"/>
        <v>#N/A</v>
      </c>
      <c r="BX24" s="29" t="e">
        <f t="shared" si="116"/>
        <v>#N/A</v>
      </c>
      <c r="BY24" s="29" t="e">
        <f t="shared" si="116"/>
        <v>#N/A</v>
      </c>
      <c r="BZ24" s="29" t="e">
        <f t="shared" si="116"/>
        <v>#N/A</v>
      </c>
      <c r="CA24" s="29" t="e">
        <f t="shared" si="116"/>
        <v>#N/A</v>
      </c>
      <c r="CB24" s="29" t="e">
        <f t="shared" si="116"/>
        <v>#N/A</v>
      </c>
      <c r="CC24" s="29" t="e">
        <f t="shared" si="116"/>
        <v>#N/A</v>
      </c>
      <c r="CD24" s="29" t="e">
        <f t="shared" si="116"/>
        <v>#N/A</v>
      </c>
      <c r="CE24" s="6" t="str">
        <f t="shared" si="7"/>
        <v/>
      </c>
      <c r="CF24" s="27" t="e">
        <f>IF(AND(CI24,NOT(AD24)),LOOKUP(CF$5,{0,750,1500},H24:J24),"")</f>
        <v>#N/A</v>
      </c>
      <c r="CG24" s="6" t="str">
        <f t="shared" si="8"/>
        <v/>
      </c>
      <c r="CH24" t="e">
        <f t="shared" si="117"/>
        <v>#N/A</v>
      </c>
      <c r="CI24" t="e">
        <f t="shared" si="118"/>
        <v>#N/A</v>
      </c>
      <c r="CJ24" s="6" t="e">
        <f t="shared" si="119"/>
        <v>#N/A</v>
      </c>
      <c r="CK24" s="6">
        <f t="shared" si="120"/>
        <v>1</v>
      </c>
      <c r="CL24" s="6">
        <f t="shared" si="121"/>
        <v>1</v>
      </c>
      <c r="CM24" s="6">
        <f t="shared" si="122"/>
        <v>1</v>
      </c>
      <c r="CN24" s="6">
        <f t="shared" si="123"/>
        <v>0</v>
      </c>
      <c r="CO24" s="6">
        <f t="shared" si="124"/>
        <v>1</v>
      </c>
      <c r="CP24" s="6">
        <f t="shared" si="125"/>
        <v>1</v>
      </c>
      <c r="CQ24" s="6">
        <f t="shared" si="126"/>
        <v>1</v>
      </c>
      <c r="CR24" s="81" t="str">
        <f t="shared" si="127"/>
        <v/>
      </c>
      <c r="CS24">
        <f t="shared" si="128"/>
        <v>54</v>
      </c>
      <c r="CT24">
        <f t="shared" si="129"/>
        <v>175</v>
      </c>
      <c r="CU24" t="str">
        <f t="shared" si="130"/>
        <v/>
      </c>
      <c r="CV24" s="81">
        <f t="shared" si="131"/>
        <v>175</v>
      </c>
      <c r="CW24" s="81">
        <f>(CV24/25)^1.5*(Calculator!$BU$4/10000)*CW$5</f>
        <v>9.6315719067890644</v>
      </c>
      <c r="CX24" t="str">
        <f t="shared" si="132"/>
        <v>$175</v>
      </c>
    </row>
    <row r="25" spans="2:102" x14ac:dyDescent="0.25">
      <c r="B25" s="115" t="s">
        <v>233</v>
      </c>
      <c r="C25" s="13">
        <v>46304.647222222222</v>
      </c>
      <c r="D25">
        <v>22143</v>
      </c>
      <c r="E25" s="54" t="s">
        <v>235</v>
      </c>
      <c r="F25" s="54" t="s">
        <v>304</v>
      </c>
      <c r="G25" s="54" t="s">
        <v>1629</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1616</v>
      </c>
      <c r="V25" s="54" t="s">
        <v>307</v>
      </c>
      <c r="W25" s="54" t="b">
        <v>0</v>
      </c>
      <c r="X25" s="54"/>
      <c r="Y25" s="57" t="s">
        <v>1631</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08"/>
        <v>4.9000000000000004</v>
      </c>
      <c r="BG25" s="35">
        <f t="shared" si="108"/>
        <v>6.5333000000000002E-2</v>
      </c>
      <c r="BH25" s="35" t="str">
        <f t="shared" si="109"/>
        <v>Med</v>
      </c>
      <c r="BI25" s="110">
        <f t="shared" si="110"/>
        <v>0</v>
      </c>
      <c r="BJ25" s="83">
        <f>VLOOKUP($F25,REP_Info!$D$6:$H$250,5,FALSE)</f>
        <v>1.573</v>
      </c>
      <c r="BK25" s="30">
        <f t="shared" si="111"/>
        <v>13.945966666666667</v>
      </c>
      <c r="BL25" s="30">
        <f t="shared" si="111"/>
        <v>11.789633333333333</v>
      </c>
      <c r="BM25" s="30">
        <f t="shared" si="111"/>
        <v>10.711466666666666</v>
      </c>
      <c r="BN25" s="29">
        <f t="shared" si="111"/>
        <v>10.352077777777776</v>
      </c>
      <c r="BO25" s="85" t="str">
        <f t="shared" si="112"/>
        <v>$$$</v>
      </c>
      <c r="BP25" s="88" t="str">
        <f t="shared" si="113"/>
        <v>$$$</v>
      </c>
      <c r="BQ25" s="88" t="str">
        <f t="shared" si="114"/>
        <v>$$$</v>
      </c>
      <c r="BR25" s="88" t="str">
        <f t="shared" si="115"/>
        <v>$$$</v>
      </c>
      <c r="BS25" s="29" t="e">
        <f t="shared" si="116"/>
        <v>#N/A</v>
      </c>
      <c r="BT25" s="29" t="e">
        <f t="shared" si="116"/>
        <v>#N/A</v>
      </c>
      <c r="BU25" s="29" t="e">
        <f t="shared" si="116"/>
        <v>#N/A</v>
      </c>
      <c r="BV25" s="29" t="e">
        <f t="shared" si="116"/>
        <v>#N/A</v>
      </c>
      <c r="BW25" s="29" t="e">
        <f t="shared" si="116"/>
        <v>#N/A</v>
      </c>
      <c r="BX25" s="29" t="e">
        <f t="shared" si="116"/>
        <v>#N/A</v>
      </c>
      <c r="BY25" s="29" t="e">
        <f t="shared" si="116"/>
        <v>#N/A</v>
      </c>
      <c r="BZ25" s="29" t="e">
        <f t="shared" si="116"/>
        <v>#N/A</v>
      </c>
      <c r="CA25" s="29" t="e">
        <f t="shared" si="116"/>
        <v>#N/A</v>
      </c>
      <c r="CB25" s="29" t="e">
        <f t="shared" si="116"/>
        <v>#N/A</v>
      </c>
      <c r="CC25" s="29" t="e">
        <f t="shared" si="116"/>
        <v>#N/A</v>
      </c>
      <c r="CD25" s="29" t="e">
        <f t="shared" si="116"/>
        <v>#N/A</v>
      </c>
      <c r="CE25" s="6" t="str">
        <f t="shared" si="7"/>
        <v/>
      </c>
      <c r="CF25" s="27" t="e">
        <f>IF(AND(CI25,NOT(AD25)),LOOKUP(CF$5,{0,750,1500},H25:J25),"")</f>
        <v>#N/A</v>
      </c>
      <c r="CG25" s="6" t="str">
        <f t="shared" si="8"/>
        <v/>
      </c>
      <c r="CH25" t="e">
        <f t="shared" si="117"/>
        <v>#N/A</v>
      </c>
      <c r="CI25" t="e">
        <f t="shared" si="118"/>
        <v>#N/A</v>
      </c>
      <c r="CJ25" s="6" t="e">
        <f t="shared" si="119"/>
        <v>#N/A</v>
      </c>
      <c r="CK25" s="6">
        <f t="shared" si="120"/>
        <v>1</v>
      </c>
      <c r="CL25" s="6">
        <f t="shared" si="121"/>
        <v>1</v>
      </c>
      <c r="CM25" s="6">
        <f t="shared" si="122"/>
        <v>1</v>
      </c>
      <c r="CN25" s="6">
        <f t="shared" si="123"/>
        <v>0</v>
      </c>
      <c r="CO25" s="6">
        <f t="shared" si="124"/>
        <v>1</v>
      </c>
      <c r="CP25" s="6">
        <f t="shared" si="125"/>
        <v>1</v>
      </c>
      <c r="CQ25" s="6">
        <f t="shared" si="126"/>
        <v>1</v>
      </c>
      <c r="CR25" s="81" t="str">
        <f t="shared" si="127"/>
        <v/>
      </c>
      <c r="CS25">
        <f t="shared" si="128"/>
        <v>54</v>
      </c>
      <c r="CT25">
        <f t="shared" si="129"/>
        <v>175</v>
      </c>
      <c r="CU25" t="str">
        <f t="shared" si="130"/>
        <v/>
      </c>
      <c r="CV25" s="81">
        <f t="shared" si="131"/>
        <v>175</v>
      </c>
      <c r="CW25" s="81">
        <f>(CV25/25)^1.5*(Calculator!$BU$4/10000)*CW$5</f>
        <v>9.6315719067890644</v>
      </c>
      <c r="CX25" t="str">
        <f t="shared" si="132"/>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08"/>
        <v>4.0600000000000005</v>
      </c>
      <c r="BG26" s="35">
        <f t="shared" si="108"/>
        <v>6.8672999999999998E-2</v>
      </c>
      <c r="BH26" s="35" t="str">
        <f t="shared" si="109"/>
        <v>High</v>
      </c>
      <c r="BI26" s="110">
        <f t="shared" si="110"/>
        <v>0</v>
      </c>
      <c r="BJ26" s="83">
        <f>VLOOKUP($F26,REP_Info!$D$6:$H$250,5,FALSE)</f>
        <v>1.573</v>
      </c>
      <c r="BK26" s="30">
        <f t="shared" si="111"/>
        <v>24.679299999999998</v>
      </c>
      <c r="BL26" s="30">
        <f t="shared" si="111"/>
        <v>11.773300000000001</v>
      </c>
      <c r="BM26" s="30">
        <f t="shared" si="111"/>
        <v>17.8203</v>
      </c>
      <c r="BN26" s="29">
        <f t="shared" si="111"/>
        <v>19.835966666666671</v>
      </c>
      <c r="BO26" s="85" t="str">
        <f t="shared" si="112"/>
        <v>$$$</v>
      </c>
      <c r="BP26" s="88" t="str">
        <f t="shared" si="113"/>
        <v>$$$</v>
      </c>
      <c r="BQ26" s="88" t="str">
        <f t="shared" si="114"/>
        <v>$$$</v>
      </c>
      <c r="BR26" s="88" t="str">
        <f t="shared" si="115"/>
        <v>$$$</v>
      </c>
      <c r="BS26" s="29" t="e">
        <f t="shared" si="116"/>
        <v>#N/A</v>
      </c>
      <c r="BT26" s="29" t="e">
        <f t="shared" si="116"/>
        <v>#N/A</v>
      </c>
      <c r="BU26" s="29" t="e">
        <f t="shared" si="116"/>
        <v>#N/A</v>
      </c>
      <c r="BV26" s="29" t="e">
        <f t="shared" si="116"/>
        <v>#N/A</v>
      </c>
      <c r="BW26" s="29" t="e">
        <f t="shared" si="116"/>
        <v>#N/A</v>
      </c>
      <c r="BX26" s="29" t="e">
        <f t="shared" si="116"/>
        <v>#N/A</v>
      </c>
      <c r="BY26" s="29" t="e">
        <f t="shared" si="116"/>
        <v>#N/A</v>
      </c>
      <c r="BZ26" s="29" t="e">
        <f t="shared" si="116"/>
        <v>#N/A</v>
      </c>
      <c r="CA26" s="29" t="e">
        <f t="shared" si="116"/>
        <v>#N/A</v>
      </c>
      <c r="CB26" s="29" t="e">
        <f t="shared" si="116"/>
        <v>#N/A</v>
      </c>
      <c r="CC26" s="29" t="e">
        <f t="shared" si="116"/>
        <v>#N/A</v>
      </c>
      <c r="CD26" s="29" t="e">
        <f t="shared" si="116"/>
        <v>#N/A</v>
      </c>
      <c r="CE26" s="6" t="str">
        <f t="shared" si="7"/>
        <v/>
      </c>
      <c r="CF26" s="27" t="e">
        <f>IF(AND(CI26,NOT(AD26)),LOOKUP(CF$5,{0,750,1500},H26:J26),"")</f>
        <v>#N/A</v>
      </c>
      <c r="CG26" s="6" t="str">
        <f t="shared" si="8"/>
        <v/>
      </c>
      <c r="CH26" t="e">
        <f t="shared" si="117"/>
        <v>#N/A</v>
      </c>
      <c r="CI26" t="e">
        <f t="shared" si="118"/>
        <v>#N/A</v>
      </c>
      <c r="CJ26" s="6" t="e">
        <f t="shared" si="119"/>
        <v>#N/A</v>
      </c>
      <c r="CK26" s="6">
        <f t="shared" si="120"/>
        <v>1</v>
      </c>
      <c r="CL26" s="6">
        <f t="shared" si="121"/>
        <v>1</v>
      </c>
      <c r="CM26" s="6">
        <f t="shared" si="122"/>
        <v>1</v>
      </c>
      <c r="CN26" s="6">
        <f t="shared" si="123"/>
        <v>1</v>
      </c>
      <c r="CO26" s="6">
        <f t="shared" si="124"/>
        <v>1</v>
      </c>
      <c r="CP26" s="6">
        <f t="shared" si="125"/>
        <v>1</v>
      </c>
      <c r="CQ26" s="6">
        <f t="shared" si="126"/>
        <v>1</v>
      </c>
      <c r="CR26" s="81" t="str">
        <f t="shared" si="127"/>
        <v/>
      </c>
      <c r="CS26">
        <f t="shared" si="128"/>
        <v>0</v>
      </c>
      <c r="CT26">
        <f t="shared" si="129"/>
        <v>175</v>
      </c>
      <c r="CU26" t="str">
        <f t="shared" si="130"/>
        <v/>
      </c>
      <c r="CV26" s="81">
        <f t="shared" si="131"/>
        <v>175</v>
      </c>
      <c r="CW26" s="81">
        <f>(CV26/25)^1.5*(Calculator!$BU$4/10000)*CW$5</f>
        <v>9.6315719067890644</v>
      </c>
      <c r="CX26" t="str">
        <f t="shared" si="132"/>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27" si="133">IF($E27=$E$4,BF$4,IF($E27=$E$5,BF$5,""))</f>
        <v>4.9000000000000004</v>
      </c>
      <c r="BG27" s="35">
        <f t="shared" si="133"/>
        <v>6.5333000000000002E-2</v>
      </c>
      <c r="BH27" s="35" t="str">
        <f t="shared" ref="BH27" si="134">IF(ISTEXT(BE27),IF(AND(AV27=0,SUM(AN27:AQ27)=0),IF(AM27&lt;=0,IF(BE27="Y","Low","Flat"),"Med"),"High"),"?")</f>
        <v>High</v>
      </c>
      <c r="BI27" s="110">
        <f t="shared" ref="BI27" si="135">IF(ISNUMBER(AH27),0*BI$5*SIN((EDATE($A$3,$Q27)-DATE(YEAR(EDATE($A$3,$Q27)),1,0)-BI$4)*2*PI()/365),"")</f>
        <v>0</v>
      </c>
      <c r="BJ27" s="83">
        <f>VLOOKUP($F27,REP_Info!$D$6:$H$250,5,FALSE)</f>
        <v>1.573</v>
      </c>
      <c r="BK27" s="30">
        <f t="shared" ref="BK27:BN27" si="136">IF(BK$7&gt;0,(LOOKUP(BK$7,$AH27:$AL27,$AM27:$AQ27)+IF($AG27="Y",SUMPRODUCT($AX27:$BB27-$AW27:$BA27,BK$7-$AR27:$AV27,N(BK$7&gt;$AR27:$AV27)),BK$7*LOOKUP(BK$7,$AR27:$AV27,$AX27:$BB27))+IF($BE27="Y",$BF27,$BC27)+BK$7*IF($BE27="Y",$BG27,$BD27))*100/BK$7,"")</f>
        <v>22.9133</v>
      </c>
      <c r="BL27" s="30">
        <f t="shared" si="136"/>
        <v>9.9233000000000011</v>
      </c>
      <c r="BM27" s="30">
        <f t="shared" si="136"/>
        <v>15.928300000000002</v>
      </c>
      <c r="BN27" s="29">
        <f t="shared" si="136"/>
        <v>17.929966666666669</v>
      </c>
      <c r="BO27" s="85" t="str">
        <f t="shared" ref="BO27" si="137">IFERROR(SUMPRODUCT($BS$7:$CD$7,$BS27:$CD27)/100,"$$$")</f>
        <v>$$$</v>
      </c>
      <c r="BP27" s="88" t="str">
        <f t="shared" ref="BP27" si="138">IFERROR(BO27*100/BO$5,"$$$")</f>
        <v>$$$</v>
      </c>
      <c r="BQ27" s="88" t="str">
        <f t="shared" ref="BQ27" si="139">IFERROR(SUMPRODUCT($BS$7:$CD$7,$BS27:$CD27,--($BS$4:$CD$4&lt;=$Q27))/SUMPRODUCT(--($BS$4:$CD$4&lt;=$Q27),$BS$7:$CD$7),"$$$")</f>
        <v>$$$</v>
      </c>
      <c r="BR27" s="88" t="str">
        <f t="shared" ref="BR27" si="140">IFERROR($BQ27-$BF27*100*SUMPRODUCT(--($BS$4:$CD$4&lt;=$Q27))/SUMPRODUCT(--($BS$4:$CD$4&lt;=$Q27),$BS$7:$CD$7)-$BG27*100,"$$$")</f>
        <v>$$$</v>
      </c>
      <c r="BS27" s="29" t="e">
        <f t="shared" ref="BS27:CD27" si="141">IF($CI27,IF(BS$7&gt;0,IF(BS$4&gt;$Q27,$BF27+BS$7*(BS$5+$BG27+$BI27),LOOKUP(BS$7,$AH27:$AL27,$AM27:$AQ27)+IF($AG27="Y",SUMPRODUCT($AX27:$BB27-$AW27:$BA27,BS$7-$AR27:$AV27,N(BS$7&gt;$AR27:$AV27)),BS$7*LOOKUP(BS$7,$AR27:$AV27,$AX27:$BB27))+IF($BE27="Y",$BF27,$BC27)+BS$7*IF($BE27="Y",$BG27,$BD27))*100/BS$7,""),NA())</f>
        <v>#N/A</v>
      </c>
      <c r="BT27" s="29" t="e">
        <f t="shared" si="141"/>
        <v>#N/A</v>
      </c>
      <c r="BU27" s="29" t="e">
        <f t="shared" si="141"/>
        <v>#N/A</v>
      </c>
      <c r="BV27" s="29" t="e">
        <f t="shared" si="141"/>
        <v>#N/A</v>
      </c>
      <c r="BW27" s="29" t="e">
        <f t="shared" si="141"/>
        <v>#N/A</v>
      </c>
      <c r="BX27" s="29" t="e">
        <f t="shared" si="141"/>
        <v>#N/A</v>
      </c>
      <c r="BY27" s="29" t="e">
        <f t="shared" si="141"/>
        <v>#N/A</v>
      </c>
      <c r="BZ27" s="29" t="e">
        <f t="shared" si="141"/>
        <v>#N/A</v>
      </c>
      <c r="CA27" s="29" t="e">
        <f t="shared" si="141"/>
        <v>#N/A</v>
      </c>
      <c r="CB27" s="29" t="e">
        <f t="shared" si="141"/>
        <v>#N/A</v>
      </c>
      <c r="CC27" s="29" t="e">
        <f t="shared" si="141"/>
        <v>#N/A</v>
      </c>
      <c r="CD27" s="29" t="e">
        <f t="shared" si="141"/>
        <v>#N/A</v>
      </c>
      <c r="CE27" s="6" t="str">
        <f t="shared" si="7"/>
        <v/>
      </c>
      <c r="CF27" s="27" t="e">
        <f>IF(AND(CI27,NOT(AD27)),LOOKUP(CF$5,{0,750,1500},H27:J27),"")</f>
        <v>#N/A</v>
      </c>
      <c r="CG27" s="6" t="str">
        <f t="shared" si="8"/>
        <v/>
      </c>
      <c r="CH27" t="e">
        <f t="shared" ref="CH27" si="142">IF(CI27,IF(ISNUMBER(BO27),BO27,100000)+CV27/10000+IF(ISNUMBER(BJ27),BJ27,2)/10000-P27/100000+ROW()/10000000,"")</f>
        <v>#N/A</v>
      </c>
      <c r="CI27" t="e">
        <f t="shared" ref="CI27" si="143">PRODUCT(CJ27:CQ27)</f>
        <v>#N/A</v>
      </c>
      <c r="CJ27" s="6" t="e">
        <f t="shared" ref="CJ27" si="144">IF($E27=CJ$5,1,0)</f>
        <v>#N/A</v>
      </c>
      <c r="CK27" s="6">
        <f t="shared" ref="CK27" si="145">IF(CK$5="[Any]",1,IF($F27=CK$5,1,0))</f>
        <v>1</v>
      </c>
      <c r="CL27" s="6">
        <f t="shared" ref="CL27" si="146">IFERROR(--OR(ISBLANK(CL$5),$BJ27="",AND(ISNUMBER($BJ27),$BJ27&lt;=CL$5)),1)</f>
        <v>1</v>
      </c>
      <c r="CM27" s="6">
        <f t="shared" ref="CM27" si="147">IF($O27="Fixed",1,0)</f>
        <v>1</v>
      </c>
      <c r="CN27" s="6">
        <f t="shared" ref="CN27" si="148">IF($Q27&gt;=CN$5,1,0)</f>
        <v>1</v>
      </c>
      <c r="CO27" s="6">
        <f t="shared" ref="CO27" si="149">IF($Q27&lt;=CO$5,1,0)</f>
        <v>1</v>
      </c>
      <c r="CP27" s="6">
        <f t="shared" ref="CP27" si="150">IF($P27&gt;=CP$5,1,0)</f>
        <v>1</v>
      </c>
      <c r="CQ27" s="6">
        <f t="shared" ref="CQ27" si="151">IF(CQ$5="Any",1,IF(AND(CQ$5="Med",AV27=0,SUM(AN27:AQ27)=0),1,IF(AND(CQ$5="Low",AV27=0,SUM(AN27:AQ27)=0,AM27=0),1,IF(AND(CQ$5="Flat",AV27=0,SUM(AN27:AQ27)=0,AM27=0,IFERROR(NOT(BE27="Y"),0)),1,0))))</f>
        <v>1</v>
      </c>
      <c r="CR27" s="81" t="str">
        <f t="shared" ref="CR27" si="152">IF(ISNUMBER($CH27),$CH27+$CS27+$CW27,"")</f>
        <v/>
      </c>
      <c r="CS27">
        <f t="shared" ref="CS27" si="153">CS$5*(12/(MIN(12,Q27))-1)</f>
        <v>0</v>
      </c>
      <c r="CT27">
        <f t="shared" si="19"/>
        <v>175</v>
      </c>
      <c r="CU27" t="str">
        <f t="shared" ref="CU27" si="154">IF(AND(ISERR(FIND("remain",$R27)),ISERR(FIND("left",$R27))),"","r")&amp;IF(ISERR(FIND("mon",$R27)),"","m")</f>
        <v/>
      </c>
      <c r="CV27" s="81">
        <f t="shared" ref="CV27" si="155">CT27*IF(CU27="",1,Q27)</f>
        <v>175</v>
      </c>
      <c r="CW27" s="81">
        <f>(CV27/25)^1.5*(Calculator!$BU$4/10000)*CW$5</f>
        <v>9.6315719067890644</v>
      </c>
      <c r="CX27" t="str">
        <f t="shared" ref="CX27" si="156">"$"&amp;IF(LEFT(CU27,1)="r",CT27&amp;"/"&amp;CU27,CV27)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ref="BF28:BG38" si="157">IF($E28=$E$4,BF$4,IF($E28=$E$5,BF$5,""))</f>
        <v>4.0600000000000005</v>
      </c>
      <c r="BG28" s="35">
        <f t="shared" si="157"/>
        <v>6.8672999999999998E-2</v>
      </c>
      <c r="BH28" s="35" t="str">
        <f t="shared" ref="BH28:BH38" si="158">IF(ISTEXT(BE28),IF(AND(AV28=0,SUM(AN28:AQ28)=0),IF(AM28&lt;=0,IF(BE28="Y","Low","Flat"),"Med"),"High"),"?")</f>
        <v>Low</v>
      </c>
      <c r="BI28" s="110">
        <f t="shared" ref="BI28:BI38" si="159">IF(ISNUMBER(AH28),0*BI$5*SIN((EDATE($A$3,$Q28)-DATE(YEAR(EDATE($A$3,$Q28)),1,0)-BI$4)*2*PI()/365),"")</f>
        <v>0</v>
      </c>
      <c r="BJ28" s="83">
        <f>VLOOKUP($F28,REP_Info!$D$6:$H$250,5,FALSE)</f>
        <v>1.573</v>
      </c>
      <c r="BK28" s="30">
        <f t="shared" ref="BK28:BN38" si="160">IF(BK$7&gt;0,(LOOKUP(BK$7,$AH28:$AL28,$AM28:$AQ28)+IF($AG28="Y",SUMPRODUCT($AX28:$BB28-$AW28:$BA28,BK$7-$AR28:$AV28,N(BK$7&gt;$AR28:$AV28)),BK$7*LOOKUP(BK$7,$AR28:$AV28,$AX28:$BB28))+IF($BE28="Y",$BF28,$BC28)+BK$7*IF($BE28="Y",$BG28,$BD28))*100/BK$7,"")</f>
        <v>15.879300000000001</v>
      </c>
      <c r="BL28" s="30">
        <f t="shared" si="160"/>
        <v>15.473300000000002</v>
      </c>
      <c r="BM28" s="30">
        <f t="shared" si="160"/>
        <v>15.270300000000001</v>
      </c>
      <c r="BN28" s="29">
        <f t="shared" si="160"/>
        <v>15.202633333333333</v>
      </c>
      <c r="BO28" s="85" t="str">
        <f t="shared" ref="BO28:BO38" si="161">IFERROR(SUMPRODUCT($BS$7:$CD$7,$BS28:$CD28)/100,"$$$")</f>
        <v>$$$</v>
      </c>
      <c r="BP28" s="88" t="str">
        <f t="shared" ref="BP28:BP38" si="162">IFERROR(BO28*100/BO$5,"$$$")</f>
        <v>$$$</v>
      </c>
      <c r="BQ28" s="88" t="str">
        <f t="shared" ref="BQ28:BQ38" si="163">IFERROR(SUMPRODUCT($BS$7:$CD$7,$BS28:$CD28,--($BS$4:$CD$4&lt;=$Q28))/SUMPRODUCT(--($BS$4:$CD$4&lt;=$Q28),$BS$7:$CD$7),"$$$")</f>
        <v>$$$</v>
      </c>
      <c r="BR28" s="88" t="str">
        <f t="shared" ref="BR28:BR38" si="164">IFERROR($BQ28-$BF28*100*SUMPRODUCT(--($BS$4:$CD$4&lt;=$Q28))/SUMPRODUCT(--($BS$4:$CD$4&lt;=$Q28),$BS$7:$CD$7)-$BG28*100,"$$$")</f>
        <v>$$$</v>
      </c>
      <c r="BS28" s="29" t="e">
        <f t="shared" ref="BS28:CD33" si="165">IF($CI28,IF(BS$7&gt;0,IF(BS$4&gt;$Q28,$BF28+BS$7*(BS$5+$BG28+$BI28),LOOKUP(BS$7,$AH28:$AL28,$AM28:$AQ28)+IF($AG28="Y",SUMPRODUCT($AX28:$BB28-$AW28:$BA28,BS$7-$AR28:$AV28,N(BS$7&gt;$AR28:$AV28)),BS$7*LOOKUP(BS$7,$AR28:$AV28,$AX28:$BB28))+IF($BE28="Y",$BF28,$BC28)+BS$7*IF($BE28="Y",$BG28,$BD28))*100/BS$7,""),NA())</f>
        <v>#N/A</v>
      </c>
      <c r="BT28" s="29" t="e">
        <f t="shared" si="165"/>
        <v>#N/A</v>
      </c>
      <c r="BU28" s="29" t="e">
        <f t="shared" si="165"/>
        <v>#N/A</v>
      </c>
      <c r="BV28" s="29" t="e">
        <f t="shared" si="165"/>
        <v>#N/A</v>
      </c>
      <c r="BW28" s="29" t="e">
        <f t="shared" si="165"/>
        <v>#N/A</v>
      </c>
      <c r="BX28" s="29" t="e">
        <f t="shared" si="165"/>
        <v>#N/A</v>
      </c>
      <c r="BY28" s="29" t="e">
        <f t="shared" si="165"/>
        <v>#N/A</v>
      </c>
      <c r="BZ28" s="29" t="e">
        <f t="shared" si="165"/>
        <v>#N/A</v>
      </c>
      <c r="CA28" s="29" t="e">
        <f t="shared" si="165"/>
        <v>#N/A</v>
      </c>
      <c r="CB28" s="29" t="e">
        <f t="shared" si="165"/>
        <v>#N/A</v>
      </c>
      <c r="CC28" s="29" t="e">
        <f t="shared" si="165"/>
        <v>#N/A</v>
      </c>
      <c r="CD28" s="29" t="e">
        <f t="shared" si="165"/>
        <v>#N/A</v>
      </c>
      <c r="CE28" s="6" t="str">
        <f t="shared" si="7"/>
        <v/>
      </c>
      <c r="CF28" s="27" t="e">
        <f>IF(AND(CI28,NOT(AD28)),LOOKUP(CF$5,{0,750,1500},H28:J28),"")</f>
        <v>#N/A</v>
      </c>
      <c r="CG28" s="6" t="str">
        <f t="shared" si="8"/>
        <v/>
      </c>
      <c r="CH28" t="e">
        <f t="shared" ref="CH28:CH38" si="166">IF(CI28,IF(ISNUMBER(BO28),BO28,100000)+CV28/10000+IF(ISNUMBER(BJ28),BJ28,2)/10000-P28/100000+ROW()/10000000,"")</f>
        <v>#N/A</v>
      </c>
      <c r="CI28" t="e">
        <f t="shared" ref="CI28:CI38" si="167">PRODUCT(CJ28:CQ28)</f>
        <v>#N/A</v>
      </c>
      <c r="CJ28" s="6" t="e">
        <f t="shared" ref="CJ28:CJ38" si="168">IF($E28=CJ$5,1,0)</f>
        <v>#N/A</v>
      </c>
      <c r="CK28" s="6">
        <f t="shared" ref="CK28:CK38" si="169">IF(CK$5="[Any]",1,IF($F28=CK$5,1,0))</f>
        <v>1</v>
      </c>
      <c r="CL28" s="6">
        <f t="shared" ref="CL28:CL38" si="170">IFERROR(--OR(ISBLANK(CL$5),$BJ28="",AND(ISNUMBER($BJ28),$BJ28&lt;=CL$5)),1)</f>
        <v>1</v>
      </c>
      <c r="CM28" s="6">
        <f t="shared" ref="CM28:CM38" si="171">IF($O28="Fixed",1,0)</f>
        <v>1</v>
      </c>
      <c r="CN28" s="6">
        <f t="shared" ref="CN28:CN38" si="172">IF($Q28&gt;=CN$5,1,0)</f>
        <v>1</v>
      </c>
      <c r="CO28" s="6">
        <f t="shared" ref="CO28:CO38" si="173">IF($Q28&lt;=CO$5,1,0)</f>
        <v>0</v>
      </c>
      <c r="CP28" s="6">
        <f t="shared" ref="CP28:CP38" si="174">IF($P28&gt;=CP$5,1,0)</f>
        <v>1</v>
      </c>
      <c r="CQ28" s="6">
        <f t="shared" ref="CQ28:CQ38" si="175">IF(CQ$5="Any",1,IF(AND(CQ$5="Med",AV28=0,SUM(AN28:AQ28)=0),1,IF(AND(CQ$5="Low",AV28=0,SUM(AN28:AQ28)=0,AM28=0),1,IF(AND(CQ$5="Flat",AV28=0,SUM(AN28:AQ28)=0,AM28=0,IFERROR(NOT(BE28="Y"),0)),1,0))))</f>
        <v>1</v>
      </c>
      <c r="CR28" s="81" t="str">
        <f t="shared" ref="CR28:CR38" si="176">IF(ISNUMBER($CH28),$CH28+$CS28+$CW28,"")</f>
        <v/>
      </c>
      <c r="CS28">
        <f t="shared" ref="CS28:CS38" si="177">CS$5*(12/(MIN(12,Q28))-1)</f>
        <v>0</v>
      </c>
      <c r="CT28">
        <f t="shared" ref="CT28:CT38" si="178">IF(OR(LEFT($R28,2)="No",LEFT($R28,4)="Batt"),0,VALUE(IFERROR(LEFT($R28,FIND("/",$R28)-1),IFERROR(LEFT($R28,FIND(" ",$R28)-1),$R28))))</f>
        <v>175</v>
      </c>
      <c r="CU28" t="str">
        <f t="shared" ref="CU28:CU38" si="179">IF(AND(ISERR(FIND("remain",$R28)),ISERR(FIND("left",$R28))),"","r")&amp;IF(ISERR(FIND("mon",$R28)),"","m")</f>
        <v/>
      </c>
      <c r="CV28" s="81">
        <f t="shared" ref="CV28:CV38" si="180">CT28*IF(CU28="",1,Q28)</f>
        <v>175</v>
      </c>
      <c r="CW28" s="81">
        <f>(CV28/25)^1.5*(Calculator!$BU$4/10000)*CW$5</f>
        <v>9.6315719067890644</v>
      </c>
      <c r="CX28" t="str">
        <f t="shared" ref="CX28:CX38" si="181">"$"&amp;IF(LEFT(CU28,1)="r",CT28&amp;"/"&amp;CU28,CV28)</f>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57"/>
        <v>4.9000000000000004</v>
      </c>
      <c r="BG29" s="35">
        <f t="shared" si="157"/>
        <v>6.5333000000000002E-2</v>
      </c>
      <c r="BH29" s="35" t="str">
        <f t="shared" si="158"/>
        <v>Low</v>
      </c>
      <c r="BI29" s="110">
        <f t="shared" si="159"/>
        <v>0</v>
      </c>
      <c r="BJ29" s="83">
        <f>VLOOKUP($F29,REP_Info!$D$6:$H$250,5,FALSE)</f>
        <v>1.573</v>
      </c>
      <c r="BK29" s="30">
        <f t="shared" si="160"/>
        <v>16.113299999999999</v>
      </c>
      <c r="BL29" s="30">
        <f t="shared" si="160"/>
        <v>15.6233</v>
      </c>
      <c r="BM29" s="30">
        <f t="shared" si="160"/>
        <v>15.378300000000001</v>
      </c>
      <c r="BN29" s="29">
        <f t="shared" si="160"/>
        <v>15.296633333333334</v>
      </c>
      <c r="BO29" s="85" t="str">
        <f t="shared" si="161"/>
        <v>$$$</v>
      </c>
      <c r="BP29" s="88" t="str">
        <f t="shared" si="162"/>
        <v>$$$</v>
      </c>
      <c r="BQ29" s="88" t="str">
        <f t="shared" si="163"/>
        <v>$$$</v>
      </c>
      <c r="BR29" s="88" t="str">
        <f t="shared" si="164"/>
        <v>$$$</v>
      </c>
      <c r="BS29" s="29" t="e">
        <f t="shared" si="165"/>
        <v>#N/A</v>
      </c>
      <c r="BT29" s="29" t="e">
        <f t="shared" si="165"/>
        <v>#N/A</v>
      </c>
      <c r="BU29" s="29" t="e">
        <f t="shared" si="165"/>
        <v>#N/A</v>
      </c>
      <c r="BV29" s="29" t="e">
        <f t="shared" si="165"/>
        <v>#N/A</v>
      </c>
      <c r="BW29" s="29" t="e">
        <f t="shared" si="165"/>
        <v>#N/A</v>
      </c>
      <c r="BX29" s="29" t="e">
        <f t="shared" si="165"/>
        <v>#N/A</v>
      </c>
      <c r="BY29" s="29" t="e">
        <f t="shared" si="165"/>
        <v>#N/A</v>
      </c>
      <c r="BZ29" s="29" t="e">
        <f t="shared" si="165"/>
        <v>#N/A</v>
      </c>
      <c r="CA29" s="29" t="e">
        <f t="shared" si="165"/>
        <v>#N/A</v>
      </c>
      <c r="CB29" s="29" t="e">
        <f t="shared" si="165"/>
        <v>#N/A</v>
      </c>
      <c r="CC29" s="29" t="e">
        <f t="shared" si="165"/>
        <v>#N/A</v>
      </c>
      <c r="CD29" s="29" t="e">
        <f t="shared" si="165"/>
        <v>#N/A</v>
      </c>
      <c r="CE29" s="6" t="str">
        <f t="shared" si="7"/>
        <v/>
      </c>
      <c r="CF29" s="27" t="e">
        <f>IF(AND(CI29,NOT(AD29)),LOOKUP(CF$5,{0,750,1500},H29:J29),"")</f>
        <v>#N/A</v>
      </c>
      <c r="CG29" s="6" t="str">
        <f t="shared" si="8"/>
        <v/>
      </c>
      <c r="CH29" t="e">
        <f t="shared" si="166"/>
        <v>#N/A</v>
      </c>
      <c r="CI29" t="e">
        <f t="shared" si="167"/>
        <v>#N/A</v>
      </c>
      <c r="CJ29" s="6" t="e">
        <f t="shared" si="168"/>
        <v>#N/A</v>
      </c>
      <c r="CK29" s="6">
        <f t="shared" si="169"/>
        <v>1</v>
      </c>
      <c r="CL29" s="6">
        <f t="shared" si="170"/>
        <v>1</v>
      </c>
      <c r="CM29" s="6">
        <f t="shared" si="171"/>
        <v>1</v>
      </c>
      <c r="CN29" s="6">
        <f t="shared" si="172"/>
        <v>1</v>
      </c>
      <c r="CO29" s="6">
        <f t="shared" si="173"/>
        <v>0</v>
      </c>
      <c r="CP29" s="6">
        <f t="shared" si="174"/>
        <v>1</v>
      </c>
      <c r="CQ29" s="6">
        <f t="shared" si="175"/>
        <v>1</v>
      </c>
      <c r="CR29" s="81" t="str">
        <f t="shared" si="176"/>
        <v/>
      </c>
      <c r="CS29">
        <f t="shared" si="177"/>
        <v>0</v>
      </c>
      <c r="CT29">
        <f t="shared" si="178"/>
        <v>175</v>
      </c>
      <c r="CU29" t="str">
        <f t="shared" si="179"/>
        <v/>
      </c>
      <c r="CV29" s="81">
        <f t="shared" si="180"/>
        <v>175</v>
      </c>
      <c r="CW29" s="81">
        <f>(CV29/25)^1.5*(Calculator!$BU$4/10000)*CW$5</f>
        <v>9.6315719067890644</v>
      </c>
      <c r="CX29" t="str">
        <f t="shared" si="181"/>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57"/>
        <v>4.0600000000000005</v>
      </c>
      <c r="BG30" s="35">
        <f t="shared" si="157"/>
        <v>6.8672999999999998E-2</v>
      </c>
      <c r="BH30" s="35" t="str">
        <f t="shared" si="158"/>
        <v>Low</v>
      </c>
      <c r="BI30" s="110">
        <f t="shared" si="159"/>
        <v>0</v>
      </c>
      <c r="BJ30" s="83">
        <f>VLOOKUP($F30,REP_Info!$D$6:$H$250,5,FALSE)</f>
        <v>1.573</v>
      </c>
      <c r="BK30" s="30">
        <f t="shared" si="160"/>
        <v>15.879300000000001</v>
      </c>
      <c r="BL30" s="30">
        <f t="shared" si="160"/>
        <v>15.473300000000002</v>
      </c>
      <c r="BM30" s="30">
        <f t="shared" si="160"/>
        <v>15.270300000000001</v>
      </c>
      <c r="BN30" s="29">
        <f t="shared" si="160"/>
        <v>15.202633333333333</v>
      </c>
      <c r="BO30" s="85" t="str">
        <f t="shared" si="161"/>
        <v>$$$</v>
      </c>
      <c r="BP30" s="88" t="str">
        <f t="shared" si="162"/>
        <v>$$$</v>
      </c>
      <c r="BQ30" s="88" t="str">
        <f t="shared" si="163"/>
        <v>$$$</v>
      </c>
      <c r="BR30" s="88" t="str">
        <f t="shared" si="164"/>
        <v>$$$</v>
      </c>
      <c r="BS30" s="29" t="e">
        <f t="shared" si="165"/>
        <v>#N/A</v>
      </c>
      <c r="BT30" s="29" t="e">
        <f t="shared" si="165"/>
        <v>#N/A</v>
      </c>
      <c r="BU30" s="29" t="e">
        <f t="shared" si="165"/>
        <v>#N/A</v>
      </c>
      <c r="BV30" s="29" t="e">
        <f t="shared" si="165"/>
        <v>#N/A</v>
      </c>
      <c r="BW30" s="29" t="e">
        <f t="shared" si="165"/>
        <v>#N/A</v>
      </c>
      <c r="BX30" s="29" t="e">
        <f t="shared" si="165"/>
        <v>#N/A</v>
      </c>
      <c r="BY30" s="29" t="e">
        <f t="shared" si="165"/>
        <v>#N/A</v>
      </c>
      <c r="BZ30" s="29" t="e">
        <f t="shared" si="165"/>
        <v>#N/A</v>
      </c>
      <c r="CA30" s="29" t="e">
        <f t="shared" si="165"/>
        <v>#N/A</v>
      </c>
      <c r="CB30" s="29" t="e">
        <f t="shared" si="165"/>
        <v>#N/A</v>
      </c>
      <c r="CC30" s="29" t="e">
        <f t="shared" si="165"/>
        <v>#N/A</v>
      </c>
      <c r="CD30" s="29" t="e">
        <f t="shared" si="165"/>
        <v>#N/A</v>
      </c>
      <c r="CE30" s="6" t="str">
        <f t="shared" si="7"/>
        <v/>
      </c>
      <c r="CF30" s="27" t="e">
        <f>IF(AND(CI30,NOT(AD30)),LOOKUP(CF$5,{0,750,1500},H30:J30),"")</f>
        <v>#N/A</v>
      </c>
      <c r="CG30" s="6" t="str">
        <f t="shared" si="8"/>
        <v/>
      </c>
      <c r="CH30" t="e">
        <f t="shared" si="166"/>
        <v>#N/A</v>
      </c>
      <c r="CI30" t="e">
        <f t="shared" si="167"/>
        <v>#N/A</v>
      </c>
      <c r="CJ30" s="6" t="e">
        <f t="shared" si="168"/>
        <v>#N/A</v>
      </c>
      <c r="CK30" s="6">
        <f t="shared" si="169"/>
        <v>1</v>
      </c>
      <c r="CL30" s="6">
        <f t="shared" si="170"/>
        <v>1</v>
      </c>
      <c r="CM30" s="6">
        <f t="shared" si="171"/>
        <v>1</v>
      </c>
      <c r="CN30" s="6">
        <f t="shared" si="172"/>
        <v>1</v>
      </c>
      <c r="CO30" s="6">
        <f t="shared" si="173"/>
        <v>0</v>
      </c>
      <c r="CP30" s="6">
        <f t="shared" si="174"/>
        <v>1</v>
      </c>
      <c r="CQ30" s="6">
        <f t="shared" si="175"/>
        <v>1</v>
      </c>
      <c r="CR30" s="81" t="str">
        <f t="shared" si="176"/>
        <v/>
      </c>
      <c r="CS30">
        <f t="shared" si="177"/>
        <v>0</v>
      </c>
      <c r="CT30">
        <f t="shared" si="178"/>
        <v>175</v>
      </c>
      <c r="CU30" t="str">
        <f t="shared" si="179"/>
        <v/>
      </c>
      <c r="CV30" s="81">
        <f t="shared" si="180"/>
        <v>175</v>
      </c>
      <c r="CW30" s="81">
        <f>(CV30/25)^1.5*(Calculator!$BU$4/10000)*CW$5</f>
        <v>9.6315719067890644</v>
      </c>
      <c r="CX30" t="str">
        <f t="shared" si="181"/>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57"/>
        <v>4.9000000000000004</v>
      </c>
      <c r="BG31" s="35">
        <f t="shared" si="157"/>
        <v>6.5333000000000002E-2</v>
      </c>
      <c r="BH31" s="35" t="str">
        <f t="shared" si="158"/>
        <v>Low</v>
      </c>
      <c r="BI31" s="110">
        <f t="shared" si="159"/>
        <v>0</v>
      </c>
      <c r="BJ31" s="83">
        <f>VLOOKUP($F31,REP_Info!$D$6:$H$250,5,FALSE)</f>
        <v>1.573</v>
      </c>
      <c r="BK31" s="30">
        <f t="shared" si="160"/>
        <v>16.113299999999999</v>
      </c>
      <c r="BL31" s="30">
        <f t="shared" si="160"/>
        <v>15.6233</v>
      </c>
      <c r="BM31" s="30">
        <f t="shared" si="160"/>
        <v>15.378300000000001</v>
      </c>
      <c r="BN31" s="29">
        <f t="shared" si="160"/>
        <v>15.296633333333334</v>
      </c>
      <c r="BO31" s="85" t="str">
        <f t="shared" si="161"/>
        <v>$$$</v>
      </c>
      <c r="BP31" s="88" t="str">
        <f t="shared" si="162"/>
        <v>$$$</v>
      </c>
      <c r="BQ31" s="88" t="str">
        <f t="shared" si="163"/>
        <v>$$$</v>
      </c>
      <c r="BR31" s="88" t="str">
        <f t="shared" si="164"/>
        <v>$$$</v>
      </c>
      <c r="BS31" s="29" t="e">
        <f t="shared" si="165"/>
        <v>#N/A</v>
      </c>
      <c r="BT31" s="29" t="e">
        <f t="shared" si="165"/>
        <v>#N/A</v>
      </c>
      <c r="BU31" s="29" t="e">
        <f t="shared" si="165"/>
        <v>#N/A</v>
      </c>
      <c r="BV31" s="29" t="e">
        <f t="shared" si="165"/>
        <v>#N/A</v>
      </c>
      <c r="BW31" s="29" t="e">
        <f t="shared" si="165"/>
        <v>#N/A</v>
      </c>
      <c r="BX31" s="29" t="e">
        <f t="shared" si="165"/>
        <v>#N/A</v>
      </c>
      <c r="BY31" s="29" t="e">
        <f t="shared" si="165"/>
        <v>#N/A</v>
      </c>
      <c r="BZ31" s="29" t="e">
        <f t="shared" si="165"/>
        <v>#N/A</v>
      </c>
      <c r="CA31" s="29" t="e">
        <f t="shared" si="165"/>
        <v>#N/A</v>
      </c>
      <c r="CB31" s="29" t="e">
        <f t="shared" si="165"/>
        <v>#N/A</v>
      </c>
      <c r="CC31" s="29" t="e">
        <f t="shared" si="165"/>
        <v>#N/A</v>
      </c>
      <c r="CD31" s="29" t="e">
        <f t="shared" si="165"/>
        <v>#N/A</v>
      </c>
      <c r="CE31" s="6" t="str">
        <f t="shared" si="7"/>
        <v/>
      </c>
      <c r="CF31" s="27" t="e">
        <f>IF(AND(CI31,NOT(AD31)),LOOKUP(CF$5,{0,750,1500},H31:J31),"")</f>
        <v>#N/A</v>
      </c>
      <c r="CG31" s="6" t="str">
        <f t="shared" si="8"/>
        <v/>
      </c>
      <c r="CH31" t="e">
        <f t="shared" si="166"/>
        <v>#N/A</v>
      </c>
      <c r="CI31" t="e">
        <f t="shared" si="167"/>
        <v>#N/A</v>
      </c>
      <c r="CJ31" s="6" t="e">
        <f t="shared" si="168"/>
        <v>#N/A</v>
      </c>
      <c r="CK31" s="6">
        <f t="shared" si="169"/>
        <v>1</v>
      </c>
      <c r="CL31" s="6">
        <f t="shared" si="170"/>
        <v>1</v>
      </c>
      <c r="CM31" s="6">
        <f t="shared" si="171"/>
        <v>1</v>
      </c>
      <c r="CN31" s="6">
        <f t="shared" si="172"/>
        <v>1</v>
      </c>
      <c r="CO31" s="6">
        <f t="shared" si="173"/>
        <v>0</v>
      </c>
      <c r="CP31" s="6">
        <f t="shared" si="174"/>
        <v>1</v>
      </c>
      <c r="CQ31" s="6">
        <f t="shared" si="175"/>
        <v>1</v>
      </c>
      <c r="CR31" s="81" t="str">
        <f t="shared" si="176"/>
        <v/>
      </c>
      <c r="CS31">
        <f t="shared" si="177"/>
        <v>0</v>
      </c>
      <c r="CT31">
        <f t="shared" si="178"/>
        <v>175</v>
      </c>
      <c r="CU31" t="str">
        <f t="shared" si="179"/>
        <v/>
      </c>
      <c r="CV31" s="81">
        <f t="shared" si="180"/>
        <v>175</v>
      </c>
      <c r="CW31" s="81">
        <f>(CV31/25)^1.5*(Calculator!$BU$4/10000)*CW$5</f>
        <v>9.6315719067890644</v>
      </c>
      <c r="CX31" t="str">
        <f t="shared" si="181"/>
        <v>$175</v>
      </c>
    </row>
    <row r="32" spans="2:102" x14ac:dyDescent="0.25">
      <c r="B32" s="115" t="s">
        <v>233</v>
      </c>
      <c r="C32" s="13">
        <v>46316.611111111109</v>
      </c>
      <c r="D32">
        <v>33198</v>
      </c>
      <c r="E32" s="54" t="s">
        <v>235</v>
      </c>
      <c r="F32" s="54" t="s">
        <v>331</v>
      </c>
      <c r="G32" s="54" t="s">
        <v>2087</v>
      </c>
      <c r="H32" s="55">
        <v>12.5</v>
      </c>
      <c r="I32" s="55">
        <v>12</v>
      </c>
      <c r="J32" s="55">
        <v>11.799999999999999</v>
      </c>
      <c r="K32" s="54"/>
      <c r="L32" s="56" t="b">
        <v>0</v>
      </c>
      <c r="M32" s="56" t="b">
        <v>0</v>
      </c>
      <c r="N32" s="54">
        <v>1</v>
      </c>
      <c r="O32" s="54" t="s">
        <v>228</v>
      </c>
      <c r="P32" s="54">
        <v>6</v>
      </c>
      <c r="Q32" s="54">
        <v>12</v>
      </c>
      <c r="R32" s="54">
        <v>125</v>
      </c>
      <c r="S32" s="54" t="s">
        <v>1836</v>
      </c>
      <c r="T32" s="54" t="s">
        <v>1951</v>
      </c>
      <c r="U32" s="54" t="s">
        <v>1949</v>
      </c>
      <c r="V32" s="54" t="s">
        <v>1952</v>
      </c>
      <c r="W32" s="54" t="b">
        <v>0</v>
      </c>
      <c r="X32" s="54"/>
      <c r="Y32" s="57" t="s">
        <v>1953</v>
      </c>
      <c r="Z32" s="54" t="s">
        <v>1954</v>
      </c>
      <c r="AA32" s="54"/>
      <c r="AB32" s="54" t="s">
        <v>333</v>
      </c>
      <c r="AC32" s="56" t="b">
        <v>1</v>
      </c>
      <c r="AD32" s="56" t="b">
        <v>0</v>
      </c>
      <c r="AE32" s="54" t="s">
        <v>302</v>
      </c>
      <c r="AF32" s="58">
        <v>46316</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5.0970000000000001E-2</v>
      </c>
      <c r="BC32" s="60">
        <v>4.9000000000000004</v>
      </c>
      <c r="BD32" s="61">
        <v>6.4130000000000006E-2</v>
      </c>
      <c r="BE32" s="62" t="s">
        <v>293</v>
      </c>
      <c r="BF32" s="35">
        <f t="shared" si="157"/>
        <v>4.9000000000000004</v>
      </c>
      <c r="BG32" s="35">
        <f t="shared" si="157"/>
        <v>6.5333000000000002E-2</v>
      </c>
      <c r="BH32" s="35" t="str">
        <f t="shared" si="158"/>
        <v>Low</v>
      </c>
      <c r="BI32" s="110">
        <f t="shared" si="159"/>
        <v>0</v>
      </c>
      <c r="BJ32" s="83">
        <f>VLOOKUP($F32,REP_Info!$D$6:$H$250,5,FALSE)</f>
        <v>2.0139999999999998</v>
      </c>
      <c r="BK32" s="30">
        <f t="shared" si="160"/>
        <v>12.610299999999999</v>
      </c>
      <c r="BL32" s="30">
        <f t="shared" si="160"/>
        <v>12.1203</v>
      </c>
      <c r="BM32" s="30">
        <f t="shared" si="160"/>
        <v>11.875299999999999</v>
      </c>
      <c r="BN32" s="29">
        <f t="shared" si="160"/>
        <v>11.793633333333331</v>
      </c>
      <c r="BO32" s="85" t="str">
        <f t="shared" si="161"/>
        <v>$$$</v>
      </c>
      <c r="BP32" s="88" t="str">
        <f t="shared" si="162"/>
        <v>$$$</v>
      </c>
      <c r="BQ32" s="88" t="str">
        <f t="shared" si="163"/>
        <v>$$$</v>
      </c>
      <c r="BR32" s="88" t="str">
        <f t="shared" si="164"/>
        <v>$$$</v>
      </c>
      <c r="BS32" s="29" t="e">
        <f t="shared" si="165"/>
        <v>#N/A</v>
      </c>
      <c r="BT32" s="29" t="e">
        <f t="shared" si="165"/>
        <v>#N/A</v>
      </c>
      <c r="BU32" s="29" t="e">
        <f t="shared" si="165"/>
        <v>#N/A</v>
      </c>
      <c r="BV32" s="29" t="e">
        <f t="shared" si="165"/>
        <v>#N/A</v>
      </c>
      <c r="BW32" s="29" t="e">
        <f t="shared" si="165"/>
        <v>#N/A</v>
      </c>
      <c r="BX32" s="29" t="e">
        <f t="shared" si="165"/>
        <v>#N/A</v>
      </c>
      <c r="BY32" s="29" t="e">
        <f t="shared" si="165"/>
        <v>#N/A</v>
      </c>
      <c r="BZ32" s="29" t="e">
        <f t="shared" si="165"/>
        <v>#N/A</v>
      </c>
      <c r="CA32" s="29" t="e">
        <f t="shared" si="165"/>
        <v>#N/A</v>
      </c>
      <c r="CB32" s="29" t="e">
        <f t="shared" si="165"/>
        <v>#N/A</v>
      </c>
      <c r="CC32" s="29" t="e">
        <f t="shared" si="165"/>
        <v>#N/A</v>
      </c>
      <c r="CD32" s="29" t="e">
        <f t="shared" si="165"/>
        <v>#N/A</v>
      </c>
      <c r="CE32" s="6" t="str">
        <f t="shared" si="7"/>
        <v/>
      </c>
      <c r="CF32" s="27" t="e">
        <f>IF(AND(CI32,NOT(AD32)),LOOKUP(CF$5,{0,750,1500},H32:J32),"")</f>
        <v>#N/A</v>
      </c>
      <c r="CG32" s="6" t="str">
        <f t="shared" si="8"/>
        <v/>
      </c>
      <c r="CH32" t="e">
        <f t="shared" si="166"/>
        <v>#N/A</v>
      </c>
      <c r="CI32" t="e">
        <f t="shared" si="167"/>
        <v>#N/A</v>
      </c>
      <c r="CJ32" s="6" t="e">
        <f t="shared" si="168"/>
        <v>#N/A</v>
      </c>
      <c r="CK32" s="6">
        <f t="shared" si="169"/>
        <v>1</v>
      </c>
      <c r="CL32" s="6">
        <f t="shared" si="170"/>
        <v>1</v>
      </c>
      <c r="CM32" s="6">
        <f t="shared" si="171"/>
        <v>1</v>
      </c>
      <c r="CN32" s="6">
        <f t="shared" si="172"/>
        <v>1</v>
      </c>
      <c r="CO32" s="6">
        <f t="shared" si="173"/>
        <v>1</v>
      </c>
      <c r="CP32" s="6">
        <f t="shared" si="174"/>
        <v>1</v>
      </c>
      <c r="CQ32" s="6">
        <f t="shared" si="175"/>
        <v>1</v>
      </c>
      <c r="CR32" s="81" t="str">
        <f t="shared" si="176"/>
        <v/>
      </c>
      <c r="CS32">
        <f t="shared" si="177"/>
        <v>0</v>
      </c>
      <c r="CT32">
        <f t="shared" si="178"/>
        <v>125</v>
      </c>
      <c r="CU32" t="str">
        <f t="shared" si="179"/>
        <v/>
      </c>
      <c r="CV32" s="81">
        <f t="shared" si="180"/>
        <v>125</v>
      </c>
      <c r="CW32" s="81">
        <f>(CV32/25)^1.5*(Calculator!$BU$4/10000)*CW$5</f>
        <v>5.8144028405331634</v>
      </c>
      <c r="CX32" t="str">
        <f t="shared" si="181"/>
        <v>$125</v>
      </c>
    </row>
    <row r="33" spans="2:102" x14ac:dyDescent="0.25">
      <c r="B33" s="115" t="s">
        <v>233</v>
      </c>
      <c r="C33" s="13">
        <v>46316.611111111109</v>
      </c>
      <c r="D33">
        <v>33210</v>
      </c>
      <c r="E33" s="54" t="s">
        <v>237</v>
      </c>
      <c r="F33" s="54" t="s">
        <v>331</v>
      </c>
      <c r="G33" s="54" t="s">
        <v>2087</v>
      </c>
      <c r="H33" s="55">
        <v>12.6</v>
      </c>
      <c r="I33" s="55">
        <v>12.2</v>
      </c>
      <c r="J33" s="55">
        <v>12</v>
      </c>
      <c r="K33" s="54"/>
      <c r="L33" s="56" t="b">
        <v>0</v>
      </c>
      <c r="M33" s="56" t="b">
        <v>0</v>
      </c>
      <c r="N33" s="54">
        <v>1</v>
      </c>
      <c r="O33" s="54" t="s">
        <v>228</v>
      </c>
      <c r="P33" s="54">
        <v>6</v>
      </c>
      <c r="Q33" s="54">
        <v>12</v>
      </c>
      <c r="R33" s="54">
        <v>125</v>
      </c>
      <c r="S33" s="54" t="s">
        <v>1836</v>
      </c>
      <c r="T33" s="54" t="s">
        <v>2088</v>
      </c>
      <c r="U33" s="54" t="s">
        <v>1950</v>
      </c>
      <c r="V33" s="54" t="s">
        <v>1955</v>
      </c>
      <c r="W33" s="54" t="b">
        <v>0</v>
      </c>
      <c r="X33" s="54"/>
      <c r="Y33" s="57" t="s">
        <v>1956</v>
      </c>
      <c r="Z33" s="54" t="s">
        <v>1954</v>
      </c>
      <c r="AA33" s="54"/>
      <c r="AB33" s="54" t="s">
        <v>333</v>
      </c>
      <c r="AC33" s="56" t="b">
        <v>1</v>
      </c>
      <c r="AD33" s="56" t="b">
        <v>0</v>
      </c>
      <c r="AE33" s="54" t="s">
        <v>302</v>
      </c>
      <c r="AF33" s="58">
        <v>46316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4.9270000000000001E-2</v>
      </c>
      <c r="BC33" s="60">
        <v>4.0599999999999996</v>
      </c>
      <c r="BD33" s="61">
        <v>6.8672999999999998E-2</v>
      </c>
      <c r="BE33" s="62" t="s">
        <v>293</v>
      </c>
      <c r="BF33" s="35">
        <f t="shared" si="157"/>
        <v>4.0600000000000005</v>
      </c>
      <c r="BG33" s="35">
        <f t="shared" si="157"/>
        <v>6.8672999999999998E-2</v>
      </c>
      <c r="BH33" s="35" t="str">
        <f t="shared" si="158"/>
        <v>Low</v>
      </c>
      <c r="BI33" s="110">
        <f t="shared" si="159"/>
        <v>0</v>
      </c>
      <c r="BJ33" s="83">
        <f>VLOOKUP($F33,REP_Info!$D$6:$H$250,5,FALSE)</f>
        <v>2.0139999999999998</v>
      </c>
      <c r="BK33" s="30">
        <f t="shared" si="160"/>
        <v>12.606300000000001</v>
      </c>
      <c r="BL33" s="30">
        <f t="shared" si="160"/>
        <v>12.2003</v>
      </c>
      <c r="BM33" s="30">
        <f t="shared" si="160"/>
        <v>11.997300000000001</v>
      </c>
      <c r="BN33" s="29">
        <f t="shared" si="160"/>
        <v>11.929633333333333</v>
      </c>
      <c r="BO33" s="85" t="str">
        <f t="shared" si="161"/>
        <v>$$$</v>
      </c>
      <c r="BP33" s="88" t="str">
        <f t="shared" si="162"/>
        <v>$$$</v>
      </c>
      <c r="BQ33" s="88" t="str">
        <f t="shared" si="163"/>
        <v>$$$</v>
      </c>
      <c r="BR33" s="88" t="str">
        <f t="shared" si="164"/>
        <v>$$$</v>
      </c>
      <c r="BS33" s="29" t="e">
        <f t="shared" si="165"/>
        <v>#N/A</v>
      </c>
      <c r="BT33" s="29" t="e">
        <f t="shared" si="165"/>
        <v>#N/A</v>
      </c>
      <c r="BU33" s="29" t="e">
        <f t="shared" si="165"/>
        <v>#N/A</v>
      </c>
      <c r="BV33" s="29" t="e">
        <f t="shared" ref="BS33:CD38" si="182">IF($CI33,IF(BV$7&gt;0,IF(BV$4&gt;$Q33,$BF33+BV$7*(BV$5+$BG33+$BI33),LOOKUP(BV$7,$AH33:$AL33,$AM33:$AQ33)+IF($AG33="Y",SUMPRODUCT($AX33:$BB33-$AW33:$BA33,BV$7-$AR33:$AV33,N(BV$7&gt;$AR33:$AV33)),BV$7*LOOKUP(BV$7,$AR33:$AV33,$AX33:$BB33))+IF($BE33="Y",$BF33,$BC33)+BV$7*IF($BE33="Y",$BG33,$BD33))*100/BV$7,""),NA())</f>
        <v>#N/A</v>
      </c>
      <c r="BW33" s="29" t="e">
        <f t="shared" si="182"/>
        <v>#N/A</v>
      </c>
      <c r="BX33" s="29" t="e">
        <f t="shared" si="182"/>
        <v>#N/A</v>
      </c>
      <c r="BY33" s="29" t="e">
        <f t="shared" si="182"/>
        <v>#N/A</v>
      </c>
      <c r="BZ33" s="29" t="e">
        <f t="shared" si="182"/>
        <v>#N/A</v>
      </c>
      <c r="CA33" s="29" t="e">
        <f t="shared" si="182"/>
        <v>#N/A</v>
      </c>
      <c r="CB33" s="29" t="e">
        <f t="shared" si="182"/>
        <v>#N/A</v>
      </c>
      <c r="CC33" s="29" t="e">
        <f t="shared" si="182"/>
        <v>#N/A</v>
      </c>
      <c r="CD33" s="29" t="e">
        <f t="shared" si="182"/>
        <v>#N/A</v>
      </c>
      <c r="CE33" s="6" t="str">
        <f t="shared" si="7"/>
        <v/>
      </c>
      <c r="CF33" s="27" t="e">
        <f>IF(AND(CI33,NOT(AD33)),LOOKUP(CF$5,{0,750,1500},H33:J33),"")</f>
        <v>#N/A</v>
      </c>
      <c r="CG33" s="6" t="str">
        <f t="shared" si="8"/>
        <v/>
      </c>
      <c r="CH33" t="e">
        <f t="shared" si="166"/>
        <v>#N/A</v>
      </c>
      <c r="CI33" t="e">
        <f t="shared" si="167"/>
        <v>#N/A</v>
      </c>
      <c r="CJ33" s="6" t="e">
        <f t="shared" si="168"/>
        <v>#N/A</v>
      </c>
      <c r="CK33" s="6">
        <f t="shared" si="169"/>
        <v>1</v>
      </c>
      <c r="CL33" s="6">
        <f t="shared" si="170"/>
        <v>1</v>
      </c>
      <c r="CM33" s="6">
        <f t="shared" si="171"/>
        <v>1</v>
      </c>
      <c r="CN33" s="6">
        <f t="shared" si="172"/>
        <v>1</v>
      </c>
      <c r="CO33" s="6">
        <f t="shared" si="173"/>
        <v>1</v>
      </c>
      <c r="CP33" s="6">
        <f t="shared" si="174"/>
        <v>1</v>
      </c>
      <c r="CQ33" s="6">
        <f t="shared" si="175"/>
        <v>1</v>
      </c>
      <c r="CR33" s="81" t="str">
        <f t="shared" si="176"/>
        <v/>
      </c>
      <c r="CS33">
        <f t="shared" si="177"/>
        <v>0</v>
      </c>
      <c r="CT33">
        <f t="shared" si="178"/>
        <v>125</v>
      </c>
      <c r="CU33" t="str">
        <f t="shared" si="179"/>
        <v/>
      </c>
      <c r="CV33" s="81">
        <f t="shared" si="180"/>
        <v>125</v>
      </c>
      <c r="CW33" s="81">
        <f>(CV33/25)^1.5*(Calculator!$BU$4/10000)*CW$5</f>
        <v>5.8144028405331634</v>
      </c>
      <c r="CX33" t="str">
        <f t="shared" si="181"/>
        <v>$125</v>
      </c>
    </row>
    <row r="34" spans="2:102" x14ac:dyDescent="0.25">
      <c r="B34" s="115" t="s">
        <v>233</v>
      </c>
      <c r="C34" s="13">
        <v>46316.611111111109</v>
      </c>
      <c r="D34">
        <v>33348</v>
      </c>
      <c r="E34" s="54" t="s">
        <v>235</v>
      </c>
      <c r="F34" s="54" t="s">
        <v>331</v>
      </c>
      <c r="G34" s="54" t="s">
        <v>334</v>
      </c>
      <c r="H34" s="55">
        <v>13.8</v>
      </c>
      <c r="I34" s="55">
        <v>13.3</v>
      </c>
      <c r="J34" s="55">
        <v>13.100000000000001</v>
      </c>
      <c r="K34" s="54"/>
      <c r="L34" s="56" t="b">
        <v>0</v>
      </c>
      <c r="M34" s="56" t="b">
        <v>0</v>
      </c>
      <c r="N34" s="54">
        <v>1</v>
      </c>
      <c r="O34" s="54" t="s">
        <v>228</v>
      </c>
      <c r="P34" s="54">
        <v>6</v>
      </c>
      <c r="Q34" s="54">
        <v>24</v>
      </c>
      <c r="R34" s="54">
        <v>175</v>
      </c>
      <c r="S34" s="54" t="s">
        <v>1836</v>
      </c>
      <c r="T34" s="54" t="s">
        <v>335</v>
      </c>
      <c r="U34" s="54" t="s">
        <v>336</v>
      </c>
      <c r="V34" s="54" t="s">
        <v>337</v>
      </c>
      <c r="W34" s="54" t="b">
        <v>0</v>
      </c>
      <c r="X34" s="54"/>
      <c r="Y34" s="57" t="s">
        <v>338</v>
      </c>
      <c r="Z34" s="54" t="s">
        <v>339</v>
      </c>
      <c r="AA34" s="54"/>
      <c r="AB34" s="54" t="s">
        <v>333</v>
      </c>
      <c r="AC34" s="56" t="b">
        <v>1</v>
      </c>
      <c r="AD34" s="56" t="b">
        <v>0</v>
      </c>
      <c r="AE34" s="54" t="s">
        <v>302</v>
      </c>
      <c r="AF34" s="58">
        <v>46316</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6.3969999999999999E-2</v>
      </c>
      <c r="BC34" s="60">
        <v>4.9000000000000004</v>
      </c>
      <c r="BD34" s="61">
        <v>6.4130000000000006E-2</v>
      </c>
      <c r="BE34" s="62" t="s">
        <v>293</v>
      </c>
      <c r="BF34" s="35">
        <f t="shared" si="157"/>
        <v>4.9000000000000004</v>
      </c>
      <c r="BG34" s="35">
        <f t="shared" si="157"/>
        <v>6.5333000000000002E-2</v>
      </c>
      <c r="BH34" s="35" t="str">
        <f t="shared" si="158"/>
        <v>Low</v>
      </c>
      <c r="BI34" s="110">
        <f t="shared" si="159"/>
        <v>0</v>
      </c>
      <c r="BJ34" s="83">
        <f>VLOOKUP($F34,REP_Info!$D$6:$H$250,5,FALSE)</f>
        <v>2.0139999999999998</v>
      </c>
      <c r="BK34" s="30">
        <f t="shared" si="160"/>
        <v>13.910300000000001</v>
      </c>
      <c r="BL34" s="30">
        <f t="shared" si="160"/>
        <v>13.420300000000001</v>
      </c>
      <c r="BM34" s="30">
        <f t="shared" si="160"/>
        <v>13.1753</v>
      </c>
      <c r="BN34" s="29">
        <f t="shared" si="160"/>
        <v>13.093633333333331</v>
      </c>
      <c r="BO34" s="85" t="str">
        <f t="shared" si="161"/>
        <v>$$$</v>
      </c>
      <c r="BP34" s="88" t="str">
        <f t="shared" si="162"/>
        <v>$$$</v>
      </c>
      <c r="BQ34" s="88" t="str">
        <f t="shared" si="163"/>
        <v>$$$</v>
      </c>
      <c r="BR34" s="88" t="str">
        <f t="shared" si="164"/>
        <v>$$$</v>
      </c>
      <c r="BS34" s="29" t="e">
        <f t="shared" si="182"/>
        <v>#N/A</v>
      </c>
      <c r="BT34" s="29" t="e">
        <f t="shared" si="182"/>
        <v>#N/A</v>
      </c>
      <c r="BU34" s="29" t="e">
        <f t="shared" si="182"/>
        <v>#N/A</v>
      </c>
      <c r="BV34" s="29" t="e">
        <f t="shared" si="182"/>
        <v>#N/A</v>
      </c>
      <c r="BW34" s="29" t="e">
        <f t="shared" si="182"/>
        <v>#N/A</v>
      </c>
      <c r="BX34" s="29" t="e">
        <f t="shared" si="182"/>
        <v>#N/A</v>
      </c>
      <c r="BY34" s="29" t="e">
        <f t="shared" si="182"/>
        <v>#N/A</v>
      </c>
      <c r="BZ34" s="29" t="e">
        <f t="shared" si="182"/>
        <v>#N/A</v>
      </c>
      <c r="CA34" s="29" t="e">
        <f t="shared" si="182"/>
        <v>#N/A</v>
      </c>
      <c r="CB34" s="29" t="e">
        <f t="shared" si="182"/>
        <v>#N/A</v>
      </c>
      <c r="CC34" s="29" t="e">
        <f t="shared" si="182"/>
        <v>#N/A</v>
      </c>
      <c r="CD34" s="29" t="e">
        <f t="shared" si="182"/>
        <v>#N/A</v>
      </c>
      <c r="CE34" s="6" t="str">
        <f t="shared" si="7"/>
        <v/>
      </c>
      <c r="CF34" s="27" t="e">
        <f>IF(AND(CI34,NOT(AD34)),LOOKUP(CF$5,{0,750,1500},H34:J34),"")</f>
        <v>#N/A</v>
      </c>
      <c r="CG34" s="6" t="str">
        <f t="shared" si="8"/>
        <v/>
      </c>
      <c r="CH34" t="e">
        <f t="shared" si="166"/>
        <v>#N/A</v>
      </c>
      <c r="CI34" t="e">
        <f t="shared" si="167"/>
        <v>#N/A</v>
      </c>
      <c r="CJ34" s="6" t="e">
        <f t="shared" si="168"/>
        <v>#N/A</v>
      </c>
      <c r="CK34" s="6">
        <f t="shared" si="169"/>
        <v>1</v>
      </c>
      <c r="CL34" s="6">
        <f t="shared" si="170"/>
        <v>1</v>
      </c>
      <c r="CM34" s="6">
        <f t="shared" si="171"/>
        <v>1</v>
      </c>
      <c r="CN34" s="6">
        <f t="shared" si="172"/>
        <v>1</v>
      </c>
      <c r="CO34" s="6">
        <f t="shared" si="173"/>
        <v>0</v>
      </c>
      <c r="CP34" s="6">
        <f t="shared" si="174"/>
        <v>1</v>
      </c>
      <c r="CQ34" s="6">
        <f t="shared" si="175"/>
        <v>1</v>
      </c>
      <c r="CR34" s="81" t="str">
        <f t="shared" si="176"/>
        <v/>
      </c>
      <c r="CS34">
        <f t="shared" si="177"/>
        <v>0</v>
      </c>
      <c r="CT34">
        <f t="shared" si="178"/>
        <v>175</v>
      </c>
      <c r="CU34" t="str">
        <f t="shared" si="179"/>
        <v/>
      </c>
      <c r="CV34" s="81">
        <f t="shared" si="180"/>
        <v>175</v>
      </c>
      <c r="CW34" s="81">
        <f>(CV34/25)^1.5*(Calculator!$BU$4/10000)*CW$5</f>
        <v>9.6315719067890644</v>
      </c>
      <c r="CX34" t="str">
        <f t="shared" si="181"/>
        <v>$175</v>
      </c>
    </row>
    <row r="35" spans="2:102" x14ac:dyDescent="0.25">
      <c r="B35" s="115" t="s">
        <v>233</v>
      </c>
      <c r="C35" s="13">
        <v>46316.611111111109</v>
      </c>
      <c r="D35">
        <v>33352</v>
      </c>
      <c r="E35" s="54" t="s">
        <v>237</v>
      </c>
      <c r="F35" s="54" t="s">
        <v>331</v>
      </c>
      <c r="G35" s="54" t="s">
        <v>334</v>
      </c>
      <c r="H35" s="55">
        <v>13.900000000000002</v>
      </c>
      <c r="I35" s="55">
        <v>13.5</v>
      </c>
      <c r="J35" s="55">
        <v>13.3</v>
      </c>
      <c r="K35" s="54"/>
      <c r="L35" s="56" t="b">
        <v>0</v>
      </c>
      <c r="M35" s="56" t="b">
        <v>0</v>
      </c>
      <c r="N35" s="54">
        <v>1</v>
      </c>
      <c r="O35" s="54" t="s">
        <v>228</v>
      </c>
      <c r="P35" s="54">
        <v>6</v>
      </c>
      <c r="Q35" s="54">
        <v>24</v>
      </c>
      <c r="R35" s="54">
        <v>175</v>
      </c>
      <c r="S35" s="54" t="s">
        <v>1836</v>
      </c>
      <c r="T35" s="54" t="s">
        <v>340</v>
      </c>
      <c r="U35" s="54" t="s">
        <v>341</v>
      </c>
      <c r="V35" s="54" t="s">
        <v>342</v>
      </c>
      <c r="W35" s="54" t="b">
        <v>0</v>
      </c>
      <c r="X35" s="54"/>
      <c r="Y35" s="57" t="s">
        <v>343</v>
      </c>
      <c r="Z35" s="54" t="s">
        <v>344</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6.2269999999999999E-2</v>
      </c>
      <c r="BC35" s="60">
        <v>4.0599999999999996</v>
      </c>
      <c r="BD35" s="61">
        <v>6.8672999999999998E-2</v>
      </c>
      <c r="BE35" s="62" t="s">
        <v>293</v>
      </c>
      <c r="BF35" s="35">
        <f t="shared" si="157"/>
        <v>4.0600000000000005</v>
      </c>
      <c r="BG35" s="35">
        <f t="shared" si="157"/>
        <v>6.8672999999999998E-2</v>
      </c>
      <c r="BH35" s="35" t="str">
        <f t="shared" si="158"/>
        <v>Low</v>
      </c>
      <c r="BI35" s="110">
        <f t="shared" si="159"/>
        <v>0</v>
      </c>
      <c r="BJ35" s="83">
        <f>VLOOKUP($F35,REP_Info!$D$6:$H$250,5,FALSE)</f>
        <v>2.0139999999999998</v>
      </c>
      <c r="BK35" s="30">
        <f t="shared" si="160"/>
        <v>13.9063</v>
      </c>
      <c r="BL35" s="30">
        <f t="shared" si="160"/>
        <v>13.500299999999999</v>
      </c>
      <c r="BM35" s="30">
        <f t="shared" si="160"/>
        <v>13.297300000000002</v>
      </c>
      <c r="BN35" s="29">
        <f t="shared" si="160"/>
        <v>13.229633333333334</v>
      </c>
      <c r="BO35" s="85" t="str">
        <f t="shared" si="161"/>
        <v>$$$</v>
      </c>
      <c r="BP35" s="88" t="str">
        <f t="shared" si="162"/>
        <v>$$$</v>
      </c>
      <c r="BQ35" s="88" t="str">
        <f t="shared" si="163"/>
        <v>$$$</v>
      </c>
      <c r="BR35" s="88" t="str">
        <f t="shared" si="164"/>
        <v>$$$</v>
      </c>
      <c r="BS35" s="29" t="e">
        <f t="shared" si="182"/>
        <v>#N/A</v>
      </c>
      <c r="BT35" s="29" t="e">
        <f t="shared" si="182"/>
        <v>#N/A</v>
      </c>
      <c r="BU35" s="29" t="e">
        <f t="shared" si="182"/>
        <v>#N/A</v>
      </c>
      <c r="BV35" s="29" t="e">
        <f t="shared" si="182"/>
        <v>#N/A</v>
      </c>
      <c r="BW35" s="29" t="e">
        <f t="shared" si="182"/>
        <v>#N/A</v>
      </c>
      <c r="BX35" s="29" t="e">
        <f t="shared" si="182"/>
        <v>#N/A</v>
      </c>
      <c r="BY35" s="29" t="e">
        <f t="shared" si="182"/>
        <v>#N/A</v>
      </c>
      <c r="BZ35" s="29" t="e">
        <f t="shared" si="182"/>
        <v>#N/A</v>
      </c>
      <c r="CA35" s="29" t="e">
        <f t="shared" si="182"/>
        <v>#N/A</v>
      </c>
      <c r="CB35" s="29" t="e">
        <f t="shared" si="182"/>
        <v>#N/A</v>
      </c>
      <c r="CC35" s="29" t="e">
        <f t="shared" si="182"/>
        <v>#N/A</v>
      </c>
      <c r="CD35" s="29" t="e">
        <f t="shared" si="182"/>
        <v>#N/A</v>
      </c>
      <c r="CE35" s="6" t="str">
        <f t="shared" si="7"/>
        <v/>
      </c>
      <c r="CF35" s="27" t="e">
        <f>IF(AND(CI35,NOT(AD35)),LOOKUP(CF$5,{0,750,1500},H35:J35),"")</f>
        <v>#N/A</v>
      </c>
      <c r="CG35" s="6" t="str">
        <f t="shared" si="8"/>
        <v/>
      </c>
      <c r="CH35" t="e">
        <f t="shared" si="166"/>
        <v>#N/A</v>
      </c>
      <c r="CI35" t="e">
        <f t="shared" si="167"/>
        <v>#N/A</v>
      </c>
      <c r="CJ35" s="6" t="e">
        <f t="shared" si="168"/>
        <v>#N/A</v>
      </c>
      <c r="CK35" s="6">
        <f t="shared" si="169"/>
        <v>1</v>
      </c>
      <c r="CL35" s="6">
        <f t="shared" si="170"/>
        <v>1</v>
      </c>
      <c r="CM35" s="6">
        <f t="shared" si="171"/>
        <v>1</v>
      </c>
      <c r="CN35" s="6">
        <f t="shared" si="172"/>
        <v>1</v>
      </c>
      <c r="CO35" s="6">
        <f t="shared" si="173"/>
        <v>0</v>
      </c>
      <c r="CP35" s="6">
        <f t="shared" si="174"/>
        <v>1</v>
      </c>
      <c r="CQ35" s="6">
        <f t="shared" si="175"/>
        <v>1</v>
      </c>
      <c r="CR35" s="81" t="str">
        <f t="shared" si="176"/>
        <v/>
      </c>
      <c r="CS35">
        <f t="shared" si="177"/>
        <v>0</v>
      </c>
      <c r="CT35">
        <f t="shared" si="178"/>
        <v>175</v>
      </c>
      <c r="CU35" t="str">
        <f t="shared" si="179"/>
        <v/>
      </c>
      <c r="CV35" s="81">
        <f t="shared" si="180"/>
        <v>175</v>
      </c>
      <c r="CW35" s="81">
        <f>(CV35/25)^1.5*(Calculator!$BU$4/10000)*CW$5</f>
        <v>9.6315719067890644</v>
      </c>
      <c r="CX35" t="str">
        <f t="shared" si="181"/>
        <v>$175</v>
      </c>
    </row>
    <row r="36" spans="2:102" x14ac:dyDescent="0.25">
      <c r="B36" s="115" t="s">
        <v>233</v>
      </c>
      <c r="C36" s="13">
        <v>46316.611111111109</v>
      </c>
      <c r="D36">
        <v>33362</v>
      </c>
      <c r="E36" s="54" t="s">
        <v>235</v>
      </c>
      <c r="F36" s="54" t="s">
        <v>331</v>
      </c>
      <c r="G36" s="54" t="s">
        <v>1539</v>
      </c>
      <c r="H36" s="55">
        <v>19.8</v>
      </c>
      <c r="I36" s="55">
        <v>6.8000000000000007</v>
      </c>
      <c r="J36" s="55">
        <v>12.8</v>
      </c>
      <c r="K36" s="54" t="s">
        <v>1540</v>
      </c>
      <c r="L36" s="56" t="b">
        <v>0</v>
      </c>
      <c r="M36" s="56" t="b">
        <v>0</v>
      </c>
      <c r="N36" s="54">
        <v>1</v>
      </c>
      <c r="O36" s="54" t="s">
        <v>228</v>
      </c>
      <c r="P36" s="54">
        <v>6</v>
      </c>
      <c r="Q36" s="54">
        <v>12</v>
      </c>
      <c r="R36" s="54">
        <v>125</v>
      </c>
      <c r="S36" s="54" t="s">
        <v>332</v>
      </c>
      <c r="T36" s="54" t="s">
        <v>1541</v>
      </c>
      <c r="U36" s="54" t="s">
        <v>1536</v>
      </c>
      <c r="V36" s="54" t="s">
        <v>1542</v>
      </c>
      <c r="W36" s="54" t="b">
        <v>0</v>
      </c>
      <c r="X36" s="54"/>
      <c r="Y36" s="57" t="s">
        <v>1543</v>
      </c>
      <c r="Z36" s="54" t="s">
        <v>1544</v>
      </c>
      <c r="AA36" s="54"/>
      <c r="AB36" s="54" t="s">
        <v>333</v>
      </c>
      <c r="AC36" s="56" t="b">
        <v>1</v>
      </c>
      <c r="AD36" s="56" t="b">
        <v>1</v>
      </c>
      <c r="AE36" s="54" t="s">
        <v>302</v>
      </c>
      <c r="AF36" s="58">
        <v>46316</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0.12397</v>
      </c>
      <c r="BC36" s="60">
        <v>4.9000000000000004</v>
      </c>
      <c r="BD36" s="61">
        <v>6.4130000000000006E-2</v>
      </c>
      <c r="BE36" s="62" t="s">
        <v>293</v>
      </c>
      <c r="BF36" s="35">
        <f t="shared" si="157"/>
        <v>4.9000000000000004</v>
      </c>
      <c r="BG36" s="35">
        <f t="shared" si="157"/>
        <v>6.5333000000000002E-2</v>
      </c>
      <c r="BH36" s="35" t="str">
        <f t="shared" si="158"/>
        <v>High</v>
      </c>
      <c r="BI36" s="110">
        <f t="shared" si="159"/>
        <v>0</v>
      </c>
      <c r="BJ36" s="83">
        <f>VLOOKUP($F36,REP_Info!$D$6:$H$250,5,FALSE)</f>
        <v>2.0139999999999998</v>
      </c>
      <c r="BK36" s="30">
        <f t="shared" si="160"/>
        <v>19.910299999999999</v>
      </c>
      <c r="BL36" s="30">
        <f t="shared" si="160"/>
        <v>6.9203000000000001</v>
      </c>
      <c r="BM36" s="30">
        <f t="shared" si="160"/>
        <v>12.9253</v>
      </c>
      <c r="BN36" s="29">
        <f t="shared" si="160"/>
        <v>14.926966666666665</v>
      </c>
      <c r="BO36" s="85" t="str">
        <f t="shared" si="161"/>
        <v>$$$</v>
      </c>
      <c r="BP36" s="88" t="str">
        <f t="shared" si="162"/>
        <v>$$$</v>
      </c>
      <c r="BQ36" s="88" t="str">
        <f t="shared" si="163"/>
        <v>$$$</v>
      </c>
      <c r="BR36" s="88" t="str">
        <f t="shared" si="164"/>
        <v>$$$</v>
      </c>
      <c r="BS36" s="29" t="e">
        <f t="shared" si="182"/>
        <v>#N/A</v>
      </c>
      <c r="BT36" s="29" t="e">
        <f t="shared" si="182"/>
        <v>#N/A</v>
      </c>
      <c r="BU36" s="29" t="e">
        <f t="shared" si="182"/>
        <v>#N/A</v>
      </c>
      <c r="BV36" s="29" t="e">
        <f t="shared" si="182"/>
        <v>#N/A</v>
      </c>
      <c r="BW36" s="29" t="e">
        <f t="shared" si="182"/>
        <v>#N/A</v>
      </c>
      <c r="BX36" s="29" t="e">
        <f t="shared" si="182"/>
        <v>#N/A</v>
      </c>
      <c r="BY36" s="29" t="e">
        <f t="shared" si="182"/>
        <v>#N/A</v>
      </c>
      <c r="BZ36" s="29" t="e">
        <f t="shared" si="182"/>
        <v>#N/A</v>
      </c>
      <c r="CA36" s="29" t="e">
        <f t="shared" si="182"/>
        <v>#N/A</v>
      </c>
      <c r="CB36" s="29" t="e">
        <f t="shared" si="182"/>
        <v>#N/A</v>
      </c>
      <c r="CC36" s="29" t="e">
        <f t="shared" si="182"/>
        <v>#N/A</v>
      </c>
      <c r="CD36" s="29" t="e">
        <f t="shared" si="182"/>
        <v>#N/A</v>
      </c>
      <c r="CE36" s="6" t="str">
        <f t="shared" si="7"/>
        <v/>
      </c>
      <c r="CF36" s="27" t="e">
        <f>IF(AND(CI36,NOT(AD36)),LOOKUP(CF$5,{0,750,1500},H36:J36),"")</f>
        <v>#N/A</v>
      </c>
      <c r="CG36" s="6" t="str">
        <f t="shared" si="8"/>
        <v/>
      </c>
      <c r="CH36" t="e">
        <f t="shared" si="166"/>
        <v>#N/A</v>
      </c>
      <c r="CI36" t="e">
        <f t="shared" si="167"/>
        <v>#N/A</v>
      </c>
      <c r="CJ36" s="6" t="e">
        <f t="shared" si="168"/>
        <v>#N/A</v>
      </c>
      <c r="CK36" s="6">
        <f t="shared" si="169"/>
        <v>1</v>
      </c>
      <c r="CL36" s="6">
        <f t="shared" si="170"/>
        <v>1</v>
      </c>
      <c r="CM36" s="6">
        <f t="shared" si="171"/>
        <v>1</v>
      </c>
      <c r="CN36" s="6">
        <f t="shared" si="172"/>
        <v>1</v>
      </c>
      <c r="CO36" s="6">
        <f t="shared" si="173"/>
        <v>1</v>
      </c>
      <c r="CP36" s="6">
        <f t="shared" si="174"/>
        <v>1</v>
      </c>
      <c r="CQ36" s="6">
        <f t="shared" si="175"/>
        <v>1</v>
      </c>
      <c r="CR36" s="81" t="str">
        <f t="shared" si="176"/>
        <v/>
      </c>
      <c r="CS36">
        <f t="shared" si="177"/>
        <v>0</v>
      </c>
      <c r="CT36">
        <f t="shared" si="178"/>
        <v>125</v>
      </c>
      <c r="CU36" t="str">
        <f t="shared" si="179"/>
        <v/>
      </c>
      <c r="CV36" s="81">
        <f t="shared" si="180"/>
        <v>125</v>
      </c>
      <c r="CW36" s="81">
        <f>(CV36/25)^1.5*(Calculator!$BU$4/10000)*CW$5</f>
        <v>5.8144028405331634</v>
      </c>
      <c r="CX36" t="str">
        <f t="shared" si="181"/>
        <v>$125</v>
      </c>
    </row>
    <row r="37" spans="2:102" x14ac:dyDescent="0.25">
      <c r="B37" s="115" t="s">
        <v>233</v>
      </c>
      <c r="C37" s="13">
        <v>46314.470138888886</v>
      </c>
      <c r="D37">
        <v>33364</v>
      </c>
      <c r="E37" s="54" t="s">
        <v>237</v>
      </c>
      <c r="F37" s="54" t="s">
        <v>331</v>
      </c>
      <c r="G37" s="54" t="s">
        <v>1539</v>
      </c>
      <c r="H37" s="55">
        <v>19.8</v>
      </c>
      <c r="I37" s="55">
        <v>6.9</v>
      </c>
      <c r="J37" s="55">
        <v>12.9</v>
      </c>
      <c r="K37" s="54" t="s">
        <v>1540</v>
      </c>
      <c r="L37" s="56" t="b">
        <v>0</v>
      </c>
      <c r="M37" s="56" t="b">
        <v>0</v>
      </c>
      <c r="N37" s="54">
        <v>1</v>
      </c>
      <c r="O37" s="54" t="s">
        <v>228</v>
      </c>
      <c r="P37" s="54">
        <v>6</v>
      </c>
      <c r="Q37" s="54">
        <v>12</v>
      </c>
      <c r="R37" s="54">
        <v>125</v>
      </c>
      <c r="S37" s="54" t="s">
        <v>1836</v>
      </c>
      <c r="T37" s="54" t="s">
        <v>1541</v>
      </c>
      <c r="U37" s="54" t="s">
        <v>1538</v>
      </c>
      <c r="V37" s="54" t="s">
        <v>1545</v>
      </c>
      <c r="W37" s="54" t="b">
        <v>0</v>
      </c>
      <c r="X37" s="54"/>
      <c r="Y37" s="57" t="s">
        <v>1546</v>
      </c>
      <c r="Z37" s="54" t="s">
        <v>1547</v>
      </c>
      <c r="AA37" s="54"/>
      <c r="AB37" s="54" t="s">
        <v>333</v>
      </c>
      <c r="AC37" s="56" t="b">
        <v>1</v>
      </c>
      <c r="AD37" s="56" t="b">
        <v>1</v>
      </c>
      <c r="AE37" s="54" t="s">
        <v>302</v>
      </c>
      <c r="AF37" s="58">
        <v>46314</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57"/>
        <v>4.0600000000000005</v>
      </c>
      <c r="BG37" s="35">
        <f t="shared" si="157"/>
        <v>6.8672999999999998E-2</v>
      </c>
      <c r="BH37" s="35" t="str">
        <f t="shared" si="158"/>
        <v>High</v>
      </c>
      <c r="BI37" s="110">
        <f t="shared" si="159"/>
        <v>0</v>
      </c>
      <c r="BJ37" s="83">
        <f>VLOOKUP($F37,REP_Info!$D$6:$H$250,5,FALSE)</f>
        <v>2.0139999999999998</v>
      </c>
      <c r="BK37" s="30">
        <f t="shared" si="160"/>
        <v>19.8063</v>
      </c>
      <c r="BL37" s="30">
        <f t="shared" si="160"/>
        <v>6.9003000000000005</v>
      </c>
      <c r="BM37" s="30">
        <f t="shared" si="160"/>
        <v>12.9473</v>
      </c>
      <c r="BN37" s="29">
        <f t="shared" si="160"/>
        <v>14.962966666666667</v>
      </c>
      <c r="BO37" s="85" t="str">
        <f t="shared" si="161"/>
        <v>$$$</v>
      </c>
      <c r="BP37" s="88" t="str">
        <f t="shared" si="162"/>
        <v>$$$</v>
      </c>
      <c r="BQ37" s="88" t="str">
        <f t="shared" si="163"/>
        <v>$$$</v>
      </c>
      <c r="BR37" s="88" t="str">
        <f t="shared" si="164"/>
        <v>$$$</v>
      </c>
      <c r="BS37" s="29" t="e">
        <f t="shared" si="182"/>
        <v>#N/A</v>
      </c>
      <c r="BT37" s="29" t="e">
        <f t="shared" si="182"/>
        <v>#N/A</v>
      </c>
      <c r="BU37" s="29" t="e">
        <f t="shared" si="182"/>
        <v>#N/A</v>
      </c>
      <c r="BV37" s="29" t="e">
        <f t="shared" si="182"/>
        <v>#N/A</v>
      </c>
      <c r="BW37" s="29" t="e">
        <f t="shared" si="182"/>
        <v>#N/A</v>
      </c>
      <c r="BX37" s="29" t="e">
        <f t="shared" si="182"/>
        <v>#N/A</v>
      </c>
      <c r="BY37" s="29" t="e">
        <f t="shared" si="182"/>
        <v>#N/A</v>
      </c>
      <c r="BZ37" s="29" t="e">
        <f t="shared" si="182"/>
        <v>#N/A</v>
      </c>
      <c r="CA37" s="29" t="e">
        <f t="shared" si="182"/>
        <v>#N/A</v>
      </c>
      <c r="CB37" s="29" t="e">
        <f t="shared" si="182"/>
        <v>#N/A</v>
      </c>
      <c r="CC37" s="29" t="e">
        <f t="shared" si="182"/>
        <v>#N/A</v>
      </c>
      <c r="CD37" s="29" t="e">
        <f t="shared" si="182"/>
        <v>#N/A</v>
      </c>
      <c r="CE37" s="6" t="str">
        <f t="shared" si="7"/>
        <v/>
      </c>
      <c r="CF37" s="27" t="e">
        <f>IF(AND(CI37,NOT(AD37)),LOOKUP(CF$5,{0,750,1500},H37:J37),"")</f>
        <v>#N/A</v>
      </c>
      <c r="CG37" s="6" t="str">
        <f t="shared" si="8"/>
        <v/>
      </c>
      <c r="CH37" t="e">
        <f t="shared" si="166"/>
        <v>#N/A</v>
      </c>
      <c r="CI37" t="e">
        <f t="shared" si="167"/>
        <v>#N/A</v>
      </c>
      <c r="CJ37" s="6" t="e">
        <f t="shared" si="168"/>
        <v>#N/A</v>
      </c>
      <c r="CK37" s="6">
        <f t="shared" si="169"/>
        <v>1</v>
      </c>
      <c r="CL37" s="6">
        <f t="shared" si="170"/>
        <v>1</v>
      </c>
      <c r="CM37" s="6">
        <f t="shared" si="171"/>
        <v>1</v>
      </c>
      <c r="CN37" s="6">
        <f t="shared" si="172"/>
        <v>1</v>
      </c>
      <c r="CO37" s="6">
        <f t="shared" si="173"/>
        <v>1</v>
      </c>
      <c r="CP37" s="6">
        <f t="shared" si="174"/>
        <v>1</v>
      </c>
      <c r="CQ37" s="6">
        <f t="shared" si="175"/>
        <v>1</v>
      </c>
      <c r="CR37" s="81" t="str">
        <f t="shared" si="176"/>
        <v/>
      </c>
      <c r="CS37">
        <f t="shared" si="177"/>
        <v>0</v>
      </c>
      <c r="CT37">
        <f t="shared" si="178"/>
        <v>125</v>
      </c>
      <c r="CU37" t="str">
        <f t="shared" si="179"/>
        <v/>
      </c>
      <c r="CV37" s="81">
        <f t="shared" si="180"/>
        <v>125</v>
      </c>
      <c r="CW37" s="81">
        <f>(CV37/25)^1.5*(Calculator!$BU$4/10000)*CW$5</f>
        <v>5.8144028405331634</v>
      </c>
      <c r="CX37" t="str">
        <f t="shared" si="181"/>
        <v>$125</v>
      </c>
    </row>
    <row r="38" spans="2:102" x14ac:dyDescent="0.25">
      <c r="B38" s="115" t="s">
        <v>233</v>
      </c>
      <c r="C38" s="13">
        <v>46318.697916666664</v>
      </c>
      <c r="D38">
        <v>33453</v>
      </c>
      <c r="E38" s="54" t="s">
        <v>237</v>
      </c>
      <c r="F38" s="54" t="s">
        <v>331</v>
      </c>
      <c r="G38" s="54" t="s">
        <v>1709</v>
      </c>
      <c r="H38" s="55">
        <v>14.099999999999998</v>
      </c>
      <c r="I38" s="55">
        <v>13.700000000000001</v>
      </c>
      <c r="J38" s="55">
        <v>8.5</v>
      </c>
      <c r="K38" s="54" t="s">
        <v>1710</v>
      </c>
      <c r="L38" s="56" t="b">
        <v>0</v>
      </c>
      <c r="M38" s="56" t="b">
        <v>0</v>
      </c>
      <c r="N38" s="54">
        <v>1</v>
      </c>
      <c r="O38" s="54" t="s">
        <v>228</v>
      </c>
      <c r="P38" s="54">
        <v>6</v>
      </c>
      <c r="Q38" s="54">
        <v>3</v>
      </c>
      <c r="R38" s="54">
        <v>125</v>
      </c>
      <c r="S38" s="54" t="s">
        <v>1836</v>
      </c>
      <c r="T38" s="54" t="s">
        <v>1711</v>
      </c>
      <c r="U38" s="54" t="s">
        <v>1707</v>
      </c>
      <c r="V38" s="54" t="s">
        <v>1712</v>
      </c>
      <c r="W38" s="54" t="b">
        <v>0</v>
      </c>
      <c r="X38" s="54"/>
      <c r="Y38" s="57" t="s">
        <v>1713</v>
      </c>
      <c r="Z38" s="54" t="s">
        <v>1714</v>
      </c>
      <c r="AA38" s="54"/>
      <c r="AB38" s="54" t="s">
        <v>333</v>
      </c>
      <c r="AC38" s="56" t="b">
        <v>1</v>
      </c>
      <c r="AD38" s="56" t="b">
        <v>1</v>
      </c>
      <c r="AE38" s="54" t="s">
        <v>302</v>
      </c>
      <c r="AF38" s="58">
        <v>46318</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6.4299999999999996E-2</v>
      </c>
      <c r="BC38" s="60">
        <v>4.0599999999999996</v>
      </c>
      <c r="BD38" s="61">
        <v>6.8672999999999998E-2</v>
      </c>
      <c r="BE38" s="62" t="s">
        <v>293</v>
      </c>
      <c r="BF38" s="35">
        <f t="shared" si="157"/>
        <v>4.0600000000000005</v>
      </c>
      <c r="BG38" s="35">
        <f t="shared" si="157"/>
        <v>6.8672999999999998E-2</v>
      </c>
      <c r="BH38" s="35" t="str">
        <f t="shared" si="158"/>
        <v>High</v>
      </c>
      <c r="BI38" s="110">
        <f t="shared" si="159"/>
        <v>0</v>
      </c>
      <c r="BJ38" s="83">
        <f>VLOOKUP($F38,REP_Info!$D$6:$H$250,5,FALSE)</f>
        <v>2.0139999999999998</v>
      </c>
      <c r="BK38" s="30">
        <f t="shared" si="160"/>
        <v>14.109300000000001</v>
      </c>
      <c r="BL38" s="30">
        <f t="shared" si="160"/>
        <v>13.7033</v>
      </c>
      <c r="BM38" s="30">
        <f t="shared" si="160"/>
        <v>8.5002999999999993</v>
      </c>
      <c r="BN38" s="29">
        <f t="shared" si="160"/>
        <v>10.099299999999999</v>
      </c>
      <c r="BO38" s="85" t="str">
        <f t="shared" si="161"/>
        <v>$$$</v>
      </c>
      <c r="BP38" s="88" t="str">
        <f t="shared" si="162"/>
        <v>$$$</v>
      </c>
      <c r="BQ38" s="88" t="str">
        <f t="shared" si="163"/>
        <v>$$$</v>
      </c>
      <c r="BR38" s="88" t="str">
        <f t="shared" si="164"/>
        <v>$$$</v>
      </c>
      <c r="BS38" s="29" t="e">
        <f t="shared" si="182"/>
        <v>#N/A</v>
      </c>
      <c r="BT38" s="29" t="e">
        <f t="shared" si="182"/>
        <v>#N/A</v>
      </c>
      <c r="BU38" s="29" t="e">
        <f t="shared" si="182"/>
        <v>#N/A</v>
      </c>
      <c r="BV38" s="29" t="e">
        <f t="shared" si="182"/>
        <v>#N/A</v>
      </c>
      <c r="BW38" s="29" t="e">
        <f t="shared" si="182"/>
        <v>#N/A</v>
      </c>
      <c r="BX38" s="29" t="e">
        <f t="shared" si="182"/>
        <v>#N/A</v>
      </c>
      <c r="BY38" s="29" t="e">
        <f t="shared" si="182"/>
        <v>#N/A</v>
      </c>
      <c r="BZ38" s="29" t="e">
        <f t="shared" si="182"/>
        <v>#N/A</v>
      </c>
      <c r="CA38" s="29" t="e">
        <f t="shared" si="182"/>
        <v>#N/A</v>
      </c>
      <c r="CB38" s="29" t="e">
        <f t="shared" si="182"/>
        <v>#N/A</v>
      </c>
      <c r="CC38" s="29" t="e">
        <f t="shared" si="182"/>
        <v>#N/A</v>
      </c>
      <c r="CD38" s="29" t="e">
        <f t="shared" si="182"/>
        <v>#N/A</v>
      </c>
      <c r="CE38" s="6" t="str">
        <f t="shared" si="7"/>
        <v/>
      </c>
      <c r="CF38" s="27" t="e">
        <f>IF(AND(CI38,NOT(AD38)),LOOKUP(CF$5,{0,750,1500},H38:J38),"")</f>
        <v>#N/A</v>
      </c>
      <c r="CG38" s="6" t="str">
        <f t="shared" si="8"/>
        <v/>
      </c>
      <c r="CH38" t="e">
        <f t="shared" si="166"/>
        <v>#N/A</v>
      </c>
      <c r="CI38" t="e">
        <f t="shared" si="167"/>
        <v>#N/A</v>
      </c>
      <c r="CJ38" s="6" t="e">
        <f t="shared" si="168"/>
        <v>#N/A</v>
      </c>
      <c r="CK38" s="6">
        <f t="shared" si="169"/>
        <v>1</v>
      </c>
      <c r="CL38" s="6">
        <f t="shared" si="170"/>
        <v>1</v>
      </c>
      <c r="CM38" s="6">
        <f t="shared" si="171"/>
        <v>1</v>
      </c>
      <c r="CN38" s="6">
        <f t="shared" si="172"/>
        <v>0</v>
      </c>
      <c r="CO38" s="6">
        <f t="shared" si="173"/>
        <v>1</v>
      </c>
      <c r="CP38" s="6">
        <f t="shared" si="174"/>
        <v>1</v>
      </c>
      <c r="CQ38" s="6">
        <f t="shared" si="175"/>
        <v>1</v>
      </c>
      <c r="CR38" s="81" t="str">
        <f t="shared" si="176"/>
        <v/>
      </c>
      <c r="CS38">
        <f t="shared" si="177"/>
        <v>54</v>
      </c>
      <c r="CT38">
        <f t="shared" si="178"/>
        <v>125</v>
      </c>
      <c r="CU38" t="str">
        <f t="shared" si="179"/>
        <v/>
      </c>
      <c r="CV38" s="81">
        <f t="shared" si="180"/>
        <v>125</v>
      </c>
      <c r="CW38" s="81">
        <f>(CV38/25)^1.5*(Calculator!$BU$4/10000)*CW$5</f>
        <v>5.8144028405331634</v>
      </c>
      <c r="CX38" t="str">
        <f t="shared" si="181"/>
        <v>$125</v>
      </c>
    </row>
    <row r="39" spans="2:102" x14ac:dyDescent="0.25">
      <c r="B39" s="115" t="s">
        <v>233</v>
      </c>
      <c r="C39" s="13">
        <v>46318.697916666664</v>
      </c>
      <c r="D39">
        <v>33464</v>
      </c>
      <c r="E39" s="54" t="s">
        <v>235</v>
      </c>
      <c r="F39" s="54" t="s">
        <v>331</v>
      </c>
      <c r="G39" s="54" t="s">
        <v>1709</v>
      </c>
      <c r="H39" s="55">
        <v>15.6</v>
      </c>
      <c r="I39" s="55">
        <v>15.1</v>
      </c>
      <c r="J39" s="55">
        <v>9.9</v>
      </c>
      <c r="K39" s="54" t="s">
        <v>1710</v>
      </c>
      <c r="L39" s="56" t="b">
        <v>0</v>
      </c>
      <c r="M39" s="56" t="b">
        <v>0</v>
      </c>
      <c r="N39" s="54">
        <v>1</v>
      </c>
      <c r="O39" s="54" t="s">
        <v>228</v>
      </c>
      <c r="P39" s="54">
        <v>6</v>
      </c>
      <c r="Q39" s="54">
        <v>3</v>
      </c>
      <c r="R39" s="54">
        <v>125</v>
      </c>
      <c r="S39" s="54" t="s">
        <v>1836</v>
      </c>
      <c r="T39" s="54" t="s">
        <v>1711</v>
      </c>
      <c r="U39" s="54" t="s">
        <v>1708</v>
      </c>
      <c r="V39" s="54" t="s">
        <v>1715</v>
      </c>
      <c r="W39" s="54" t="b">
        <v>0</v>
      </c>
      <c r="X39" s="54"/>
      <c r="Y39" s="57" t="s">
        <v>1716</v>
      </c>
      <c r="Z39" s="54" t="s">
        <v>1717</v>
      </c>
      <c r="AA39" s="54"/>
      <c r="AB39" s="54" t="s">
        <v>333</v>
      </c>
      <c r="AC39" s="56" t="b">
        <v>1</v>
      </c>
      <c r="AD39" s="56" t="b">
        <v>1</v>
      </c>
      <c r="AE39" s="54" t="s">
        <v>302</v>
      </c>
      <c r="AF39" s="58">
        <v>46318</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ref="BF39:BG49" si="183">IF($E39=$E$4,BF$4,IF($E39=$E$5,BF$5,""))</f>
        <v>4.9000000000000004</v>
      </c>
      <c r="BG39" s="35">
        <f t="shared" si="183"/>
        <v>6.5333000000000002E-2</v>
      </c>
      <c r="BH39" s="35" t="str">
        <f t="shared" ref="BH39:BH49" si="184">IF(ISTEXT(BE39),IF(AND(AV39=0,SUM(AN39:AQ39)=0),IF(AM39&lt;=0,IF(BE39="Y","Low","Flat"),"Med"),"High"),"?")</f>
        <v>High</v>
      </c>
      <c r="BI39" s="110">
        <f t="shared" ref="BI39:BI49" si="185">IF(ISNUMBER(AH39),0*BI$5*SIN((EDATE($A$3,$Q39)-DATE(YEAR(EDATE($A$3,$Q39)),1,0)-BI$4)*2*PI()/365),"")</f>
        <v>0</v>
      </c>
      <c r="BJ39" s="83">
        <f>VLOOKUP($F39,REP_Info!$D$6:$H$250,5,FALSE)</f>
        <v>2.0139999999999998</v>
      </c>
      <c r="BK39" s="30">
        <f t="shared" ref="BK39:BN49" si="186">IF(BK$7&gt;0,(LOOKUP(BK$7,$AH39:$AL39,$AM39:$AQ39)+IF($AG39="Y",SUMPRODUCT($AX39:$BB39-$AW39:$BA39,BK$7-$AR39:$AV39,N(BK$7&gt;$AR39:$AV39)),BK$7*LOOKUP(BK$7,$AR39:$AV39,$AX39:$BB39))+IF($BE39="Y",$BF39,$BC39)+BK$7*IF($BE39="Y",$BG39,$BD39))*100/BK$7,"")</f>
        <v>15.7553</v>
      </c>
      <c r="BL39" s="30">
        <f t="shared" si="186"/>
        <v>15.2653</v>
      </c>
      <c r="BM39" s="30">
        <f t="shared" si="186"/>
        <v>10.020299999999999</v>
      </c>
      <c r="BN39" s="29">
        <f t="shared" si="186"/>
        <v>11.6053</v>
      </c>
      <c r="BO39" s="85" t="str">
        <f t="shared" ref="BO39:BO49" si="187">IFERROR(SUMPRODUCT($BS$7:$CD$7,$BS39:$CD39)/100,"$$$")</f>
        <v>$$$</v>
      </c>
      <c r="BP39" s="88" t="str">
        <f t="shared" ref="BP39:BP49" si="188">IFERROR(BO39*100/BO$5,"$$$")</f>
        <v>$$$</v>
      </c>
      <c r="BQ39" s="88" t="str">
        <f t="shared" ref="BQ39:BQ49" si="189">IFERROR(SUMPRODUCT($BS$7:$CD$7,$BS39:$CD39,--($BS$4:$CD$4&lt;=$Q39))/SUMPRODUCT(--($BS$4:$CD$4&lt;=$Q39),$BS$7:$CD$7),"$$$")</f>
        <v>$$$</v>
      </c>
      <c r="BR39" s="88" t="str">
        <f t="shared" ref="BR39:BR49" si="190">IFERROR($BQ39-$BF39*100*SUMPRODUCT(--($BS$4:$CD$4&lt;=$Q39))/SUMPRODUCT(--($BS$4:$CD$4&lt;=$Q39),$BS$7:$CD$7)-$BG39*100,"$$$")</f>
        <v>$$$</v>
      </c>
      <c r="BS39" s="29" t="e">
        <f t="shared" ref="BS39:CD45" si="191">IF($CI39,IF(BS$7&gt;0,IF(BS$4&gt;$Q39,$BF39+BS$7*(BS$5+$BG39+$BI39),LOOKUP(BS$7,$AH39:$AL39,$AM39:$AQ39)+IF($AG39="Y",SUMPRODUCT($AX39:$BB39-$AW39:$BA39,BS$7-$AR39:$AV39,N(BS$7&gt;$AR39:$AV39)),BS$7*LOOKUP(BS$7,$AR39:$AV39,$AX39:$BB39))+IF($BE39="Y",$BF39,$BC39)+BS$7*IF($BE39="Y",$BG39,$BD39))*100/BS$7,""),NA())</f>
        <v>#N/A</v>
      </c>
      <c r="BT39" s="29" t="e">
        <f t="shared" si="191"/>
        <v>#N/A</v>
      </c>
      <c r="BU39" s="29" t="e">
        <f t="shared" si="191"/>
        <v>#N/A</v>
      </c>
      <c r="BV39" s="29" t="e">
        <f t="shared" si="191"/>
        <v>#N/A</v>
      </c>
      <c r="BW39" s="29" t="e">
        <f t="shared" si="191"/>
        <v>#N/A</v>
      </c>
      <c r="BX39" s="29" t="e">
        <f t="shared" si="191"/>
        <v>#N/A</v>
      </c>
      <c r="BY39" s="29" t="e">
        <f t="shared" si="191"/>
        <v>#N/A</v>
      </c>
      <c r="BZ39" s="29" t="e">
        <f t="shared" si="191"/>
        <v>#N/A</v>
      </c>
      <c r="CA39" s="29" t="e">
        <f t="shared" si="191"/>
        <v>#N/A</v>
      </c>
      <c r="CB39" s="29" t="e">
        <f t="shared" si="191"/>
        <v>#N/A</v>
      </c>
      <c r="CC39" s="29" t="e">
        <f t="shared" si="191"/>
        <v>#N/A</v>
      </c>
      <c r="CD39" s="29" t="e">
        <f t="shared" si="191"/>
        <v>#N/A</v>
      </c>
      <c r="CE39" s="6" t="str">
        <f t="shared" si="7"/>
        <v/>
      </c>
      <c r="CF39" s="27" t="e">
        <f>IF(AND(CI39,NOT(AD39)),LOOKUP(CF$5,{0,750,1500},H39:J39),"")</f>
        <v>#N/A</v>
      </c>
      <c r="CG39" s="6" t="str">
        <f t="shared" si="8"/>
        <v/>
      </c>
      <c r="CH39" t="e">
        <f t="shared" ref="CH39:CH49" si="192">IF(CI39,IF(ISNUMBER(BO39),BO39,100000)+CV39/10000+IF(ISNUMBER(BJ39),BJ39,2)/10000-P39/100000+ROW()/10000000,"")</f>
        <v>#N/A</v>
      </c>
      <c r="CI39" t="e">
        <f t="shared" ref="CI39:CI49" si="193">PRODUCT(CJ39:CQ39)</f>
        <v>#N/A</v>
      </c>
      <c r="CJ39" s="6" t="e">
        <f t="shared" ref="CJ39:CJ49" si="194">IF($E39=CJ$5,1,0)</f>
        <v>#N/A</v>
      </c>
      <c r="CK39" s="6">
        <f t="shared" ref="CK39:CK49" si="195">IF(CK$5="[Any]",1,IF($F39=CK$5,1,0))</f>
        <v>1</v>
      </c>
      <c r="CL39" s="6">
        <f t="shared" ref="CL39:CL49" si="196">IFERROR(--OR(ISBLANK(CL$5),$BJ39="",AND(ISNUMBER($BJ39),$BJ39&lt;=CL$5)),1)</f>
        <v>1</v>
      </c>
      <c r="CM39" s="6">
        <f t="shared" ref="CM39:CM49" si="197">IF($O39="Fixed",1,0)</f>
        <v>1</v>
      </c>
      <c r="CN39" s="6">
        <f t="shared" ref="CN39:CN49" si="198">IF($Q39&gt;=CN$5,1,0)</f>
        <v>0</v>
      </c>
      <c r="CO39" s="6">
        <f t="shared" ref="CO39:CO49" si="199">IF($Q39&lt;=CO$5,1,0)</f>
        <v>1</v>
      </c>
      <c r="CP39" s="6">
        <f t="shared" ref="CP39:CP49" si="200">IF($P39&gt;=CP$5,1,0)</f>
        <v>1</v>
      </c>
      <c r="CQ39" s="6">
        <f t="shared" ref="CQ39:CQ49" si="201">IF(CQ$5="Any",1,IF(AND(CQ$5="Med",AV39=0,SUM(AN39:AQ39)=0),1,IF(AND(CQ$5="Low",AV39=0,SUM(AN39:AQ39)=0,AM39=0),1,IF(AND(CQ$5="Flat",AV39=0,SUM(AN39:AQ39)=0,AM39=0,IFERROR(NOT(BE39="Y"),0)),1,0))))</f>
        <v>1</v>
      </c>
      <c r="CR39" s="81" t="str">
        <f t="shared" ref="CR39:CR49" si="202">IF(ISNUMBER($CH39),$CH39+$CS39+$CW39,"")</f>
        <v/>
      </c>
      <c r="CS39">
        <f t="shared" ref="CS39:CS49" si="203">CS$5*(12/(MIN(12,Q39))-1)</f>
        <v>54</v>
      </c>
      <c r="CT39">
        <f t="shared" ref="CT39:CT49" si="204">IF(OR(LEFT($R39,2)="No",LEFT($R39,4)="Batt"),0,VALUE(IFERROR(LEFT($R39,FIND("/",$R39)-1),IFERROR(LEFT($R39,FIND(" ",$R39)-1),$R39))))</f>
        <v>125</v>
      </c>
      <c r="CU39" t="str">
        <f t="shared" ref="CU39:CU49" si="205">IF(AND(ISERR(FIND("remain",$R39)),ISERR(FIND("left",$R39))),"","r")&amp;IF(ISERR(FIND("mon",$R39)),"","m")</f>
        <v/>
      </c>
      <c r="CV39" s="81">
        <f t="shared" ref="CV39:CV49" si="206">CT39*IF(CU39="",1,Q39)</f>
        <v>125</v>
      </c>
      <c r="CW39" s="81">
        <f>(CV39/25)^1.5*(Calculator!$BU$4/10000)*CW$5</f>
        <v>5.8144028405331634</v>
      </c>
      <c r="CX39" t="str">
        <f t="shared" ref="CX39:CX49" si="207">"$"&amp;IF(LEFT(CU39,1)="r",CT39&amp;"/"&amp;CU39,CV39)</f>
        <v>$125</v>
      </c>
    </row>
    <row r="40" spans="2:102" x14ac:dyDescent="0.25">
      <c r="B40" s="115" t="s">
        <v>233</v>
      </c>
      <c r="C40" s="13">
        <v>46314.470138888886</v>
      </c>
      <c r="D40">
        <v>33631</v>
      </c>
      <c r="E40" s="54" t="s">
        <v>237</v>
      </c>
      <c r="F40" s="54" t="s">
        <v>331</v>
      </c>
      <c r="G40" s="54" t="s">
        <v>1731</v>
      </c>
      <c r="H40" s="55">
        <v>19.100000000000001</v>
      </c>
      <c r="I40" s="55">
        <v>6.2</v>
      </c>
      <c r="J40" s="55">
        <v>12.2</v>
      </c>
      <c r="K40" s="54" t="s">
        <v>1732</v>
      </c>
      <c r="L40" s="56" t="b">
        <v>0</v>
      </c>
      <c r="M40" s="56" t="b">
        <v>0</v>
      </c>
      <c r="N40" s="54">
        <v>1</v>
      </c>
      <c r="O40" s="54" t="s">
        <v>228</v>
      </c>
      <c r="P40" s="54">
        <v>6</v>
      </c>
      <c r="Q40" s="54">
        <v>3</v>
      </c>
      <c r="R40" s="54">
        <v>125</v>
      </c>
      <c r="S40" s="54" t="s">
        <v>1836</v>
      </c>
      <c r="T40" s="54" t="s">
        <v>1733</v>
      </c>
      <c r="U40" s="54" t="s">
        <v>1729</v>
      </c>
      <c r="V40" s="54" t="s">
        <v>1734</v>
      </c>
      <c r="W40" s="54" t="b">
        <v>0</v>
      </c>
      <c r="X40" s="54"/>
      <c r="Y40" s="57" t="s">
        <v>1735</v>
      </c>
      <c r="Z40" s="54" t="s">
        <v>1736</v>
      </c>
      <c r="AA40" s="54"/>
      <c r="AB40" s="54" t="s">
        <v>333</v>
      </c>
      <c r="AC40" s="56" t="b">
        <v>1</v>
      </c>
      <c r="AD40" s="56" t="b">
        <v>1</v>
      </c>
      <c r="AE40" s="54" t="s">
        <v>302</v>
      </c>
      <c r="AF40" s="58">
        <v>46314</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83"/>
        <v>4.0600000000000005</v>
      </c>
      <c r="BG40" s="35">
        <f t="shared" si="183"/>
        <v>6.8672999999999998E-2</v>
      </c>
      <c r="BH40" s="35" t="str">
        <f t="shared" si="184"/>
        <v>High</v>
      </c>
      <c r="BI40" s="110">
        <f t="shared" si="185"/>
        <v>0</v>
      </c>
      <c r="BJ40" s="83">
        <f>VLOOKUP($F40,REP_Info!$D$6:$H$250,5,FALSE)</f>
        <v>2.0139999999999998</v>
      </c>
      <c r="BK40" s="30">
        <f t="shared" si="186"/>
        <v>19.106300000000001</v>
      </c>
      <c r="BL40" s="30">
        <f t="shared" si="186"/>
        <v>6.2003000000000004</v>
      </c>
      <c r="BM40" s="30">
        <f t="shared" si="186"/>
        <v>12.247299999999999</v>
      </c>
      <c r="BN40" s="29">
        <f t="shared" si="186"/>
        <v>14.262966666666667</v>
      </c>
      <c r="BO40" s="85" t="str">
        <f t="shared" si="187"/>
        <v>$$$</v>
      </c>
      <c r="BP40" s="88" t="str">
        <f t="shared" si="188"/>
        <v>$$$</v>
      </c>
      <c r="BQ40" s="88" t="str">
        <f t="shared" si="189"/>
        <v>$$$</v>
      </c>
      <c r="BR40" s="88" t="str">
        <f t="shared" si="190"/>
        <v>$$$</v>
      </c>
      <c r="BS40" s="29" t="e">
        <f t="shared" si="191"/>
        <v>#N/A</v>
      </c>
      <c r="BT40" s="29" t="e">
        <f t="shared" si="191"/>
        <v>#N/A</v>
      </c>
      <c r="BU40" s="29" t="e">
        <f t="shared" si="191"/>
        <v>#N/A</v>
      </c>
      <c r="BV40" s="29" t="e">
        <f t="shared" si="191"/>
        <v>#N/A</v>
      </c>
      <c r="BW40" s="29" t="e">
        <f t="shared" si="191"/>
        <v>#N/A</v>
      </c>
      <c r="BX40" s="29" t="e">
        <f t="shared" si="191"/>
        <v>#N/A</v>
      </c>
      <c r="BY40" s="29" t="e">
        <f t="shared" si="191"/>
        <v>#N/A</v>
      </c>
      <c r="BZ40" s="29" t="e">
        <f t="shared" si="191"/>
        <v>#N/A</v>
      </c>
      <c r="CA40" s="29" t="e">
        <f t="shared" si="191"/>
        <v>#N/A</v>
      </c>
      <c r="CB40" s="29" t="e">
        <f t="shared" si="191"/>
        <v>#N/A</v>
      </c>
      <c r="CC40" s="29" t="e">
        <f t="shared" si="191"/>
        <v>#N/A</v>
      </c>
      <c r="CD40" s="29" t="e">
        <f t="shared" si="191"/>
        <v>#N/A</v>
      </c>
      <c r="CE40" s="6" t="str">
        <f t="shared" si="7"/>
        <v/>
      </c>
      <c r="CF40" s="27" t="e">
        <f>IF(AND(CI40,NOT(AD40)),LOOKUP(CF$5,{0,750,1500},H40:J40),"")</f>
        <v>#N/A</v>
      </c>
      <c r="CG40" s="6" t="str">
        <f t="shared" si="8"/>
        <v/>
      </c>
      <c r="CH40" t="e">
        <f t="shared" si="192"/>
        <v>#N/A</v>
      </c>
      <c r="CI40" t="e">
        <f t="shared" si="193"/>
        <v>#N/A</v>
      </c>
      <c r="CJ40" s="6" t="e">
        <f t="shared" si="194"/>
        <v>#N/A</v>
      </c>
      <c r="CK40" s="6">
        <f t="shared" si="195"/>
        <v>1</v>
      </c>
      <c r="CL40" s="6">
        <f t="shared" si="196"/>
        <v>1</v>
      </c>
      <c r="CM40" s="6">
        <f t="shared" si="197"/>
        <v>1</v>
      </c>
      <c r="CN40" s="6">
        <f t="shared" si="198"/>
        <v>0</v>
      </c>
      <c r="CO40" s="6">
        <f t="shared" si="199"/>
        <v>1</v>
      </c>
      <c r="CP40" s="6">
        <f t="shared" si="200"/>
        <v>1</v>
      </c>
      <c r="CQ40" s="6">
        <f t="shared" si="201"/>
        <v>1</v>
      </c>
      <c r="CR40" s="81" t="str">
        <f t="shared" si="202"/>
        <v/>
      </c>
      <c r="CS40">
        <f t="shared" si="203"/>
        <v>54</v>
      </c>
      <c r="CT40">
        <f t="shared" si="204"/>
        <v>125</v>
      </c>
      <c r="CU40" t="str">
        <f t="shared" si="205"/>
        <v/>
      </c>
      <c r="CV40" s="81">
        <f t="shared" si="206"/>
        <v>125</v>
      </c>
      <c r="CW40" s="81">
        <f>(CV40/25)^1.5*(Calculator!$BU$4/10000)*CW$5</f>
        <v>5.8144028405331634</v>
      </c>
      <c r="CX40" t="str">
        <f t="shared" si="207"/>
        <v>$125</v>
      </c>
    </row>
    <row r="41" spans="2:102" x14ac:dyDescent="0.25">
      <c r="B41" s="115" t="s">
        <v>233</v>
      </c>
      <c r="C41" s="13">
        <v>46314.470138888886</v>
      </c>
      <c r="D41">
        <v>33633</v>
      </c>
      <c r="E41" s="54" t="s">
        <v>235</v>
      </c>
      <c r="F41" s="54" t="s">
        <v>331</v>
      </c>
      <c r="G41" s="54" t="s">
        <v>1731</v>
      </c>
      <c r="H41" s="55">
        <v>19.2</v>
      </c>
      <c r="I41" s="55">
        <v>6.2</v>
      </c>
      <c r="J41" s="55">
        <v>12.2</v>
      </c>
      <c r="K41" s="54" t="s">
        <v>1732</v>
      </c>
      <c r="L41" s="56" t="b">
        <v>0</v>
      </c>
      <c r="M41" s="56" t="b">
        <v>0</v>
      </c>
      <c r="N41" s="54">
        <v>1</v>
      </c>
      <c r="O41" s="54" t="s">
        <v>228</v>
      </c>
      <c r="P41" s="54">
        <v>6</v>
      </c>
      <c r="Q41" s="54">
        <v>3</v>
      </c>
      <c r="R41" s="54">
        <v>125</v>
      </c>
      <c r="S41" s="54" t="s">
        <v>1836</v>
      </c>
      <c r="T41" s="54" t="s">
        <v>1733</v>
      </c>
      <c r="U41" s="54" t="s">
        <v>1730</v>
      </c>
      <c r="V41" s="54" t="s">
        <v>1810</v>
      </c>
      <c r="W41" s="54" t="b">
        <v>0</v>
      </c>
      <c r="X41" s="54"/>
      <c r="Y41" s="57" t="s">
        <v>1737</v>
      </c>
      <c r="Z41" s="54" t="s">
        <v>1738</v>
      </c>
      <c r="AA41" s="54"/>
      <c r="AB41" s="54" t="s">
        <v>333</v>
      </c>
      <c r="AC41" s="56" t="b">
        <v>1</v>
      </c>
      <c r="AD41" s="56" t="b">
        <v>1</v>
      </c>
      <c r="AE41" s="54" t="s">
        <v>302</v>
      </c>
      <c r="AF41" s="58">
        <v>46314</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83"/>
        <v>4.9000000000000004</v>
      </c>
      <c r="BG41" s="35">
        <f t="shared" si="183"/>
        <v>6.5333000000000002E-2</v>
      </c>
      <c r="BH41" s="35" t="str">
        <f t="shared" si="184"/>
        <v>High</v>
      </c>
      <c r="BI41" s="110">
        <f t="shared" si="185"/>
        <v>0</v>
      </c>
      <c r="BJ41" s="83">
        <f>VLOOKUP($F41,REP_Info!$D$6:$H$250,5,FALSE)</f>
        <v>2.0139999999999998</v>
      </c>
      <c r="BK41" s="30">
        <f t="shared" si="186"/>
        <v>19.310299999999998</v>
      </c>
      <c r="BL41" s="30">
        <f t="shared" si="186"/>
        <v>6.3202999999999996</v>
      </c>
      <c r="BM41" s="30">
        <f t="shared" si="186"/>
        <v>12.325299999999999</v>
      </c>
      <c r="BN41" s="29">
        <f t="shared" si="186"/>
        <v>14.326966666666667</v>
      </c>
      <c r="BO41" s="85" t="str">
        <f t="shared" si="187"/>
        <v>$$$</v>
      </c>
      <c r="BP41" s="88" t="str">
        <f t="shared" si="188"/>
        <v>$$$</v>
      </c>
      <c r="BQ41" s="88" t="str">
        <f t="shared" si="189"/>
        <v>$$$</v>
      </c>
      <c r="BR41" s="88" t="str">
        <f t="shared" si="190"/>
        <v>$$$</v>
      </c>
      <c r="BS41" s="29" t="e">
        <f t="shared" si="191"/>
        <v>#N/A</v>
      </c>
      <c r="BT41" s="29" t="e">
        <f t="shared" si="191"/>
        <v>#N/A</v>
      </c>
      <c r="BU41" s="29" t="e">
        <f t="shared" si="191"/>
        <v>#N/A</v>
      </c>
      <c r="BV41" s="29" t="e">
        <f t="shared" si="191"/>
        <v>#N/A</v>
      </c>
      <c r="BW41" s="29" t="e">
        <f t="shared" si="191"/>
        <v>#N/A</v>
      </c>
      <c r="BX41" s="29" t="e">
        <f t="shared" si="191"/>
        <v>#N/A</v>
      </c>
      <c r="BY41" s="29" t="e">
        <f t="shared" si="191"/>
        <v>#N/A</v>
      </c>
      <c r="BZ41" s="29" t="e">
        <f t="shared" si="191"/>
        <v>#N/A</v>
      </c>
      <c r="CA41" s="29" t="e">
        <f t="shared" si="191"/>
        <v>#N/A</v>
      </c>
      <c r="CB41" s="29" t="e">
        <f t="shared" si="191"/>
        <v>#N/A</v>
      </c>
      <c r="CC41" s="29" t="e">
        <f t="shared" si="191"/>
        <v>#N/A</v>
      </c>
      <c r="CD41" s="29" t="e">
        <f t="shared" si="191"/>
        <v>#N/A</v>
      </c>
      <c r="CE41" s="6" t="str">
        <f t="shared" si="7"/>
        <v/>
      </c>
      <c r="CF41" s="27" t="e">
        <f>IF(AND(CI41,NOT(AD41)),LOOKUP(CF$5,{0,750,1500},H41:J41),"")</f>
        <v>#N/A</v>
      </c>
      <c r="CG41" s="6" t="str">
        <f t="shared" si="8"/>
        <v/>
      </c>
      <c r="CH41" t="e">
        <f t="shared" si="192"/>
        <v>#N/A</v>
      </c>
      <c r="CI41" t="e">
        <f t="shared" si="193"/>
        <v>#N/A</v>
      </c>
      <c r="CJ41" s="6" t="e">
        <f t="shared" si="194"/>
        <v>#N/A</v>
      </c>
      <c r="CK41" s="6">
        <f t="shared" si="195"/>
        <v>1</v>
      </c>
      <c r="CL41" s="6">
        <f t="shared" si="196"/>
        <v>1</v>
      </c>
      <c r="CM41" s="6">
        <f t="shared" si="197"/>
        <v>1</v>
      </c>
      <c r="CN41" s="6">
        <f t="shared" si="198"/>
        <v>0</v>
      </c>
      <c r="CO41" s="6">
        <f t="shared" si="199"/>
        <v>1</v>
      </c>
      <c r="CP41" s="6">
        <f t="shared" si="200"/>
        <v>1</v>
      </c>
      <c r="CQ41" s="6">
        <f t="shared" si="201"/>
        <v>1</v>
      </c>
      <c r="CR41" s="81" t="str">
        <f t="shared" si="202"/>
        <v/>
      </c>
      <c r="CS41">
        <f t="shared" si="203"/>
        <v>54</v>
      </c>
      <c r="CT41">
        <f t="shared" si="204"/>
        <v>125</v>
      </c>
      <c r="CU41" t="str">
        <f t="shared" si="205"/>
        <v/>
      </c>
      <c r="CV41" s="81">
        <f t="shared" si="206"/>
        <v>125</v>
      </c>
      <c r="CW41" s="81">
        <f>(CV41/25)^1.5*(Calculator!$BU$4/10000)*CW$5</f>
        <v>5.8144028405331634</v>
      </c>
      <c r="CX41" t="str">
        <f t="shared" si="207"/>
        <v>$125</v>
      </c>
    </row>
    <row r="42" spans="2:102" x14ac:dyDescent="0.25">
      <c r="B42" s="115" t="s">
        <v>233</v>
      </c>
      <c r="C42" s="13">
        <v>46307.748611111114</v>
      </c>
      <c r="D42">
        <v>36178</v>
      </c>
      <c r="E42" s="54" t="s">
        <v>235</v>
      </c>
      <c r="F42" s="54" t="s">
        <v>345</v>
      </c>
      <c r="G42" s="54" t="s">
        <v>1666</v>
      </c>
      <c r="H42" s="55">
        <v>14.7</v>
      </c>
      <c r="I42" s="55">
        <v>14.2</v>
      </c>
      <c r="J42" s="55">
        <v>14.000000000000002</v>
      </c>
      <c r="K42" s="54"/>
      <c r="L42" s="56" t="b">
        <v>0</v>
      </c>
      <c r="M42" s="56" t="b">
        <v>0</v>
      </c>
      <c r="N42" s="54">
        <v>1</v>
      </c>
      <c r="O42" s="54" t="s">
        <v>228</v>
      </c>
      <c r="P42" s="54">
        <v>23</v>
      </c>
      <c r="Q42" s="54">
        <v>9</v>
      </c>
      <c r="R42" s="54" t="s">
        <v>346</v>
      </c>
      <c r="S42" s="54" t="s">
        <v>347</v>
      </c>
      <c r="T42" s="54" t="s">
        <v>1662</v>
      </c>
      <c r="U42" s="54" t="s">
        <v>348</v>
      </c>
      <c r="V42" s="54" t="s">
        <v>349</v>
      </c>
      <c r="W42" s="54" t="b">
        <v>0</v>
      </c>
      <c r="X42" s="54"/>
      <c r="Y42" s="57" t="s">
        <v>1667</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83"/>
        <v>4.9000000000000004</v>
      </c>
      <c r="BG42" s="35">
        <f t="shared" si="183"/>
        <v>6.5333000000000002E-2</v>
      </c>
      <c r="BH42" s="35" t="str">
        <f t="shared" si="184"/>
        <v>Low</v>
      </c>
      <c r="BI42" s="110">
        <f t="shared" si="185"/>
        <v>0</v>
      </c>
      <c r="BJ42" s="83" t="str">
        <f>VLOOKUP($F42,REP_Info!$D$6:$H$250,5,FALSE)</f>
        <v/>
      </c>
      <c r="BK42" s="30">
        <f t="shared" si="186"/>
        <v>14.7033</v>
      </c>
      <c r="BL42" s="30">
        <f t="shared" si="186"/>
        <v>14.2133</v>
      </c>
      <c r="BM42" s="30">
        <f t="shared" si="186"/>
        <v>13.968299999999999</v>
      </c>
      <c r="BN42" s="29">
        <f t="shared" si="186"/>
        <v>13.886633333333334</v>
      </c>
      <c r="BO42" s="85" t="str">
        <f t="shared" si="187"/>
        <v>$$$</v>
      </c>
      <c r="BP42" s="88" t="str">
        <f t="shared" si="188"/>
        <v>$$$</v>
      </c>
      <c r="BQ42" s="88" t="str">
        <f t="shared" si="189"/>
        <v>$$$</v>
      </c>
      <c r="BR42" s="88" t="str">
        <f t="shared" si="190"/>
        <v>$$$</v>
      </c>
      <c r="BS42" s="29" t="e">
        <f t="shared" si="191"/>
        <v>#N/A</v>
      </c>
      <c r="BT42" s="29" t="e">
        <f t="shared" si="191"/>
        <v>#N/A</v>
      </c>
      <c r="BU42" s="29" t="e">
        <f t="shared" si="191"/>
        <v>#N/A</v>
      </c>
      <c r="BV42" s="29" t="e">
        <f t="shared" si="191"/>
        <v>#N/A</v>
      </c>
      <c r="BW42" s="29" t="e">
        <f t="shared" si="191"/>
        <v>#N/A</v>
      </c>
      <c r="BX42" s="29" t="e">
        <f t="shared" si="191"/>
        <v>#N/A</v>
      </c>
      <c r="BY42" s="29" t="e">
        <f t="shared" si="191"/>
        <v>#N/A</v>
      </c>
      <c r="BZ42" s="29" t="e">
        <f t="shared" si="191"/>
        <v>#N/A</v>
      </c>
      <c r="CA42" s="29" t="e">
        <f t="shared" si="191"/>
        <v>#N/A</v>
      </c>
      <c r="CB42" s="29" t="e">
        <f t="shared" si="191"/>
        <v>#N/A</v>
      </c>
      <c r="CC42" s="29" t="e">
        <f t="shared" si="191"/>
        <v>#N/A</v>
      </c>
      <c r="CD42" s="29" t="e">
        <f t="shared" si="191"/>
        <v>#N/A</v>
      </c>
      <c r="CE42" s="6" t="str">
        <f t="shared" si="7"/>
        <v/>
      </c>
      <c r="CF42" s="27" t="e">
        <f>IF(AND(CI42,NOT(AD42)),LOOKUP(CF$5,{0,750,1500},H42:J42),"")</f>
        <v>#N/A</v>
      </c>
      <c r="CG42" s="6" t="str">
        <f t="shared" si="8"/>
        <v/>
      </c>
      <c r="CH42" t="e">
        <f t="shared" si="192"/>
        <v>#N/A</v>
      </c>
      <c r="CI42" t="e">
        <f t="shared" si="193"/>
        <v>#N/A</v>
      </c>
      <c r="CJ42" s="6" t="e">
        <f t="shared" si="194"/>
        <v>#N/A</v>
      </c>
      <c r="CK42" s="6">
        <f t="shared" si="195"/>
        <v>1</v>
      </c>
      <c r="CL42" s="6">
        <f t="shared" si="196"/>
        <v>1</v>
      </c>
      <c r="CM42" s="6">
        <f t="shared" si="197"/>
        <v>1</v>
      </c>
      <c r="CN42" s="6">
        <f t="shared" si="198"/>
        <v>0</v>
      </c>
      <c r="CO42" s="6">
        <f t="shared" si="199"/>
        <v>1</v>
      </c>
      <c r="CP42" s="6">
        <f t="shared" si="200"/>
        <v>1</v>
      </c>
      <c r="CQ42" s="6">
        <f t="shared" si="201"/>
        <v>1</v>
      </c>
      <c r="CR42" s="81" t="str">
        <f t="shared" si="202"/>
        <v/>
      </c>
      <c r="CS42">
        <f t="shared" si="203"/>
        <v>5.9999999999999982</v>
      </c>
      <c r="CT42">
        <f t="shared" si="204"/>
        <v>20</v>
      </c>
      <c r="CU42" t="str">
        <f t="shared" si="205"/>
        <v>rm</v>
      </c>
      <c r="CV42" s="81">
        <f t="shared" si="206"/>
        <v>180</v>
      </c>
      <c r="CW42" s="81">
        <f>(CV42/25)^1.5*(Calculator!$BU$4/10000)*CW$5</f>
        <v>10.047288108441309</v>
      </c>
      <c r="CX42" t="str">
        <f t="shared" si="207"/>
        <v>$20/rm</v>
      </c>
    </row>
    <row r="43" spans="2:102" x14ac:dyDescent="0.25">
      <c r="B43" s="115" t="s">
        <v>233</v>
      </c>
      <c r="C43" s="13">
        <v>46307.748611111114</v>
      </c>
      <c r="D43">
        <v>36180</v>
      </c>
      <c r="E43" s="54" t="s">
        <v>237</v>
      </c>
      <c r="F43" s="54" t="s">
        <v>345</v>
      </c>
      <c r="G43" s="54" t="s">
        <v>1666</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1662</v>
      </c>
      <c r="U43" s="54" t="s">
        <v>348</v>
      </c>
      <c r="V43" s="54" t="s">
        <v>349</v>
      </c>
      <c r="W43" s="54" t="b">
        <v>0</v>
      </c>
      <c r="X43" s="54"/>
      <c r="Y43" s="57" t="s">
        <v>1668</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83"/>
        <v>4.0600000000000005</v>
      </c>
      <c r="BG43" s="35">
        <f t="shared" si="183"/>
        <v>6.8672999999999998E-2</v>
      </c>
      <c r="BH43" s="35" t="str">
        <f t="shared" si="184"/>
        <v>Low</v>
      </c>
      <c r="BI43" s="110">
        <f t="shared" si="185"/>
        <v>0</v>
      </c>
      <c r="BJ43" s="83" t="str">
        <f>VLOOKUP($F43,REP_Info!$D$6:$H$250,5,FALSE)</f>
        <v/>
      </c>
      <c r="BK43" s="30">
        <f t="shared" si="186"/>
        <v>14.869300000000001</v>
      </c>
      <c r="BL43" s="30">
        <f t="shared" si="186"/>
        <v>14.4633</v>
      </c>
      <c r="BM43" s="30">
        <f t="shared" si="186"/>
        <v>14.260300000000001</v>
      </c>
      <c r="BN43" s="29">
        <f t="shared" si="186"/>
        <v>14.192633333333333</v>
      </c>
      <c r="BO43" s="85" t="str">
        <f t="shared" si="187"/>
        <v>$$$</v>
      </c>
      <c r="BP43" s="88" t="str">
        <f t="shared" si="188"/>
        <v>$$$</v>
      </c>
      <c r="BQ43" s="88" t="str">
        <f t="shared" si="189"/>
        <v>$$$</v>
      </c>
      <c r="BR43" s="88" t="str">
        <f t="shared" si="190"/>
        <v>$$$</v>
      </c>
      <c r="BS43" s="29" t="e">
        <f t="shared" si="191"/>
        <v>#N/A</v>
      </c>
      <c r="BT43" s="29" t="e">
        <f t="shared" si="191"/>
        <v>#N/A</v>
      </c>
      <c r="BU43" s="29" t="e">
        <f t="shared" si="191"/>
        <v>#N/A</v>
      </c>
      <c r="BV43" s="29" t="e">
        <f t="shared" si="191"/>
        <v>#N/A</v>
      </c>
      <c r="BW43" s="29" t="e">
        <f t="shared" si="191"/>
        <v>#N/A</v>
      </c>
      <c r="BX43" s="29" t="e">
        <f t="shared" si="191"/>
        <v>#N/A</v>
      </c>
      <c r="BY43" s="29" t="e">
        <f t="shared" si="191"/>
        <v>#N/A</v>
      </c>
      <c r="BZ43" s="29" t="e">
        <f t="shared" si="191"/>
        <v>#N/A</v>
      </c>
      <c r="CA43" s="29" t="e">
        <f t="shared" si="191"/>
        <v>#N/A</v>
      </c>
      <c r="CB43" s="29" t="e">
        <f t="shared" si="191"/>
        <v>#N/A</v>
      </c>
      <c r="CC43" s="29" t="e">
        <f t="shared" si="191"/>
        <v>#N/A</v>
      </c>
      <c r="CD43" s="29" t="e">
        <f t="shared" si="191"/>
        <v>#N/A</v>
      </c>
      <c r="CE43" s="6" t="str">
        <f t="shared" si="7"/>
        <v/>
      </c>
      <c r="CF43" s="27" t="e">
        <f>IF(AND(CI43,NOT(AD43)),LOOKUP(CF$5,{0,750,1500},H43:J43),"")</f>
        <v>#N/A</v>
      </c>
      <c r="CG43" s="6" t="str">
        <f t="shared" si="8"/>
        <v/>
      </c>
      <c r="CH43" t="e">
        <f t="shared" si="192"/>
        <v>#N/A</v>
      </c>
      <c r="CI43" t="e">
        <f t="shared" si="193"/>
        <v>#N/A</v>
      </c>
      <c r="CJ43" s="6" t="e">
        <f t="shared" si="194"/>
        <v>#N/A</v>
      </c>
      <c r="CK43" s="6">
        <f t="shared" si="195"/>
        <v>1</v>
      </c>
      <c r="CL43" s="6">
        <f t="shared" si="196"/>
        <v>1</v>
      </c>
      <c r="CM43" s="6">
        <f t="shared" si="197"/>
        <v>1</v>
      </c>
      <c r="CN43" s="6">
        <f t="shared" si="198"/>
        <v>0</v>
      </c>
      <c r="CO43" s="6">
        <f t="shared" si="199"/>
        <v>1</v>
      </c>
      <c r="CP43" s="6">
        <f t="shared" si="200"/>
        <v>1</v>
      </c>
      <c r="CQ43" s="6">
        <f t="shared" si="201"/>
        <v>1</v>
      </c>
      <c r="CR43" s="81" t="str">
        <f t="shared" si="202"/>
        <v/>
      </c>
      <c r="CS43">
        <f t="shared" si="203"/>
        <v>5.9999999999999982</v>
      </c>
      <c r="CT43">
        <f t="shared" si="204"/>
        <v>20</v>
      </c>
      <c r="CU43" t="str">
        <f t="shared" si="205"/>
        <v>rm</v>
      </c>
      <c r="CV43" s="81">
        <f t="shared" si="206"/>
        <v>180</v>
      </c>
      <c r="CW43" s="81">
        <f>(CV43/25)^1.5*(Calculator!$BU$4/10000)*CW$5</f>
        <v>10.047288108441309</v>
      </c>
      <c r="CX43" t="str">
        <f t="shared" si="207"/>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1662</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183"/>
        <v>4.9000000000000004</v>
      </c>
      <c r="BG44" s="35">
        <f t="shared" si="183"/>
        <v>6.5333000000000002E-2</v>
      </c>
      <c r="BH44" s="35" t="str">
        <f t="shared" si="184"/>
        <v>Low</v>
      </c>
      <c r="BI44" s="110">
        <f t="shared" si="185"/>
        <v>0</v>
      </c>
      <c r="BJ44" s="83" t="str">
        <f>VLOOKUP($F44,REP_Info!$D$6:$H$250,5,FALSE)</f>
        <v/>
      </c>
      <c r="BK44" s="30">
        <f t="shared" si="186"/>
        <v>16.603300000000001</v>
      </c>
      <c r="BL44" s="30">
        <f t="shared" si="186"/>
        <v>16.113299999999999</v>
      </c>
      <c r="BM44" s="30">
        <f t="shared" si="186"/>
        <v>15.8683</v>
      </c>
      <c r="BN44" s="29">
        <f t="shared" si="186"/>
        <v>15.786633333333331</v>
      </c>
      <c r="BO44" s="85" t="str">
        <f t="shared" si="187"/>
        <v>$$$</v>
      </c>
      <c r="BP44" s="88" t="str">
        <f t="shared" si="188"/>
        <v>$$$</v>
      </c>
      <c r="BQ44" s="88" t="str">
        <f t="shared" si="189"/>
        <v>$$$</v>
      </c>
      <c r="BR44" s="88" t="str">
        <f t="shared" si="190"/>
        <v>$$$</v>
      </c>
      <c r="BS44" s="29" t="e">
        <f t="shared" si="191"/>
        <v>#N/A</v>
      </c>
      <c r="BT44" s="29" t="e">
        <f t="shared" si="191"/>
        <v>#N/A</v>
      </c>
      <c r="BU44" s="29" t="e">
        <f t="shared" si="191"/>
        <v>#N/A</v>
      </c>
      <c r="BV44" s="29" t="e">
        <f t="shared" si="191"/>
        <v>#N/A</v>
      </c>
      <c r="BW44" s="29" t="e">
        <f t="shared" si="191"/>
        <v>#N/A</v>
      </c>
      <c r="BX44" s="29" t="e">
        <f t="shared" si="191"/>
        <v>#N/A</v>
      </c>
      <c r="BY44" s="29" t="e">
        <f t="shared" si="191"/>
        <v>#N/A</v>
      </c>
      <c r="BZ44" s="29" t="e">
        <f t="shared" si="191"/>
        <v>#N/A</v>
      </c>
      <c r="CA44" s="29" t="e">
        <f t="shared" si="191"/>
        <v>#N/A</v>
      </c>
      <c r="CB44" s="29" t="e">
        <f t="shared" si="191"/>
        <v>#N/A</v>
      </c>
      <c r="CC44" s="29" t="e">
        <f t="shared" si="191"/>
        <v>#N/A</v>
      </c>
      <c r="CD44" s="29" t="e">
        <f t="shared" si="191"/>
        <v>#N/A</v>
      </c>
      <c r="CE44" s="6" t="str">
        <f t="shared" si="7"/>
        <v/>
      </c>
      <c r="CF44" s="27" t="e">
        <f>IF(AND(CI44,NOT(AD44)),LOOKUP(CF$5,{0,750,1500},H44:J44),"")</f>
        <v>#N/A</v>
      </c>
      <c r="CG44" s="6" t="str">
        <f t="shared" si="8"/>
        <v/>
      </c>
      <c r="CH44" t="e">
        <f t="shared" si="192"/>
        <v>#N/A</v>
      </c>
      <c r="CI44" t="e">
        <f t="shared" si="193"/>
        <v>#N/A</v>
      </c>
      <c r="CJ44" s="6" t="e">
        <f t="shared" si="194"/>
        <v>#N/A</v>
      </c>
      <c r="CK44" s="6">
        <f t="shared" si="195"/>
        <v>1</v>
      </c>
      <c r="CL44" s="6">
        <f t="shared" si="196"/>
        <v>1</v>
      </c>
      <c r="CM44" s="6">
        <f t="shared" si="197"/>
        <v>1</v>
      </c>
      <c r="CN44" s="6">
        <f t="shared" si="198"/>
        <v>1</v>
      </c>
      <c r="CO44" s="6">
        <f t="shared" si="199"/>
        <v>0</v>
      </c>
      <c r="CP44" s="6">
        <f t="shared" si="200"/>
        <v>1</v>
      </c>
      <c r="CQ44" s="6">
        <f t="shared" si="201"/>
        <v>1</v>
      </c>
      <c r="CR44" s="81" t="str">
        <f t="shared" si="202"/>
        <v/>
      </c>
      <c r="CS44">
        <f t="shared" si="203"/>
        <v>0</v>
      </c>
      <c r="CT44">
        <f t="shared" si="204"/>
        <v>20</v>
      </c>
      <c r="CU44" t="str">
        <f t="shared" si="205"/>
        <v>rm</v>
      </c>
      <c r="CV44" s="81">
        <f t="shared" si="206"/>
        <v>720</v>
      </c>
      <c r="CW44" s="81">
        <f>(CV44/25)^1.5*(Calculator!$BU$4/10000)*CW$5</f>
        <v>80.37830486753046</v>
      </c>
      <c r="CX44" t="str">
        <f t="shared" si="207"/>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1662</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183"/>
        <v>4.0600000000000005</v>
      </c>
      <c r="BG45" s="35">
        <f t="shared" si="183"/>
        <v>6.8672999999999998E-2</v>
      </c>
      <c r="BH45" s="35" t="str">
        <f t="shared" si="184"/>
        <v>Low</v>
      </c>
      <c r="BI45" s="110">
        <f t="shared" si="185"/>
        <v>0</v>
      </c>
      <c r="BJ45" s="83" t="str">
        <f>VLOOKUP($F45,REP_Info!$D$6:$H$250,5,FALSE)</f>
        <v/>
      </c>
      <c r="BK45" s="30">
        <f t="shared" si="186"/>
        <v>16.6693</v>
      </c>
      <c r="BL45" s="30">
        <f t="shared" si="186"/>
        <v>16.263299999999997</v>
      </c>
      <c r="BM45" s="30">
        <f t="shared" si="186"/>
        <v>16.060300000000002</v>
      </c>
      <c r="BN45" s="29">
        <f t="shared" si="186"/>
        <v>15.992633333333334</v>
      </c>
      <c r="BO45" s="85" t="str">
        <f t="shared" si="187"/>
        <v>$$$</v>
      </c>
      <c r="BP45" s="88" t="str">
        <f t="shared" si="188"/>
        <v>$$$</v>
      </c>
      <c r="BQ45" s="88" t="str">
        <f t="shared" si="189"/>
        <v>$$$</v>
      </c>
      <c r="BR45" s="88" t="str">
        <f t="shared" si="190"/>
        <v>$$$</v>
      </c>
      <c r="BS45" s="29" t="e">
        <f t="shared" si="191"/>
        <v>#N/A</v>
      </c>
      <c r="BT45" s="29" t="e">
        <f t="shared" si="191"/>
        <v>#N/A</v>
      </c>
      <c r="BU45" s="29" t="e">
        <f t="shared" si="191"/>
        <v>#N/A</v>
      </c>
      <c r="BV45" s="29" t="e">
        <f t="shared" ref="BS45:CD49" si="208">IF($CI45,IF(BV$7&gt;0,IF(BV$4&gt;$Q45,$BF45+BV$7*(BV$5+$BG45+$BI45),LOOKUP(BV$7,$AH45:$AL45,$AM45:$AQ45)+IF($AG45="Y",SUMPRODUCT($AX45:$BB45-$AW45:$BA45,BV$7-$AR45:$AV45,N(BV$7&gt;$AR45:$AV45)),BV$7*LOOKUP(BV$7,$AR45:$AV45,$AX45:$BB45))+IF($BE45="Y",$BF45,$BC45)+BV$7*IF($BE45="Y",$BG45,$BD45))*100/BV$7,""),NA())</f>
        <v>#N/A</v>
      </c>
      <c r="BW45" s="29" t="e">
        <f t="shared" si="208"/>
        <v>#N/A</v>
      </c>
      <c r="BX45" s="29" t="e">
        <f t="shared" si="208"/>
        <v>#N/A</v>
      </c>
      <c r="BY45" s="29" t="e">
        <f t="shared" si="208"/>
        <v>#N/A</v>
      </c>
      <c r="BZ45" s="29" t="e">
        <f t="shared" si="208"/>
        <v>#N/A</v>
      </c>
      <c r="CA45" s="29" t="e">
        <f t="shared" si="208"/>
        <v>#N/A</v>
      </c>
      <c r="CB45" s="29" t="e">
        <f t="shared" si="208"/>
        <v>#N/A</v>
      </c>
      <c r="CC45" s="29" t="e">
        <f t="shared" si="208"/>
        <v>#N/A</v>
      </c>
      <c r="CD45" s="29" t="e">
        <f t="shared" si="208"/>
        <v>#N/A</v>
      </c>
      <c r="CE45" s="6" t="str">
        <f t="shared" si="7"/>
        <v/>
      </c>
      <c r="CF45" s="27" t="e">
        <f>IF(AND(CI45,NOT(AD45)),LOOKUP(CF$5,{0,750,1500},H45:J45),"")</f>
        <v>#N/A</v>
      </c>
      <c r="CG45" s="6" t="str">
        <f t="shared" si="8"/>
        <v/>
      </c>
      <c r="CH45" t="e">
        <f t="shared" si="192"/>
        <v>#N/A</v>
      </c>
      <c r="CI45" t="e">
        <f t="shared" si="193"/>
        <v>#N/A</v>
      </c>
      <c r="CJ45" s="6" t="e">
        <f t="shared" si="194"/>
        <v>#N/A</v>
      </c>
      <c r="CK45" s="6">
        <f t="shared" si="195"/>
        <v>1</v>
      </c>
      <c r="CL45" s="6">
        <f t="shared" si="196"/>
        <v>1</v>
      </c>
      <c r="CM45" s="6">
        <f t="shared" si="197"/>
        <v>1</v>
      </c>
      <c r="CN45" s="6">
        <f t="shared" si="198"/>
        <v>1</v>
      </c>
      <c r="CO45" s="6">
        <f t="shared" si="199"/>
        <v>0</v>
      </c>
      <c r="CP45" s="6">
        <f t="shared" si="200"/>
        <v>1</v>
      </c>
      <c r="CQ45" s="6">
        <f t="shared" si="201"/>
        <v>1</v>
      </c>
      <c r="CR45" s="81" t="str">
        <f t="shared" si="202"/>
        <v/>
      </c>
      <c r="CS45">
        <f t="shared" si="203"/>
        <v>0</v>
      </c>
      <c r="CT45">
        <f t="shared" si="204"/>
        <v>20</v>
      </c>
      <c r="CU45" t="str">
        <f t="shared" si="205"/>
        <v>rm</v>
      </c>
      <c r="CV45" s="81">
        <f t="shared" si="206"/>
        <v>720</v>
      </c>
      <c r="CW45" s="81">
        <f>(CV45/25)^1.5*(Calculator!$BU$4/10000)*CW$5</f>
        <v>80.37830486753046</v>
      </c>
      <c r="CX45" t="str">
        <f t="shared" si="207"/>
        <v>$20/rm</v>
      </c>
    </row>
    <row r="46" spans="2:102" x14ac:dyDescent="0.25">
      <c r="B46" s="115" t="s">
        <v>233</v>
      </c>
      <c r="C46" s="13">
        <v>46321.660416666666</v>
      </c>
      <c r="D46">
        <v>29410</v>
      </c>
      <c r="E46" s="54" t="s">
        <v>235</v>
      </c>
      <c r="F46" s="54" t="s">
        <v>355</v>
      </c>
      <c r="G46" s="54" t="s">
        <v>1682</v>
      </c>
      <c r="H46" s="55">
        <v>14.099999999999998</v>
      </c>
      <c r="I46" s="55">
        <v>13.600000000000001</v>
      </c>
      <c r="J46" s="55">
        <v>13.3</v>
      </c>
      <c r="K46" s="54"/>
      <c r="L46" s="56" t="b">
        <v>0</v>
      </c>
      <c r="M46" s="56" t="b">
        <v>0</v>
      </c>
      <c r="N46" s="54">
        <v>1</v>
      </c>
      <c r="O46" s="54" t="s">
        <v>228</v>
      </c>
      <c r="P46" s="54">
        <v>29</v>
      </c>
      <c r="Q46" s="54">
        <v>12</v>
      </c>
      <c r="R46" s="54" t="s">
        <v>356</v>
      </c>
      <c r="S46" s="54" t="s">
        <v>357</v>
      </c>
      <c r="T46" s="54" t="s">
        <v>358</v>
      </c>
      <c r="U46" s="54" t="s">
        <v>1675</v>
      </c>
      <c r="V46" s="54" t="s">
        <v>1683</v>
      </c>
      <c r="W46" s="54" t="b">
        <v>0</v>
      </c>
      <c r="X46" s="54"/>
      <c r="Y46" s="57" t="s">
        <v>1684</v>
      </c>
      <c r="Z46" s="54" t="s">
        <v>359</v>
      </c>
      <c r="AA46" s="54"/>
      <c r="AB46" s="54" t="s">
        <v>360</v>
      </c>
      <c r="AC46" s="56" t="b">
        <v>1</v>
      </c>
      <c r="AD46" s="56" t="b">
        <v>0</v>
      </c>
      <c r="AE46" s="54" t="s">
        <v>302</v>
      </c>
      <c r="AF46" s="58">
        <v>46321</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6.5670000000000006E-2</v>
      </c>
      <c r="BC46" s="60">
        <v>4.9000000000000004</v>
      </c>
      <c r="BD46" s="61">
        <v>6.5333000000000002E-2</v>
      </c>
      <c r="BE46" s="62" t="s">
        <v>293</v>
      </c>
      <c r="BF46" s="35">
        <f t="shared" si="183"/>
        <v>4.9000000000000004</v>
      </c>
      <c r="BG46" s="35">
        <f t="shared" si="183"/>
        <v>6.5333000000000002E-2</v>
      </c>
      <c r="BH46" s="35" t="str">
        <f t="shared" si="184"/>
        <v>Low</v>
      </c>
      <c r="BI46" s="110">
        <f t="shared" si="185"/>
        <v>0</v>
      </c>
      <c r="BJ46" s="83">
        <f>VLOOKUP($F46,REP_Info!$D$6:$H$250,5,FALSE)</f>
        <v>1.244</v>
      </c>
      <c r="BK46" s="30">
        <f t="shared" si="186"/>
        <v>14.080299999999999</v>
      </c>
      <c r="BL46" s="30">
        <f t="shared" si="186"/>
        <v>13.590300000000003</v>
      </c>
      <c r="BM46" s="30">
        <f t="shared" si="186"/>
        <v>13.345300000000002</v>
      </c>
      <c r="BN46" s="29">
        <f t="shared" si="186"/>
        <v>13.263633333333333</v>
      </c>
      <c r="BO46" s="85" t="str">
        <f t="shared" si="187"/>
        <v>$$$</v>
      </c>
      <c r="BP46" s="88" t="str">
        <f t="shared" si="188"/>
        <v>$$$</v>
      </c>
      <c r="BQ46" s="88" t="str">
        <f t="shared" si="189"/>
        <v>$$$</v>
      </c>
      <c r="BR46" s="88" t="str">
        <f t="shared" si="190"/>
        <v>$$$</v>
      </c>
      <c r="BS46" s="29" t="e">
        <f t="shared" si="208"/>
        <v>#N/A</v>
      </c>
      <c r="BT46" s="29" t="e">
        <f t="shared" si="208"/>
        <v>#N/A</v>
      </c>
      <c r="BU46" s="29" t="e">
        <f t="shared" si="208"/>
        <v>#N/A</v>
      </c>
      <c r="BV46" s="29" t="e">
        <f t="shared" si="208"/>
        <v>#N/A</v>
      </c>
      <c r="BW46" s="29" t="e">
        <f t="shared" si="208"/>
        <v>#N/A</v>
      </c>
      <c r="BX46" s="29" t="e">
        <f t="shared" si="208"/>
        <v>#N/A</v>
      </c>
      <c r="BY46" s="29" t="e">
        <f t="shared" si="208"/>
        <v>#N/A</v>
      </c>
      <c r="BZ46" s="29" t="e">
        <f t="shared" si="208"/>
        <v>#N/A</v>
      </c>
      <c r="CA46" s="29" t="e">
        <f t="shared" si="208"/>
        <v>#N/A</v>
      </c>
      <c r="CB46" s="29" t="e">
        <f t="shared" si="208"/>
        <v>#N/A</v>
      </c>
      <c r="CC46" s="29" t="e">
        <f t="shared" si="208"/>
        <v>#N/A</v>
      </c>
      <c r="CD46" s="29" t="e">
        <f t="shared" si="208"/>
        <v>#N/A</v>
      </c>
      <c r="CE46" s="6" t="str">
        <f t="shared" si="7"/>
        <v/>
      </c>
      <c r="CF46" s="27" t="e">
        <f>IF(AND(CI46,NOT(AD46)),LOOKUP(CF$5,{0,750,1500},H46:J46),"")</f>
        <v>#N/A</v>
      </c>
      <c r="CG46" s="6" t="str">
        <f t="shared" si="8"/>
        <v/>
      </c>
      <c r="CH46" t="e">
        <f t="shared" si="192"/>
        <v>#N/A</v>
      </c>
      <c r="CI46" t="e">
        <f t="shared" si="193"/>
        <v>#N/A</v>
      </c>
      <c r="CJ46" s="6" t="e">
        <f t="shared" si="194"/>
        <v>#N/A</v>
      </c>
      <c r="CK46" s="6">
        <f t="shared" si="195"/>
        <v>1</v>
      </c>
      <c r="CL46" s="6">
        <f t="shared" si="196"/>
        <v>1</v>
      </c>
      <c r="CM46" s="6">
        <f t="shared" si="197"/>
        <v>1</v>
      </c>
      <c r="CN46" s="6">
        <f t="shared" si="198"/>
        <v>1</v>
      </c>
      <c r="CO46" s="6">
        <f t="shared" si="199"/>
        <v>1</v>
      </c>
      <c r="CP46" s="6">
        <f t="shared" si="200"/>
        <v>1</v>
      </c>
      <c r="CQ46" s="6">
        <f t="shared" si="201"/>
        <v>1</v>
      </c>
      <c r="CR46" s="81" t="str">
        <f t="shared" si="202"/>
        <v/>
      </c>
      <c r="CS46">
        <f t="shared" si="203"/>
        <v>0</v>
      </c>
      <c r="CT46">
        <f t="shared" si="204"/>
        <v>20</v>
      </c>
      <c r="CU46" t="str">
        <f t="shared" si="205"/>
        <v>rm</v>
      </c>
      <c r="CV46" s="81">
        <f t="shared" si="206"/>
        <v>240</v>
      </c>
      <c r="CW46" s="81">
        <f>(CV46/25)^1.5*(Calculator!$BU$4/10000)*CW$5</f>
        <v>15.468811984091507</v>
      </c>
      <c r="CX46" t="str">
        <f t="shared" si="207"/>
        <v>$20/rm</v>
      </c>
    </row>
    <row r="47" spans="2:102" x14ac:dyDescent="0.25">
      <c r="B47" s="115" t="s">
        <v>233</v>
      </c>
      <c r="C47" s="13">
        <v>46321.660416666666</v>
      </c>
      <c r="D47">
        <v>29431</v>
      </c>
      <c r="E47" s="54" t="s">
        <v>235</v>
      </c>
      <c r="F47" s="54" t="s">
        <v>355</v>
      </c>
      <c r="G47" s="54" t="s">
        <v>1857</v>
      </c>
      <c r="H47" s="55">
        <v>14.2</v>
      </c>
      <c r="I47" s="55">
        <v>13.700000000000001</v>
      </c>
      <c r="J47" s="55">
        <v>13.4</v>
      </c>
      <c r="K47" s="54"/>
      <c r="L47" s="56" t="b">
        <v>0</v>
      </c>
      <c r="M47" s="56" t="b">
        <v>0</v>
      </c>
      <c r="N47" s="54">
        <v>1</v>
      </c>
      <c r="O47" s="54" t="s">
        <v>228</v>
      </c>
      <c r="P47" s="54">
        <v>29</v>
      </c>
      <c r="Q47" s="54">
        <v>24</v>
      </c>
      <c r="R47" s="54" t="s">
        <v>356</v>
      </c>
      <c r="S47" s="54" t="s">
        <v>357</v>
      </c>
      <c r="T47" s="54" t="s">
        <v>358</v>
      </c>
      <c r="U47" s="54" t="s">
        <v>1854</v>
      </c>
      <c r="V47" s="54" t="s">
        <v>1858</v>
      </c>
      <c r="W47" s="54" t="b">
        <v>0</v>
      </c>
      <c r="X47" s="54"/>
      <c r="Y47" s="57" t="s">
        <v>1859</v>
      </c>
      <c r="Z47" s="54" t="s">
        <v>359</v>
      </c>
      <c r="AA47" s="54"/>
      <c r="AB47" s="54" t="s">
        <v>360</v>
      </c>
      <c r="AC47" s="56" t="b">
        <v>1</v>
      </c>
      <c r="AD47" s="56" t="b">
        <v>0</v>
      </c>
      <c r="AE47" s="54" t="s">
        <v>302</v>
      </c>
      <c r="AF47" s="58">
        <v>46321</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6.6530000000000006E-2</v>
      </c>
      <c r="BC47" s="60">
        <v>4.9000000000000004</v>
      </c>
      <c r="BD47" s="61">
        <v>6.5333000000000002E-2</v>
      </c>
      <c r="BE47" s="62" t="s">
        <v>293</v>
      </c>
      <c r="BF47" s="35">
        <f t="shared" si="183"/>
        <v>4.9000000000000004</v>
      </c>
      <c r="BG47" s="35">
        <f t="shared" si="183"/>
        <v>6.5333000000000002E-2</v>
      </c>
      <c r="BH47" s="35" t="str">
        <f t="shared" si="184"/>
        <v>Low</v>
      </c>
      <c r="BI47" s="110">
        <f t="shared" si="185"/>
        <v>0</v>
      </c>
      <c r="BJ47" s="83">
        <f>VLOOKUP($F47,REP_Info!$D$6:$H$250,5,FALSE)</f>
        <v>1.244</v>
      </c>
      <c r="BK47" s="30">
        <f t="shared" si="186"/>
        <v>14.166300000000001</v>
      </c>
      <c r="BL47" s="30">
        <f t="shared" si="186"/>
        <v>13.676300000000001</v>
      </c>
      <c r="BM47" s="30">
        <f t="shared" si="186"/>
        <v>13.431299999999998</v>
      </c>
      <c r="BN47" s="29">
        <f t="shared" si="186"/>
        <v>13.349633333333333</v>
      </c>
      <c r="BO47" s="85" t="str">
        <f t="shared" si="187"/>
        <v>$$$</v>
      </c>
      <c r="BP47" s="88" t="str">
        <f t="shared" si="188"/>
        <v>$$$</v>
      </c>
      <c r="BQ47" s="88" t="str">
        <f t="shared" si="189"/>
        <v>$$$</v>
      </c>
      <c r="BR47" s="88" t="str">
        <f t="shared" si="190"/>
        <v>$$$</v>
      </c>
      <c r="BS47" s="29" t="e">
        <f t="shared" si="208"/>
        <v>#N/A</v>
      </c>
      <c r="BT47" s="29" t="e">
        <f t="shared" si="208"/>
        <v>#N/A</v>
      </c>
      <c r="BU47" s="29" t="e">
        <f t="shared" si="208"/>
        <v>#N/A</v>
      </c>
      <c r="BV47" s="29" t="e">
        <f t="shared" si="208"/>
        <v>#N/A</v>
      </c>
      <c r="BW47" s="29" t="e">
        <f t="shared" si="208"/>
        <v>#N/A</v>
      </c>
      <c r="BX47" s="29" t="e">
        <f t="shared" si="208"/>
        <v>#N/A</v>
      </c>
      <c r="BY47" s="29" t="e">
        <f t="shared" si="208"/>
        <v>#N/A</v>
      </c>
      <c r="BZ47" s="29" t="e">
        <f t="shared" si="208"/>
        <v>#N/A</v>
      </c>
      <c r="CA47" s="29" t="e">
        <f t="shared" si="208"/>
        <v>#N/A</v>
      </c>
      <c r="CB47" s="29" t="e">
        <f t="shared" si="208"/>
        <v>#N/A</v>
      </c>
      <c r="CC47" s="29" t="e">
        <f t="shared" si="208"/>
        <v>#N/A</v>
      </c>
      <c r="CD47" s="29" t="e">
        <f t="shared" si="208"/>
        <v>#N/A</v>
      </c>
      <c r="CE47" s="6" t="str">
        <f t="shared" si="7"/>
        <v/>
      </c>
      <c r="CF47" s="27" t="e">
        <f>IF(AND(CI47,NOT(AD47)),LOOKUP(CF$5,{0,750,1500},H47:J47),"")</f>
        <v>#N/A</v>
      </c>
      <c r="CG47" s="6" t="str">
        <f t="shared" si="8"/>
        <v/>
      </c>
      <c r="CH47" t="e">
        <f t="shared" si="192"/>
        <v>#N/A</v>
      </c>
      <c r="CI47" t="e">
        <f t="shared" si="193"/>
        <v>#N/A</v>
      </c>
      <c r="CJ47" s="6" t="e">
        <f t="shared" si="194"/>
        <v>#N/A</v>
      </c>
      <c r="CK47" s="6">
        <f t="shared" si="195"/>
        <v>1</v>
      </c>
      <c r="CL47" s="6">
        <f t="shared" si="196"/>
        <v>1</v>
      </c>
      <c r="CM47" s="6">
        <f t="shared" si="197"/>
        <v>1</v>
      </c>
      <c r="CN47" s="6">
        <f t="shared" si="198"/>
        <v>1</v>
      </c>
      <c r="CO47" s="6">
        <f t="shared" si="199"/>
        <v>0</v>
      </c>
      <c r="CP47" s="6">
        <f t="shared" si="200"/>
        <v>1</v>
      </c>
      <c r="CQ47" s="6">
        <f t="shared" si="201"/>
        <v>1</v>
      </c>
      <c r="CR47" s="81" t="str">
        <f t="shared" si="202"/>
        <v/>
      </c>
      <c r="CS47">
        <f t="shared" si="203"/>
        <v>0</v>
      </c>
      <c r="CT47">
        <f t="shared" si="204"/>
        <v>20</v>
      </c>
      <c r="CU47" t="str">
        <f t="shared" si="205"/>
        <v>rm</v>
      </c>
      <c r="CV47" s="81">
        <f t="shared" si="206"/>
        <v>480</v>
      </c>
      <c r="CW47" s="81">
        <f>(CV47/25)^1.5*(Calculator!$BU$4/10000)*CW$5</f>
        <v>43.752407403403353</v>
      </c>
      <c r="CX47" t="str">
        <f t="shared" si="207"/>
        <v>$20/rm</v>
      </c>
    </row>
    <row r="48" spans="2:102" x14ac:dyDescent="0.25">
      <c r="B48" s="115" t="s">
        <v>233</v>
      </c>
      <c r="C48" s="13">
        <v>46321.660416666666</v>
      </c>
      <c r="D48">
        <v>29437</v>
      </c>
      <c r="E48" s="54" t="s">
        <v>237</v>
      </c>
      <c r="F48" s="54" t="s">
        <v>355</v>
      </c>
      <c r="G48" s="54" t="s">
        <v>1860</v>
      </c>
      <c r="H48" s="55">
        <v>14.099999999999998</v>
      </c>
      <c r="I48" s="55">
        <v>13.700000000000001</v>
      </c>
      <c r="J48" s="55">
        <v>13.5</v>
      </c>
      <c r="K48" s="54"/>
      <c r="L48" s="56" t="b">
        <v>0</v>
      </c>
      <c r="M48" s="56" t="b">
        <v>0</v>
      </c>
      <c r="N48" s="54">
        <v>1</v>
      </c>
      <c r="O48" s="54" t="s">
        <v>228</v>
      </c>
      <c r="P48" s="54">
        <v>100</v>
      </c>
      <c r="Q48" s="54">
        <v>12</v>
      </c>
      <c r="R48" s="54" t="s">
        <v>356</v>
      </c>
      <c r="S48" s="54" t="s">
        <v>357</v>
      </c>
      <c r="T48" s="54" t="s">
        <v>361</v>
      </c>
      <c r="U48" s="54" t="s">
        <v>1856</v>
      </c>
      <c r="V48" s="54" t="s">
        <v>1861</v>
      </c>
      <c r="W48" s="54" t="b">
        <v>0</v>
      </c>
      <c r="X48" s="54"/>
      <c r="Y48" s="57" t="s">
        <v>1862</v>
      </c>
      <c r="Z48" s="54" t="s">
        <v>359</v>
      </c>
      <c r="AA48" s="54"/>
      <c r="AB48" s="54" t="s">
        <v>360</v>
      </c>
      <c r="AC48" s="56" t="b">
        <v>1</v>
      </c>
      <c r="AD48" s="56" t="b">
        <v>0</v>
      </c>
      <c r="AE48" s="54" t="s">
        <v>302</v>
      </c>
      <c r="AF48" s="58">
        <v>46321</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6.4699999999999994E-2</v>
      </c>
      <c r="BC48" s="60">
        <v>4.0599999999999996</v>
      </c>
      <c r="BD48" s="61">
        <v>6.8672999999999998E-2</v>
      </c>
      <c r="BE48" s="62" t="s">
        <v>293</v>
      </c>
      <c r="BF48" s="35">
        <f t="shared" si="183"/>
        <v>4.0600000000000005</v>
      </c>
      <c r="BG48" s="35">
        <f t="shared" si="183"/>
        <v>6.8672999999999998E-2</v>
      </c>
      <c r="BH48" s="35" t="str">
        <f t="shared" si="184"/>
        <v>Low</v>
      </c>
      <c r="BI48" s="110">
        <f t="shared" si="185"/>
        <v>0</v>
      </c>
      <c r="BJ48" s="83">
        <f>VLOOKUP($F48,REP_Info!$D$6:$H$250,5,FALSE)</f>
        <v>1.244</v>
      </c>
      <c r="BK48" s="30">
        <f t="shared" si="186"/>
        <v>14.149299999999998</v>
      </c>
      <c r="BL48" s="30">
        <f t="shared" si="186"/>
        <v>13.7433</v>
      </c>
      <c r="BM48" s="30">
        <f t="shared" si="186"/>
        <v>13.540299999999998</v>
      </c>
      <c r="BN48" s="29">
        <f t="shared" si="186"/>
        <v>13.472633333333331</v>
      </c>
      <c r="BO48" s="85" t="str">
        <f t="shared" si="187"/>
        <v>$$$</v>
      </c>
      <c r="BP48" s="88" t="str">
        <f t="shared" si="188"/>
        <v>$$$</v>
      </c>
      <c r="BQ48" s="88" t="str">
        <f t="shared" si="189"/>
        <v>$$$</v>
      </c>
      <c r="BR48" s="88" t="str">
        <f t="shared" si="190"/>
        <v>$$$</v>
      </c>
      <c r="BS48" s="29" t="e">
        <f t="shared" si="208"/>
        <v>#N/A</v>
      </c>
      <c r="BT48" s="29" t="e">
        <f t="shared" si="208"/>
        <v>#N/A</v>
      </c>
      <c r="BU48" s="29" t="e">
        <f t="shared" si="208"/>
        <v>#N/A</v>
      </c>
      <c r="BV48" s="29" t="e">
        <f t="shared" si="208"/>
        <v>#N/A</v>
      </c>
      <c r="BW48" s="29" t="e">
        <f t="shared" si="208"/>
        <v>#N/A</v>
      </c>
      <c r="BX48" s="29" t="e">
        <f t="shared" si="208"/>
        <v>#N/A</v>
      </c>
      <c r="BY48" s="29" t="e">
        <f t="shared" si="208"/>
        <v>#N/A</v>
      </c>
      <c r="BZ48" s="29" t="e">
        <f t="shared" si="208"/>
        <v>#N/A</v>
      </c>
      <c r="CA48" s="29" t="e">
        <f t="shared" si="208"/>
        <v>#N/A</v>
      </c>
      <c r="CB48" s="29" t="e">
        <f t="shared" si="208"/>
        <v>#N/A</v>
      </c>
      <c r="CC48" s="29" t="e">
        <f t="shared" si="208"/>
        <v>#N/A</v>
      </c>
      <c r="CD48" s="29" t="e">
        <f t="shared" si="208"/>
        <v>#N/A</v>
      </c>
      <c r="CE48" s="6" t="str">
        <f t="shared" si="7"/>
        <v/>
      </c>
      <c r="CF48" s="27" t="e">
        <f>IF(AND(CI48,NOT(AD48)),LOOKUP(CF$5,{0,750,1500},H48:J48),"")</f>
        <v>#N/A</v>
      </c>
      <c r="CG48" s="6" t="str">
        <f t="shared" si="8"/>
        <v/>
      </c>
      <c r="CH48" t="e">
        <f t="shared" si="192"/>
        <v>#N/A</v>
      </c>
      <c r="CI48" t="e">
        <f t="shared" si="193"/>
        <v>#N/A</v>
      </c>
      <c r="CJ48" s="6" t="e">
        <f t="shared" si="194"/>
        <v>#N/A</v>
      </c>
      <c r="CK48" s="6">
        <f t="shared" si="195"/>
        <v>1</v>
      </c>
      <c r="CL48" s="6">
        <f t="shared" si="196"/>
        <v>1</v>
      </c>
      <c r="CM48" s="6">
        <f t="shared" si="197"/>
        <v>1</v>
      </c>
      <c r="CN48" s="6">
        <f t="shared" si="198"/>
        <v>1</v>
      </c>
      <c r="CO48" s="6">
        <f t="shared" si="199"/>
        <v>1</v>
      </c>
      <c r="CP48" s="6">
        <f t="shared" si="200"/>
        <v>1</v>
      </c>
      <c r="CQ48" s="6">
        <f t="shared" si="201"/>
        <v>1</v>
      </c>
      <c r="CR48" s="81" t="str">
        <f t="shared" si="202"/>
        <v/>
      </c>
      <c r="CS48">
        <f t="shared" si="203"/>
        <v>0</v>
      </c>
      <c r="CT48">
        <f t="shared" si="204"/>
        <v>20</v>
      </c>
      <c r="CU48" t="str">
        <f t="shared" si="205"/>
        <v>rm</v>
      </c>
      <c r="CV48" s="81">
        <f t="shared" si="206"/>
        <v>240</v>
      </c>
      <c r="CW48" s="81">
        <f>(CV48/25)^1.5*(Calculator!$BU$4/10000)*CW$5</f>
        <v>15.468811984091507</v>
      </c>
      <c r="CX48" t="str">
        <f t="shared" si="207"/>
        <v>$20/rm</v>
      </c>
    </row>
    <row r="49" spans="2:102" x14ac:dyDescent="0.25">
      <c r="B49" s="115" t="s">
        <v>233</v>
      </c>
      <c r="C49" s="13">
        <v>46321.660416666666</v>
      </c>
      <c r="D49">
        <v>29439</v>
      </c>
      <c r="E49" s="54" t="s">
        <v>237</v>
      </c>
      <c r="F49" s="54" t="s">
        <v>355</v>
      </c>
      <c r="G49" s="54" t="s">
        <v>1682</v>
      </c>
      <c r="H49" s="55">
        <v>14.099999999999998</v>
      </c>
      <c r="I49" s="55">
        <v>13.700000000000001</v>
      </c>
      <c r="J49" s="55">
        <v>13.5</v>
      </c>
      <c r="K49" s="54"/>
      <c r="L49" s="56" t="b">
        <v>0</v>
      </c>
      <c r="M49" s="56" t="b">
        <v>0</v>
      </c>
      <c r="N49" s="54">
        <v>1</v>
      </c>
      <c r="O49" s="54" t="s">
        <v>228</v>
      </c>
      <c r="P49" s="54">
        <v>29</v>
      </c>
      <c r="Q49" s="54">
        <v>12</v>
      </c>
      <c r="R49" s="54" t="s">
        <v>356</v>
      </c>
      <c r="S49" s="54" t="s">
        <v>357</v>
      </c>
      <c r="T49" s="54" t="s">
        <v>361</v>
      </c>
      <c r="U49" s="54" t="s">
        <v>1674</v>
      </c>
      <c r="V49" s="54" t="s">
        <v>1685</v>
      </c>
      <c r="W49" s="54" t="b">
        <v>0</v>
      </c>
      <c r="X49" s="54"/>
      <c r="Y49" s="57" t="s">
        <v>1686</v>
      </c>
      <c r="Z49" s="54" t="s">
        <v>359</v>
      </c>
      <c r="AA49" s="54"/>
      <c r="AB49" s="54" t="s">
        <v>360</v>
      </c>
      <c r="AC49" s="56" t="b">
        <v>1</v>
      </c>
      <c r="AD49" s="56" t="b">
        <v>0</v>
      </c>
      <c r="AE49" s="54" t="s">
        <v>302</v>
      </c>
      <c r="AF49" s="58">
        <v>46321</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6.4339999999999994E-2</v>
      </c>
      <c r="BC49" s="60">
        <v>4.0599999999999996</v>
      </c>
      <c r="BD49" s="61">
        <v>6.8672999999999998E-2</v>
      </c>
      <c r="BE49" s="62" t="s">
        <v>293</v>
      </c>
      <c r="BF49" s="35">
        <f t="shared" si="183"/>
        <v>4.0600000000000005</v>
      </c>
      <c r="BG49" s="35">
        <f t="shared" si="183"/>
        <v>6.8672999999999998E-2</v>
      </c>
      <c r="BH49" s="35" t="str">
        <f t="shared" si="184"/>
        <v>Low</v>
      </c>
      <c r="BI49" s="110">
        <f t="shared" si="185"/>
        <v>0</v>
      </c>
      <c r="BJ49" s="83">
        <f>VLOOKUP($F49,REP_Info!$D$6:$H$250,5,FALSE)</f>
        <v>1.244</v>
      </c>
      <c r="BK49" s="30">
        <f t="shared" si="186"/>
        <v>14.113299999999997</v>
      </c>
      <c r="BL49" s="30">
        <f t="shared" si="186"/>
        <v>13.707299999999998</v>
      </c>
      <c r="BM49" s="30">
        <f t="shared" si="186"/>
        <v>13.504300000000001</v>
      </c>
      <c r="BN49" s="29">
        <f t="shared" si="186"/>
        <v>13.436633333333333</v>
      </c>
      <c r="BO49" s="85" t="str">
        <f t="shared" si="187"/>
        <v>$$$</v>
      </c>
      <c r="BP49" s="88" t="str">
        <f t="shared" si="188"/>
        <v>$$$</v>
      </c>
      <c r="BQ49" s="88" t="str">
        <f t="shared" si="189"/>
        <v>$$$</v>
      </c>
      <c r="BR49" s="88" t="str">
        <f t="shared" si="190"/>
        <v>$$$</v>
      </c>
      <c r="BS49" s="29" t="e">
        <f t="shared" si="208"/>
        <v>#N/A</v>
      </c>
      <c r="BT49" s="29" t="e">
        <f t="shared" si="208"/>
        <v>#N/A</v>
      </c>
      <c r="BU49" s="29" t="e">
        <f t="shared" si="208"/>
        <v>#N/A</v>
      </c>
      <c r="BV49" s="29" t="e">
        <f t="shared" si="208"/>
        <v>#N/A</v>
      </c>
      <c r="BW49" s="29" t="e">
        <f t="shared" si="208"/>
        <v>#N/A</v>
      </c>
      <c r="BX49" s="29" t="e">
        <f t="shared" si="208"/>
        <v>#N/A</v>
      </c>
      <c r="BY49" s="29" t="e">
        <f t="shared" si="208"/>
        <v>#N/A</v>
      </c>
      <c r="BZ49" s="29" t="e">
        <f t="shared" si="208"/>
        <v>#N/A</v>
      </c>
      <c r="CA49" s="29" t="e">
        <f t="shared" si="208"/>
        <v>#N/A</v>
      </c>
      <c r="CB49" s="29" t="e">
        <f t="shared" si="208"/>
        <v>#N/A</v>
      </c>
      <c r="CC49" s="29" t="e">
        <f t="shared" si="208"/>
        <v>#N/A</v>
      </c>
      <c r="CD49" s="29" t="e">
        <f t="shared" si="208"/>
        <v>#N/A</v>
      </c>
      <c r="CE49" s="6" t="str">
        <f t="shared" si="7"/>
        <v/>
      </c>
      <c r="CF49" s="27" t="e">
        <f>IF(AND(CI49,NOT(AD49)),LOOKUP(CF$5,{0,750,1500},H49:J49),"")</f>
        <v>#N/A</v>
      </c>
      <c r="CG49" s="6" t="str">
        <f t="shared" si="8"/>
        <v/>
      </c>
      <c r="CH49" t="e">
        <f t="shared" si="192"/>
        <v>#N/A</v>
      </c>
      <c r="CI49" t="e">
        <f t="shared" si="193"/>
        <v>#N/A</v>
      </c>
      <c r="CJ49" s="6" t="e">
        <f t="shared" si="194"/>
        <v>#N/A</v>
      </c>
      <c r="CK49" s="6">
        <f t="shared" si="195"/>
        <v>1</v>
      </c>
      <c r="CL49" s="6">
        <f t="shared" si="196"/>
        <v>1</v>
      </c>
      <c r="CM49" s="6">
        <f t="shared" si="197"/>
        <v>1</v>
      </c>
      <c r="CN49" s="6">
        <f t="shared" si="198"/>
        <v>1</v>
      </c>
      <c r="CO49" s="6">
        <f t="shared" si="199"/>
        <v>1</v>
      </c>
      <c r="CP49" s="6">
        <f t="shared" si="200"/>
        <v>1</v>
      </c>
      <c r="CQ49" s="6">
        <f t="shared" si="201"/>
        <v>1</v>
      </c>
      <c r="CR49" s="81" t="str">
        <f t="shared" si="202"/>
        <v/>
      </c>
      <c r="CS49">
        <f t="shared" si="203"/>
        <v>0</v>
      </c>
      <c r="CT49">
        <f t="shared" si="204"/>
        <v>20</v>
      </c>
      <c r="CU49" t="str">
        <f t="shared" si="205"/>
        <v>rm</v>
      </c>
      <c r="CV49" s="81">
        <f t="shared" si="206"/>
        <v>240</v>
      </c>
      <c r="CW49" s="81">
        <f>(CV49/25)^1.5*(Calculator!$BU$4/10000)*CW$5</f>
        <v>15.468811984091507</v>
      </c>
      <c r="CX49" t="str">
        <f t="shared" si="207"/>
        <v>$20/rm</v>
      </c>
    </row>
    <row r="50" spans="2:102" x14ac:dyDescent="0.25">
      <c r="B50" s="115" t="s">
        <v>233</v>
      </c>
      <c r="C50" s="13">
        <v>46321.660416666666</v>
      </c>
      <c r="D50">
        <v>29443</v>
      </c>
      <c r="E50" s="54" t="s">
        <v>237</v>
      </c>
      <c r="F50" s="54" t="s">
        <v>355</v>
      </c>
      <c r="G50" s="54" t="s">
        <v>1857</v>
      </c>
      <c r="H50" s="55">
        <v>14.299999999999999</v>
      </c>
      <c r="I50" s="55">
        <v>13.900000000000002</v>
      </c>
      <c r="J50" s="55">
        <v>13.700000000000001</v>
      </c>
      <c r="K50" s="54"/>
      <c r="L50" s="56" t="b">
        <v>0</v>
      </c>
      <c r="M50" s="56" t="b">
        <v>0</v>
      </c>
      <c r="N50" s="54">
        <v>1</v>
      </c>
      <c r="O50" s="54" t="s">
        <v>228</v>
      </c>
      <c r="P50" s="54">
        <v>29</v>
      </c>
      <c r="Q50" s="54">
        <v>24</v>
      </c>
      <c r="R50" s="54" t="s">
        <v>356</v>
      </c>
      <c r="S50" s="54" t="s">
        <v>357</v>
      </c>
      <c r="T50" s="54" t="s">
        <v>361</v>
      </c>
      <c r="U50" s="54" t="s">
        <v>1853</v>
      </c>
      <c r="V50" s="54" t="s">
        <v>1863</v>
      </c>
      <c r="W50" s="54" t="b">
        <v>0</v>
      </c>
      <c r="X50" s="54"/>
      <c r="Y50" s="57" t="s">
        <v>1864</v>
      </c>
      <c r="Z50" s="54" t="s">
        <v>359</v>
      </c>
      <c r="AA50" s="54"/>
      <c r="AB50" s="54" t="s">
        <v>360</v>
      </c>
      <c r="AC50" s="56" t="b">
        <v>1</v>
      </c>
      <c r="AD50" s="56" t="b">
        <v>0</v>
      </c>
      <c r="AE50" s="54" t="s">
        <v>302</v>
      </c>
      <c r="AF50" s="58">
        <v>46321</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6.6269999999999996E-2</v>
      </c>
      <c r="BC50" s="60">
        <v>4.0599999999999996</v>
      </c>
      <c r="BD50" s="61">
        <v>6.8672999999999998E-2</v>
      </c>
      <c r="BE50" s="62" t="s">
        <v>293</v>
      </c>
      <c r="BF50" s="35">
        <f t="shared" si="0"/>
        <v>4.0600000000000005</v>
      </c>
      <c r="BG50" s="35">
        <f t="shared" si="0"/>
        <v>6.8672999999999998E-2</v>
      </c>
      <c r="BH50" s="35" t="str">
        <f t="shared" ref="BH50:BH52" si="209">IF(ISTEXT(BE50),IF(AND(AV50=0,SUM(AN50:AQ50)=0),IF(AM50&lt;=0,IF(BE50="Y","Low","Flat"),"Med"),"High"),"?")</f>
        <v>Low</v>
      </c>
      <c r="BI50" s="110">
        <f t="shared" ref="BI50:BI52" si="210">IF(ISNUMBER(AH50),0*BI$5*SIN((EDATE($A$3,$Q50)-DATE(YEAR(EDATE($A$3,$Q50)),1,0)-BI$4)*2*PI()/365),"")</f>
        <v>0</v>
      </c>
      <c r="BJ50" s="83">
        <f>VLOOKUP($F50,REP_Info!$D$6:$H$250,5,FALSE)</f>
        <v>1.244</v>
      </c>
      <c r="BK50" s="30">
        <f t="shared" ref="BK50:BN52" si="211">IF(BK$7&gt;0,(LOOKUP(BK$7,$AH50:$AL50,$AM50:$AQ50)+IF($AG50="Y",SUMPRODUCT($AX50:$BB50-$AW50:$BA50,BK$7-$AR50:$AV50,N(BK$7&gt;$AR50:$AV50)),BK$7*LOOKUP(BK$7,$AR50:$AV50,$AX50:$BB50))+IF($BE50="Y",$BF50,$BC50)+BK$7*IF($BE50="Y",$BG50,$BD50))*100/BK$7,"")</f>
        <v>14.306299999999998</v>
      </c>
      <c r="BL50" s="30">
        <f t="shared" si="211"/>
        <v>13.9003</v>
      </c>
      <c r="BM50" s="30">
        <f t="shared" si="211"/>
        <v>13.6973</v>
      </c>
      <c r="BN50" s="29">
        <f t="shared" si="211"/>
        <v>13.629633333333334</v>
      </c>
      <c r="BO50" s="85" t="str">
        <f t="shared" si="2"/>
        <v>$$$</v>
      </c>
      <c r="BP50" s="88" t="str">
        <f t="shared" ref="BP50:BP52" si="212">IFERROR(BO50*100/BO$5,"$$$")</f>
        <v>$$$</v>
      </c>
      <c r="BQ50" s="88" t="str">
        <f t="shared" si="4"/>
        <v>$$$</v>
      </c>
      <c r="BR50" s="88" t="str">
        <f t="shared" si="5"/>
        <v>$$$</v>
      </c>
      <c r="BS50" s="29" t="e">
        <f t="shared" ref="BS50:CD52" si="213">IF($CI50,IF(BS$7&gt;0,IF(BS$4&gt;$Q50,$BF50+BS$7*(BS$5+$BG50+$BI50),LOOKUP(BS$7,$AH50:$AL50,$AM50:$AQ50)+IF($AG50="Y",SUMPRODUCT($AX50:$BB50-$AW50:$BA50,BS$7-$AR50:$AV50,N(BS$7&gt;$AR50:$AV50)),BS$7*LOOKUP(BS$7,$AR50:$AV50,$AX50:$BB50))+IF($BE50="Y",$BF50,$BC50)+BS$7*IF($BE50="Y",$BG50,$BD50))*100/BS$7,""),NA())</f>
        <v>#N/A</v>
      </c>
      <c r="BT50" s="29" t="e">
        <f t="shared" si="213"/>
        <v>#N/A</v>
      </c>
      <c r="BU50" s="29" t="e">
        <f t="shared" si="213"/>
        <v>#N/A</v>
      </c>
      <c r="BV50" s="29" t="e">
        <f t="shared" si="213"/>
        <v>#N/A</v>
      </c>
      <c r="BW50" s="29" t="e">
        <f t="shared" si="213"/>
        <v>#N/A</v>
      </c>
      <c r="BX50" s="29" t="e">
        <f t="shared" si="213"/>
        <v>#N/A</v>
      </c>
      <c r="BY50" s="29" t="e">
        <f t="shared" si="213"/>
        <v>#N/A</v>
      </c>
      <c r="BZ50" s="29" t="e">
        <f t="shared" si="213"/>
        <v>#N/A</v>
      </c>
      <c r="CA50" s="29" t="e">
        <f t="shared" si="213"/>
        <v>#N/A</v>
      </c>
      <c r="CB50" s="29" t="e">
        <f t="shared" si="213"/>
        <v>#N/A</v>
      </c>
      <c r="CC50" s="29" t="e">
        <f t="shared" si="213"/>
        <v>#N/A</v>
      </c>
      <c r="CD50" s="29" t="e">
        <f t="shared" si="213"/>
        <v>#N/A</v>
      </c>
      <c r="CE50" s="6" t="str">
        <f t="shared" si="7"/>
        <v/>
      </c>
      <c r="CF50" s="27" t="e">
        <f>IF(AND(CI50,NOT(AD50)),LOOKUP(CF$5,{0,750,1500},H50:J50),"")</f>
        <v>#N/A</v>
      </c>
      <c r="CG50" s="6" t="str">
        <f t="shared" si="8"/>
        <v/>
      </c>
      <c r="CH50" t="e">
        <f t="shared" ref="CH50:CH52" si="214">IF(CI50,IF(ISNUMBER(BO50),BO50,100000)+CV50/10000+IF(ISNUMBER(BJ50),BJ50,2)/10000-P50/100000+ROW()/10000000,"")</f>
        <v>#N/A</v>
      </c>
      <c r="CI50" t="e">
        <f t="shared" ref="CI50:CI52" si="215">PRODUCT(CJ50:CQ50)</f>
        <v>#N/A</v>
      </c>
      <c r="CJ50" s="6" t="e">
        <f t="shared" si="11"/>
        <v>#N/A</v>
      </c>
      <c r="CK50" s="6">
        <f t="shared" si="12"/>
        <v>1</v>
      </c>
      <c r="CL50" s="6">
        <f t="shared" si="26"/>
        <v>1</v>
      </c>
      <c r="CM50" s="6">
        <f t="shared" si="13"/>
        <v>1</v>
      </c>
      <c r="CN50" s="6">
        <f t="shared" si="14"/>
        <v>1</v>
      </c>
      <c r="CO50" s="6">
        <f t="shared" si="15"/>
        <v>0</v>
      </c>
      <c r="CP50" s="6">
        <f t="shared" si="16"/>
        <v>1</v>
      </c>
      <c r="CQ50" s="6">
        <f t="shared" ref="CQ50:CQ52" si="216">IF(CQ$5="Any",1,IF(AND(CQ$5="Med",AV50=0,SUM(AN50:AQ50)=0),1,IF(AND(CQ$5="Low",AV50=0,SUM(AN50:AQ50)=0,AM50=0),1,IF(AND(CQ$5="Flat",AV50=0,SUM(AN50:AQ50)=0,AM50=0,IFERROR(NOT(BE50="Y"),0)),1,0))))</f>
        <v>1</v>
      </c>
      <c r="CR50" s="81" t="str">
        <f t="shared" si="17"/>
        <v/>
      </c>
      <c r="CS50">
        <f t="shared" ref="CS50:CS52" si="217">CS$5*(12/(MIN(12,Q50))-1)</f>
        <v>0</v>
      </c>
      <c r="CT50">
        <f t="shared" si="19"/>
        <v>20</v>
      </c>
      <c r="CU50" t="str">
        <f t="shared" si="29"/>
        <v>rm</v>
      </c>
      <c r="CV50" s="81">
        <f t="shared" ref="CV50:CV52" si="218">CT50*IF(CU50="",1,Q50)</f>
        <v>480</v>
      </c>
      <c r="CW50" s="81">
        <f>(CV50/25)^1.5*(Calculator!$BU$4/10000)*CW$5</f>
        <v>43.752407403403353</v>
      </c>
      <c r="CX50" t="str">
        <f t="shared" ref="CX50:CX52" si="219">"$"&amp;IF(LEFT(CU50,1)="r",CT50&amp;"/"&amp;CU50,CV50)</f>
        <v>$20/rm</v>
      </c>
    </row>
    <row r="51" spans="2:102" x14ac:dyDescent="0.25">
      <c r="B51" s="115" t="s">
        <v>233</v>
      </c>
      <c r="C51" s="13">
        <v>46321.660416666666</v>
      </c>
      <c r="D51">
        <v>29471</v>
      </c>
      <c r="E51" s="54" t="s">
        <v>235</v>
      </c>
      <c r="F51" s="54" t="s">
        <v>355</v>
      </c>
      <c r="G51" s="54" t="s">
        <v>1860</v>
      </c>
      <c r="H51" s="55">
        <v>14.099999999999998</v>
      </c>
      <c r="I51" s="55">
        <v>13.600000000000001</v>
      </c>
      <c r="J51" s="55">
        <v>13.4</v>
      </c>
      <c r="K51" s="54"/>
      <c r="L51" s="56" t="b">
        <v>0</v>
      </c>
      <c r="M51" s="56" t="b">
        <v>0</v>
      </c>
      <c r="N51" s="54">
        <v>1</v>
      </c>
      <c r="O51" s="54" t="s">
        <v>228</v>
      </c>
      <c r="P51" s="54">
        <v>100</v>
      </c>
      <c r="Q51" s="54">
        <v>12</v>
      </c>
      <c r="R51" s="54" t="s">
        <v>356</v>
      </c>
      <c r="S51" s="54" t="s">
        <v>357</v>
      </c>
      <c r="T51" s="54" t="s">
        <v>358</v>
      </c>
      <c r="U51" s="54" t="s">
        <v>1855</v>
      </c>
      <c r="V51" s="54" t="s">
        <v>1865</v>
      </c>
      <c r="W51" s="54" t="b">
        <v>0</v>
      </c>
      <c r="X51" s="54"/>
      <c r="Y51" s="57" t="s">
        <v>1866</v>
      </c>
      <c r="Z51" s="54" t="s">
        <v>359</v>
      </c>
      <c r="AA51" s="54"/>
      <c r="AB51" s="54" t="s">
        <v>360</v>
      </c>
      <c r="AC51" s="56" t="b">
        <v>1</v>
      </c>
      <c r="AD51" s="56" t="b">
        <v>0</v>
      </c>
      <c r="AE51" s="54" t="s">
        <v>302</v>
      </c>
      <c r="AF51" s="58">
        <v>46321</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6.6030000000000005E-2</v>
      </c>
      <c r="BC51" s="60">
        <v>4.9000000000000004</v>
      </c>
      <c r="BD51" s="61">
        <v>6.5333000000000002E-2</v>
      </c>
      <c r="BE51" s="62" t="s">
        <v>293</v>
      </c>
      <c r="BF51" s="35">
        <f t="shared" si="0"/>
        <v>4.9000000000000004</v>
      </c>
      <c r="BG51" s="35">
        <f t="shared" si="0"/>
        <v>6.5333000000000002E-2</v>
      </c>
      <c r="BH51" s="35" t="str">
        <f t="shared" si="209"/>
        <v>Low</v>
      </c>
      <c r="BI51" s="110">
        <f t="shared" si="210"/>
        <v>0</v>
      </c>
      <c r="BJ51" s="83">
        <f>VLOOKUP($F51,REP_Info!$D$6:$H$250,5,FALSE)</f>
        <v>1.244</v>
      </c>
      <c r="BK51" s="30">
        <f t="shared" si="211"/>
        <v>14.116300000000001</v>
      </c>
      <c r="BL51" s="30">
        <f t="shared" si="211"/>
        <v>13.626300000000001</v>
      </c>
      <c r="BM51" s="30">
        <f t="shared" si="211"/>
        <v>13.3813</v>
      </c>
      <c r="BN51" s="29">
        <f t="shared" si="211"/>
        <v>13.299633333333334</v>
      </c>
      <c r="BO51" s="85" t="str">
        <f t="shared" si="2"/>
        <v>$$$</v>
      </c>
      <c r="BP51" s="88" t="str">
        <f t="shared" si="212"/>
        <v>$$$</v>
      </c>
      <c r="BQ51" s="88" t="str">
        <f t="shared" si="4"/>
        <v>$$$</v>
      </c>
      <c r="BR51" s="88" t="str">
        <f t="shared" si="5"/>
        <v>$$$</v>
      </c>
      <c r="BS51" s="29" t="e">
        <f t="shared" si="213"/>
        <v>#N/A</v>
      </c>
      <c r="BT51" s="29" t="e">
        <f t="shared" si="213"/>
        <v>#N/A</v>
      </c>
      <c r="BU51" s="29" t="e">
        <f t="shared" si="213"/>
        <v>#N/A</v>
      </c>
      <c r="BV51" s="29" t="e">
        <f t="shared" si="213"/>
        <v>#N/A</v>
      </c>
      <c r="BW51" s="29" t="e">
        <f t="shared" si="213"/>
        <v>#N/A</v>
      </c>
      <c r="BX51" s="29" t="e">
        <f t="shared" si="213"/>
        <v>#N/A</v>
      </c>
      <c r="BY51" s="29" t="e">
        <f t="shared" si="213"/>
        <v>#N/A</v>
      </c>
      <c r="BZ51" s="29" t="e">
        <f t="shared" si="213"/>
        <v>#N/A</v>
      </c>
      <c r="CA51" s="29" t="e">
        <f t="shared" si="213"/>
        <v>#N/A</v>
      </c>
      <c r="CB51" s="29" t="e">
        <f t="shared" si="213"/>
        <v>#N/A</v>
      </c>
      <c r="CC51" s="29" t="e">
        <f t="shared" si="213"/>
        <v>#N/A</v>
      </c>
      <c r="CD51" s="29" t="e">
        <f t="shared" si="213"/>
        <v>#N/A</v>
      </c>
      <c r="CE51" s="6" t="str">
        <f t="shared" si="7"/>
        <v/>
      </c>
      <c r="CF51" s="27" t="e">
        <f>IF(AND(CI51,NOT(AD51)),LOOKUP(CF$5,{0,750,1500},H51:J51),"")</f>
        <v>#N/A</v>
      </c>
      <c r="CG51" s="6" t="str">
        <f t="shared" si="8"/>
        <v/>
      </c>
      <c r="CH51" t="e">
        <f t="shared" si="214"/>
        <v>#N/A</v>
      </c>
      <c r="CI51" t="e">
        <f t="shared" si="215"/>
        <v>#N/A</v>
      </c>
      <c r="CJ51" s="6" t="e">
        <f t="shared" si="11"/>
        <v>#N/A</v>
      </c>
      <c r="CK51" s="6">
        <f t="shared" si="12"/>
        <v>1</v>
      </c>
      <c r="CL51" s="6">
        <f t="shared" si="26"/>
        <v>1</v>
      </c>
      <c r="CM51" s="6">
        <f t="shared" si="13"/>
        <v>1</v>
      </c>
      <c r="CN51" s="6">
        <f t="shared" si="14"/>
        <v>1</v>
      </c>
      <c r="CO51" s="6">
        <f t="shared" si="15"/>
        <v>1</v>
      </c>
      <c r="CP51" s="6">
        <f t="shared" si="16"/>
        <v>1</v>
      </c>
      <c r="CQ51" s="6">
        <f t="shared" si="216"/>
        <v>1</v>
      </c>
      <c r="CR51" s="81" t="str">
        <f t="shared" si="17"/>
        <v/>
      </c>
      <c r="CS51">
        <f t="shared" si="217"/>
        <v>0</v>
      </c>
      <c r="CT51">
        <f t="shared" si="19"/>
        <v>20</v>
      </c>
      <c r="CU51" t="str">
        <f t="shared" si="29"/>
        <v>rm</v>
      </c>
      <c r="CV51" s="81">
        <f t="shared" si="218"/>
        <v>240</v>
      </c>
      <c r="CW51" s="81">
        <f>(CV51/25)^1.5*(Calculator!$BU$4/10000)*CW$5</f>
        <v>15.468811984091507</v>
      </c>
      <c r="CX51" t="str">
        <f t="shared" si="219"/>
        <v>$20/rm</v>
      </c>
    </row>
    <row r="52" spans="2:102" x14ac:dyDescent="0.25">
      <c r="B52" s="115" t="s">
        <v>233</v>
      </c>
      <c r="C52" s="13">
        <v>46321.660416666666</v>
      </c>
      <c r="D52">
        <v>33089</v>
      </c>
      <c r="E52" s="54" t="s">
        <v>235</v>
      </c>
      <c r="F52" s="54" t="s">
        <v>355</v>
      </c>
      <c r="G52" s="54" t="s">
        <v>2262</v>
      </c>
      <c r="H52" s="55">
        <v>13.100000000000001</v>
      </c>
      <c r="I52" s="55">
        <v>12.6</v>
      </c>
      <c r="J52" s="55">
        <v>12.4</v>
      </c>
      <c r="K52" s="54"/>
      <c r="L52" s="56" t="b">
        <v>0</v>
      </c>
      <c r="M52" s="56" t="b">
        <v>0</v>
      </c>
      <c r="N52" s="54">
        <v>1</v>
      </c>
      <c r="O52" s="54" t="s">
        <v>228</v>
      </c>
      <c r="P52" s="54">
        <v>29</v>
      </c>
      <c r="Q52" s="54">
        <v>3</v>
      </c>
      <c r="R52" s="54" t="s">
        <v>356</v>
      </c>
      <c r="S52" s="54" t="s">
        <v>357</v>
      </c>
      <c r="T52" s="54" t="s">
        <v>358</v>
      </c>
      <c r="U52" s="54" t="s">
        <v>2247</v>
      </c>
      <c r="V52" s="54" t="s">
        <v>2263</v>
      </c>
      <c r="W52" s="54" t="b">
        <v>0</v>
      </c>
      <c r="X52" s="54"/>
      <c r="Y52" s="57" t="s">
        <v>2264</v>
      </c>
      <c r="Z52" s="54" t="s">
        <v>359</v>
      </c>
      <c r="AA52" s="54"/>
      <c r="AB52" s="54" t="s">
        <v>360</v>
      </c>
      <c r="AC52" s="56" t="b">
        <v>1</v>
      </c>
      <c r="AD52" s="56" t="b">
        <v>0</v>
      </c>
      <c r="AE52" s="54" t="s">
        <v>302</v>
      </c>
      <c r="AF52" s="58">
        <v>46321</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5.62E-2</v>
      </c>
      <c r="BC52" s="60">
        <v>4.9000000000000004</v>
      </c>
      <c r="BD52" s="61">
        <v>6.5333000000000002E-2</v>
      </c>
      <c r="BE52" s="62" t="s">
        <v>293</v>
      </c>
      <c r="BF52" s="35">
        <f t="shared" ref="BF52:BG52" si="220">IF($E52=$E$4,BF$4,IF($E52=$E$5,BF$5,""))</f>
        <v>4.9000000000000004</v>
      </c>
      <c r="BG52" s="35">
        <f t="shared" si="220"/>
        <v>6.5333000000000002E-2</v>
      </c>
      <c r="BH52" s="35" t="str">
        <f t="shared" si="209"/>
        <v>Low</v>
      </c>
      <c r="BI52" s="110">
        <f t="shared" si="210"/>
        <v>0</v>
      </c>
      <c r="BJ52" s="83">
        <f>VLOOKUP($F52,REP_Info!$D$6:$H$250,5,FALSE)</f>
        <v>1.244</v>
      </c>
      <c r="BK52" s="30">
        <f t="shared" si="211"/>
        <v>13.133299999999998</v>
      </c>
      <c r="BL52" s="30">
        <f t="shared" si="211"/>
        <v>12.6433</v>
      </c>
      <c r="BM52" s="30">
        <f t="shared" si="211"/>
        <v>12.398300000000001</v>
      </c>
      <c r="BN52" s="29">
        <f t="shared" si="211"/>
        <v>12.316633333333334</v>
      </c>
      <c r="BO52" s="85" t="str">
        <f t="shared" ref="BO52" si="221">IFERROR(SUMPRODUCT($BS$7:$CD$7,$BS52:$CD52)/100,"$$$")</f>
        <v>$$$</v>
      </c>
      <c r="BP52" s="88" t="str">
        <f t="shared" si="212"/>
        <v>$$$</v>
      </c>
      <c r="BQ52" s="88" t="str">
        <f t="shared" ref="BQ52" si="222">IFERROR(SUMPRODUCT($BS$7:$CD$7,$BS52:$CD52,--($BS$4:$CD$4&lt;=$Q52))/SUMPRODUCT(--($BS$4:$CD$4&lt;=$Q52),$BS$7:$CD$7),"$$$")</f>
        <v>$$$</v>
      </c>
      <c r="BR52" s="88" t="str">
        <f t="shared" ref="BR52" si="223">IFERROR($BQ52-$BF52*100*SUMPRODUCT(--($BS$4:$CD$4&lt;=$Q52))/SUMPRODUCT(--($BS$4:$CD$4&lt;=$Q52),$BS$7:$CD$7)-$BG52*100,"$$$")</f>
        <v>$$$</v>
      </c>
      <c r="BS52" s="29" t="e">
        <f t="shared" si="213"/>
        <v>#N/A</v>
      </c>
      <c r="BT52" s="29" t="e">
        <f t="shared" si="213"/>
        <v>#N/A</v>
      </c>
      <c r="BU52" s="29" t="e">
        <f t="shared" si="213"/>
        <v>#N/A</v>
      </c>
      <c r="BV52" s="29" t="e">
        <f t="shared" si="213"/>
        <v>#N/A</v>
      </c>
      <c r="BW52" s="29" t="e">
        <f t="shared" si="213"/>
        <v>#N/A</v>
      </c>
      <c r="BX52" s="29" t="e">
        <f t="shared" si="213"/>
        <v>#N/A</v>
      </c>
      <c r="BY52" s="29" t="e">
        <f t="shared" si="213"/>
        <v>#N/A</v>
      </c>
      <c r="BZ52" s="29" t="e">
        <f t="shared" si="213"/>
        <v>#N/A</v>
      </c>
      <c r="CA52" s="29" t="e">
        <f t="shared" si="213"/>
        <v>#N/A</v>
      </c>
      <c r="CB52" s="29" t="e">
        <f t="shared" si="213"/>
        <v>#N/A</v>
      </c>
      <c r="CC52" s="29" t="e">
        <f t="shared" si="213"/>
        <v>#N/A</v>
      </c>
      <c r="CD52" s="29" t="e">
        <f t="shared" si="213"/>
        <v>#N/A</v>
      </c>
      <c r="CE52" s="6" t="str">
        <f t="shared" si="7"/>
        <v/>
      </c>
      <c r="CF52" s="27" t="e">
        <f>IF(AND(CI52,NOT(AD52)),LOOKUP(CF$5,{0,750,1500},H52:J52),"")</f>
        <v>#N/A</v>
      </c>
      <c r="CG52" s="6" t="str">
        <f t="shared" si="8"/>
        <v/>
      </c>
      <c r="CH52" t="e">
        <f t="shared" si="214"/>
        <v>#N/A</v>
      </c>
      <c r="CI52" t="e">
        <f t="shared" si="215"/>
        <v>#N/A</v>
      </c>
      <c r="CJ52" s="6" t="e">
        <f t="shared" ref="CJ52" si="224">IF($E52=CJ$5,1,0)</f>
        <v>#N/A</v>
      </c>
      <c r="CK52" s="6">
        <f t="shared" ref="CK52" si="225">IF(CK$5="[Any]",1,IF($F52=CK$5,1,0))</f>
        <v>1</v>
      </c>
      <c r="CL52" s="6">
        <f t="shared" ref="CL52" si="226">IFERROR(--OR(ISBLANK(CL$5),$BJ52="",AND(ISNUMBER($BJ52),$BJ52&lt;=CL$5)),1)</f>
        <v>1</v>
      </c>
      <c r="CM52" s="6">
        <f t="shared" ref="CM52" si="227">IF($O52="Fixed",1,0)</f>
        <v>1</v>
      </c>
      <c r="CN52" s="6">
        <f t="shared" ref="CN52" si="228">IF($Q52&gt;=CN$5,1,0)</f>
        <v>0</v>
      </c>
      <c r="CO52" s="6">
        <f t="shared" ref="CO52" si="229">IF($Q52&lt;=CO$5,1,0)</f>
        <v>1</v>
      </c>
      <c r="CP52" s="6">
        <f t="shared" ref="CP52" si="230">IF($P52&gt;=CP$5,1,0)</f>
        <v>1</v>
      </c>
      <c r="CQ52" s="6">
        <f t="shared" si="216"/>
        <v>1</v>
      </c>
      <c r="CR52" s="81" t="str">
        <f t="shared" ref="CR52" si="231">IF(ISNUMBER($CH52),$CH52+$CS52+$CW52,"")</f>
        <v/>
      </c>
      <c r="CS52">
        <f t="shared" si="217"/>
        <v>54</v>
      </c>
      <c r="CT52">
        <f t="shared" si="19"/>
        <v>20</v>
      </c>
      <c r="CU52" t="str">
        <f t="shared" ref="CU52" si="232">IF(AND(ISERR(FIND("remain",$R52)),ISERR(FIND("left",$R52))),"","r")&amp;IF(ISERR(FIND("mon",$R52)),"","m")</f>
        <v>rm</v>
      </c>
      <c r="CV52" s="81">
        <f t="shared" si="218"/>
        <v>60</v>
      </c>
      <c r="CW52" s="81">
        <f>(CV52/25)^1.5*(Calculator!$BU$4/10000)*CW$5</f>
        <v>1.933601498011438</v>
      </c>
      <c r="CX52" t="str">
        <f t="shared" si="219"/>
        <v>$20/rm</v>
      </c>
    </row>
    <row r="53" spans="2:102" x14ac:dyDescent="0.25">
      <c r="B53" s="115" t="s">
        <v>233</v>
      </c>
      <c r="C53" s="13">
        <v>46321.660416666666</v>
      </c>
      <c r="D53">
        <v>33091</v>
      </c>
      <c r="E53" s="54" t="s">
        <v>237</v>
      </c>
      <c r="F53" s="54" t="s">
        <v>355</v>
      </c>
      <c r="G53" s="54" t="s">
        <v>2262</v>
      </c>
      <c r="H53" s="55">
        <v>13.100000000000001</v>
      </c>
      <c r="I53" s="55">
        <v>12.7</v>
      </c>
      <c r="J53" s="55">
        <v>12.5</v>
      </c>
      <c r="K53" s="54"/>
      <c r="L53" s="56" t="b">
        <v>0</v>
      </c>
      <c r="M53" s="56" t="b">
        <v>0</v>
      </c>
      <c r="N53" s="54">
        <v>1</v>
      </c>
      <c r="O53" s="54" t="s">
        <v>228</v>
      </c>
      <c r="P53" s="54">
        <v>29</v>
      </c>
      <c r="Q53" s="54">
        <v>3</v>
      </c>
      <c r="R53" s="54" t="s">
        <v>356</v>
      </c>
      <c r="S53" s="54" t="s">
        <v>357</v>
      </c>
      <c r="T53" s="54" t="s">
        <v>361</v>
      </c>
      <c r="U53" s="54" t="s">
        <v>2245</v>
      </c>
      <c r="V53" s="54" t="s">
        <v>2265</v>
      </c>
      <c r="W53" s="54" t="b">
        <v>0</v>
      </c>
      <c r="X53" s="54"/>
      <c r="Y53" s="57" t="s">
        <v>2266</v>
      </c>
      <c r="Z53" s="54" t="s">
        <v>359</v>
      </c>
      <c r="AA53" s="54"/>
      <c r="AB53" s="54" t="s">
        <v>360</v>
      </c>
      <c r="AC53" s="56" t="b">
        <v>1</v>
      </c>
      <c r="AD53" s="56" t="b">
        <v>0</v>
      </c>
      <c r="AE53" s="54" t="s">
        <v>302</v>
      </c>
      <c r="AF53" s="58">
        <v>46321</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5.4199999999999998E-2</v>
      </c>
      <c r="BC53" s="60">
        <v>4.0599999999999996</v>
      </c>
      <c r="BD53" s="61">
        <v>6.8672999999999998E-2</v>
      </c>
      <c r="BE53" s="62" t="s">
        <v>293</v>
      </c>
      <c r="BF53" s="35">
        <f t="shared" si="0"/>
        <v>4.0600000000000005</v>
      </c>
      <c r="BG53" s="35">
        <f t="shared" si="0"/>
        <v>6.8672999999999998E-2</v>
      </c>
      <c r="BH53" s="35" t="str">
        <f t="shared" ref="BH53:BH54" si="233">IF(ISTEXT(BE53),IF(AND(AV53=0,SUM(AN53:AQ53)=0),IF(AM53&lt;=0,IF(BE53="Y","Low","Flat"),"Med"),"High"),"?")</f>
        <v>Low</v>
      </c>
      <c r="BI53" s="110">
        <f t="shared" ref="BI53:BI54" si="234">IF(ISNUMBER(AH53),0*BI$5*SIN((EDATE($A$3,$Q53)-DATE(YEAR(EDATE($A$3,$Q53)),1,0)-BI$4)*2*PI()/365),"")</f>
        <v>0</v>
      </c>
      <c r="BJ53" s="83">
        <f>VLOOKUP($F53,REP_Info!$D$6:$H$250,5,FALSE)</f>
        <v>1.244</v>
      </c>
      <c r="BK53" s="30">
        <f t="shared" ref="BK53:BN54" si="235">IF(BK$7&gt;0,(LOOKUP(BK$7,$AH53:$AL53,$AM53:$AQ53)+IF($AG53="Y",SUMPRODUCT($AX53:$BB53-$AW53:$BA53,BK$7-$AR53:$AV53,N(BK$7&gt;$AR53:$AV53)),BK$7*LOOKUP(BK$7,$AR53:$AV53,$AX53:$BB53))+IF($BE53="Y",$BF53,$BC53)+BK$7*IF($BE53="Y",$BG53,$BD53))*100/BK$7,"")</f>
        <v>13.099299999999999</v>
      </c>
      <c r="BL53" s="30">
        <f t="shared" si="235"/>
        <v>12.693299999999999</v>
      </c>
      <c r="BM53" s="30">
        <f t="shared" si="235"/>
        <v>12.4903</v>
      </c>
      <c r="BN53" s="29">
        <f t="shared" si="235"/>
        <v>12.422633333333332</v>
      </c>
      <c r="BO53" s="85" t="str">
        <f t="shared" si="2"/>
        <v>$$$</v>
      </c>
      <c r="BP53" s="88" t="str">
        <f t="shared" ref="BP53:BP54" si="236">IFERROR(BO53*100/BO$5,"$$$")</f>
        <v>$$$</v>
      </c>
      <c r="BQ53" s="88" t="str">
        <f t="shared" si="4"/>
        <v>$$$</v>
      </c>
      <c r="BR53" s="88" t="str">
        <f t="shared" si="5"/>
        <v>$$$</v>
      </c>
      <c r="BS53" s="29" t="e">
        <f t="shared" ref="BS53:CD54" si="237">IF($CI53,IF(BS$7&gt;0,IF(BS$4&gt;$Q53,$BF53+BS$7*(BS$5+$BG53+$BI53),LOOKUP(BS$7,$AH53:$AL53,$AM53:$AQ53)+IF($AG53="Y",SUMPRODUCT($AX53:$BB53-$AW53:$BA53,BS$7-$AR53:$AV53,N(BS$7&gt;$AR53:$AV53)),BS$7*LOOKUP(BS$7,$AR53:$AV53,$AX53:$BB53))+IF($BE53="Y",$BF53,$BC53)+BS$7*IF($BE53="Y",$BG53,$BD53))*100/BS$7,""),NA())</f>
        <v>#N/A</v>
      </c>
      <c r="BT53" s="29" t="e">
        <f t="shared" si="237"/>
        <v>#N/A</v>
      </c>
      <c r="BU53" s="29" t="e">
        <f t="shared" si="237"/>
        <v>#N/A</v>
      </c>
      <c r="BV53" s="29" t="e">
        <f t="shared" si="237"/>
        <v>#N/A</v>
      </c>
      <c r="BW53" s="29" t="e">
        <f t="shared" si="237"/>
        <v>#N/A</v>
      </c>
      <c r="BX53" s="29" t="e">
        <f t="shared" si="237"/>
        <v>#N/A</v>
      </c>
      <c r="BY53" s="29" t="e">
        <f t="shared" si="237"/>
        <v>#N/A</v>
      </c>
      <c r="BZ53" s="29" t="e">
        <f t="shared" si="237"/>
        <v>#N/A</v>
      </c>
      <c r="CA53" s="29" t="e">
        <f t="shared" si="237"/>
        <v>#N/A</v>
      </c>
      <c r="CB53" s="29" t="e">
        <f t="shared" si="237"/>
        <v>#N/A</v>
      </c>
      <c r="CC53" s="29" t="e">
        <f t="shared" si="237"/>
        <v>#N/A</v>
      </c>
      <c r="CD53" s="29" t="e">
        <f t="shared" si="237"/>
        <v>#N/A</v>
      </c>
      <c r="CE53" s="6" t="str">
        <f t="shared" si="7"/>
        <v/>
      </c>
      <c r="CF53" s="27" t="e">
        <f>IF(AND(CI53,NOT(AD53)),LOOKUP(CF$5,{0,750,1500},H53:J53),"")</f>
        <v>#N/A</v>
      </c>
      <c r="CG53" s="6" t="str">
        <f t="shared" si="8"/>
        <v/>
      </c>
      <c r="CH53" t="e">
        <f t="shared" ref="CH53:CH54" si="238">IF(CI53,IF(ISNUMBER(BO53),BO53,100000)+CV53/10000+IF(ISNUMBER(BJ53),BJ53,2)/10000-P53/100000+ROW()/10000000,"")</f>
        <v>#N/A</v>
      </c>
      <c r="CI53" t="e">
        <f t="shared" ref="CI53:CI54" si="239">PRODUCT(CJ53:CQ53)</f>
        <v>#N/A</v>
      </c>
      <c r="CJ53" s="6" t="e">
        <f t="shared" si="11"/>
        <v>#N/A</v>
      </c>
      <c r="CK53" s="6">
        <f t="shared" si="12"/>
        <v>1</v>
      </c>
      <c r="CL53" s="6">
        <f t="shared" si="26"/>
        <v>1</v>
      </c>
      <c r="CM53" s="6">
        <f t="shared" si="13"/>
        <v>1</v>
      </c>
      <c r="CN53" s="6">
        <f t="shared" si="14"/>
        <v>0</v>
      </c>
      <c r="CO53" s="6">
        <f t="shared" si="15"/>
        <v>1</v>
      </c>
      <c r="CP53" s="6">
        <f t="shared" si="16"/>
        <v>1</v>
      </c>
      <c r="CQ53" s="6">
        <f t="shared" ref="CQ53:CQ54" si="240">IF(CQ$5="Any",1,IF(AND(CQ$5="Med",AV53=0,SUM(AN53:AQ53)=0),1,IF(AND(CQ$5="Low",AV53=0,SUM(AN53:AQ53)=0,AM53=0),1,IF(AND(CQ$5="Flat",AV53=0,SUM(AN53:AQ53)=0,AM53=0,IFERROR(NOT(BE53="Y"),0)),1,0))))</f>
        <v>1</v>
      </c>
      <c r="CR53" s="81" t="str">
        <f t="shared" si="17"/>
        <v/>
      </c>
      <c r="CS53">
        <f t="shared" ref="CS53:CS54" si="241">CS$5*(12/(MIN(12,Q53))-1)</f>
        <v>54</v>
      </c>
      <c r="CT53">
        <f t="shared" si="19"/>
        <v>20</v>
      </c>
      <c r="CU53" t="str">
        <f t="shared" si="29"/>
        <v>rm</v>
      </c>
      <c r="CV53" s="81">
        <f t="shared" ref="CV53:CV54" si="242">CT53*IF(CU53="",1,Q53)</f>
        <v>60</v>
      </c>
      <c r="CW53" s="81">
        <f>(CV53/25)^1.5*(Calculator!$BU$4/10000)*CW$5</f>
        <v>1.933601498011438</v>
      </c>
      <c r="CX53" t="str">
        <f t="shared" ref="CX53:CX54" si="243">"$"&amp;IF(LEFT(CU53,1)="r",CT53&amp;"/"&amp;CU53,CV53)</f>
        <v>$20/rm</v>
      </c>
    </row>
    <row r="54" spans="2:102" x14ac:dyDescent="0.25">
      <c r="B54" s="115" t="s">
        <v>233</v>
      </c>
      <c r="C54" s="13">
        <v>46321.660416666666</v>
      </c>
      <c r="D54">
        <v>35400</v>
      </c>
      <c r="E54" s="54" t="s">
        <v>235</v>
      </c>
      <c r="F54" s="54" t="s">
        <v>355</v>
      </c>
      <c r="G54" s="54" t="s">
        <v>1646</v>
      </c>
      <c r="H54" s="55">
        <v>13.3</v>
      </c>
      <c r="I54" s="55">
        <v>12.8</v>
      </c>
      <c r="J54" s="55">
        <v>12.6</v>
      </c>
      <c r="K54" s="54"/>
      <c r="L54" s="56" t="b">
        <v>0</v>
      </c>
      <c r="M54" s="56" t="b">
        <v>0</v>
      </c>
      <c r="N54" s="54">
        <v>1</v>
      </c>
      <c r="O54" s="54" t="s">
        <v>228</v>
      </c>
      <c r="P54" s="54">
        <v>29</v>
      </c>
      <c r="Q54" s="54">
        <v>9</v>
      </c>
      <c r="R54" s="54" t="s">
        <v>356</v>
      </c>
      <c r="S54" s="54" t="s">
        <v>362</v>
      </c>
      <c r="T54" s="54" t="s">
        <v>358</v>
      </c>
      <c r="U54" s="54" t="s">
        <v>1644</v>
      </c>
      <c r="V54" s="54" t="s">
        <v>1647</v>
      </c>
      <c r="W54" s="54" t="b">
        <v>0</v>
      </c>
      <c r="X54" s="54"/>
      <c r="Y54" s="57" t="s">
        <v>1648</v>
      </c>
      <c r="Z54" s="54" t="s">
        <v>359</v>
      </c>
      <c r="AA54" s="54"/>
      <c r="AB54" s="54" t="s">
        <v>360</v>
      </c>
      <c r="AC54" s="56" t="b">
        <v>1</v>
      </c>
      <c r="AD54" s="56" t="b">
        <v>0</v>
      </c>
      <c r="AE54" s="54" t="s">
        <v>302</v>
      </c>
      <c r="AF54" s="58">
        <v>46321</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5.781E-2</v>
      </c>
      <c r="BC54" s="60">
        <v>4.9000000000000004</v>
      </c>
      <c r="BD54" s="61">
        <v>6.5333000000000002E-2</v>
      </c>
      <c r="BE54" s="62" t="s">
        <v>293</v>
      </c>
      <c r="BF54" s="35">
        <f t="shared" si="0"/>
        <v>4.9000000000000004</v>
      </c>
      <c r="BG54" s="35">
        <f t="shared" si="0"/>
        <v>6.5333000000000002E-2</v>
      </c>
      <c r="BH54" s="35" t="str">
        <f t="shared" si="233"/>
        <v>Low</v>
      </c>
      <c r="BI54" s="110">
        <f t="shared" si="234"/>
        <v>0</v>
      </c>
      <c r="BJ54" s="83">
        <f>VLOOKUP($F54,REP_Info!$D$6:$H$250,5,FALSE)</f>
        <v>1.244</v>
      </c>
      <c r="BK54" s="30">
        <f t="shared" si="235"/>
        <v>13.2943</v>
      </c>
      <c r="BL54" s="30">
        <f t="shared" si="235"/>
        <v>12.804300000000001</v>
      </c>
      <c r="BM54" s="30">
        <f t="shared" si="235"/>
        <v>12.5593</v>
      </c>
      <c r="BN54" s="29">
        <f t="shared" si="235"/>
        <v>12.477633333333333</v>
      </c>
      <c r="BO54" s="85" t="str">
        <f t="shared" si="2"/>
        <v>$$$</v>
      </c>
      <c r="BP54" s="88" t="str">
        <f t="shared" si="236"/>
        <v>$$$</v>
      </c>
      <c r="BQ54" s="88" t="str">
        <f t="shared" si="4"/>
        <v>$$$</v>
      </c>
      <c r="BR54" s="88" t="str">
        <f t="shared" si="5"/>
        <v>$$$</v>
      </c>
      <c r="BS54" s="29" t="e">
        <f t="shared" si="237"/>
        <v>#N/A</v>
      </c>
      <c r="BT54" s="29" t="e">
        <f t="shared" si="237"/>
        <v>#N/A</v>
      </c>
      <c r="BU54" s="29" t="e">
        <f t="shared" si="237"/>
        <v>#N/A</v>
      </c>
      <c r="BV54" s="29" t="e">
        <f t="shared" si="237"/>
        <v>#N/A</v>
      </c>
      <c r="BW54" s="29" t="e">
        <f t="shared" si="237"/>
        <v>#N/A</v>
      </c>
      <c r="BX54" s="29" t="e">
        <f t="shared" si="237"/>
        <v>#N/A</v>
      </c>
      <c r="BY54" s="29" t="e">
        <f t="shared" si="237"/>
        <v>#N/A</v>
      </c>
      <c r="BZ54" s="29" t="e">
        <f t="shared" si="237"/>
        <v>#N/A</v>
      </c>
      <c r="CA54" s="29" t="e">
        <f t="shared" si="237"/>
        <v>#N/A</v>
      </c>
      <c r="CB54" s="29" t="e">
        <f t="shared" si="237"/>
        <v>#N/A</v>
      </c>
      <c r="CC54" s="29" t="e">
        <f t="shared" si="237"/>
        <v>#N/A</v>
      </c>
      <c r="CD54" s="29" t="e">
        <f t="shared" si="237"/>
        <v>#N/A</v>
      </c>
      <c r="CE54" s="6" t="str">
        <f t="shared" si="7"/>
        <v/>
      </c>
      <c r="CF54" s="27" t="e">
        <f>IF(AND(CI54,NOT(AD54)),LOOKUP(CF$5,{0,750,1500},H54:J54),"")</f>
        <v>#N/A</v>
      </c>
      <c r="CG54" s="6" t="str">
        <f t="shared" si="8"/>
        <v/>
      </c>
      <c r="CH54" t="e">
        <f t="shared" si="238"/>
        <v>#N/A</v>
      </c>
      <c r="CI54" t="e">
        <f t="shared" si="239"/>
        <v>#N/A</v>
      </c>
      <c r="CJ54" s="6" t="e">
        <f t="shared" si="11"/>
        <v>#N/A</v>
      </c>
      <c r="CK54" s="6">
        <f t="shared" si="12"/>
        <v>1</v>
      </c>
      <c r="CL54" s="6">
        <f t="shared" si="26"/>
        <v>1</v>
      </c>
      <c r="CM54" s="6">
        <f t="shared" si="13"/>
        <v>1</v>
      </c>
      <c r="CN54" s="6">
        <f t="shared" si="14"/>
        <v>0</v>
      </c>
      <c r="CO54" s="6">
        <f t="shared" si="15"/>
        <v>1</v>
      </c>
      <c r="CP54" s="6">
        <f t="shared" si="16"/>
        <v>1</v>
      </c>
      <c r="CQ54" s="6">
        <f t="shared" si="240"/>
        <v>1</v>
      </c>
      <c r="CR54" s="81" t="str">
        <f t="shared" si="17"/>
        <v/>
      </c>
      <c r="CS54">
        <f t="shared" si="241"/>
        <v>5.9999999999999982</v>
      </c>
      <c r="CT54">
        <f t="shared" si="19"/>
        <v>20</v>
      </c>
      <c r="CU54" t="str">
        <f t="shared" si="29"/>
        <v>rm</v>
      </c>
      <c r="CV54" s="81">
        <f t="shared" si="242"/>
        <v>180</v>
      </c>
      <c r="CW54" s="81">
        <f>(CV54/25)^1.5*(Calculator!$BU$4/10000)*CW$5</f>
        <v>10.047288108441309</v>
      </c>
      <c r="CX54" t="str">
        <f t="shared" si="243"/>
        <v>$20/rm</v>
      </c>
    </row>
    <row r="55" spans="2:102" x14ac:dyDescent="0.25">
      <c r="B55" s="115" t="s">
        <v>233</v>
      </c>
      <c r="C55" s="13">
        <v>46321.660416666666</v>
      </c>
      <c r="D55">
        <v>35404</v>
      </c>
      <c r="E55" s="54" t="s">
        <v>237</v>
      </c>
      <c r="F55" s="54" t="s">
        <v>355</v>
      </c>
      <c r="G55" s="54" t="s">
        <v>1646</v>
      </c>
      <c r="H55" s="55">
        <v>13.3</v>
      </c>
      <c r="I55" s="55">
        <v>12.9</v>
      </c>
      <c r="J55" s="55">
        <v>12.7</v>
      </c>
      <c r="K55" s="54"/>
      <c r="L55" s="56" t="b">
        <v>0</v>
      </c>
      <c r="M55" s="56" t="b">
        <v>0</v>
      </c>
      <c r="N55" s="54">
        <v>1</v>
      </c>
      <c r="O55" s="54" t="s">
        <v>228</v>
      </c>
      <c r="P55" s="54">
        <v>29</v>
      </c>
      <c r="Q55" s="54">
        <v>9</v>
      </c>
      <c r="R55" s="54" t="s">
        <v>356</v>
      </c>
      <c r="S55" s="54" t="s">
        <v>362</v>
      </c>
      <c r="T55" s="54" t="s">
        <v>361</v>
      </c>
      <c r="U55" s="54" t="s">
        <v>1645</v>
      </c>
      <c r="V55" s="54" t="s">
        <v>1649</v>
      </c>
      <c r="W55" s="54" t="b">
        <v>0</v>
      </c>
      <c r="X55" s="54"/>
      <c r="Y55" s="57" t="s">
        <v>1650</v>
      </c>
      <c r="Z55" s="54" t="s">
        <v>359</v>
      </c>
      <c r="AA55" s="54"/>
      <c r="AB55" s="54" t="s">
        <v>360</v>
      </c>
      <c r="AC55" s="56" t="b">
        <v>1</v>
      </c>
      <c r="AD55" s="56" t="b">
        <v>0</v>
      </c>
      <c r="AE55" s="54" t="s">
        <v>302</v>
      </c>
      <c r="AF55" s="58">
        <v>46321</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5.6349999999999997E-2</v>
      </c>
      <c r="BC55" s="60">
        <v>4.0599999999999996</v>
      </c>
      <c r="BD55" s="61">
        <v>6.8672999999999998E-2</v>
      </c>
      <c r="BE55" s="62" t="s">
        <v>293</v>
      </c>
      <c r="BF55" s="35">
        <f t="shared" si="0"/>
        <v>4.0600000000000005</v>
      </c>
      <c r="BG55" s="35">
        <f t="shared" si="0"/>
        <v>6.8672999999999998E-2</v>
      </c>
      <c r="BH55" s="35" t="str">
        <f t="shared" ref="BH55:BH56" si="244">IF(ISTEXT(BE55),IF(AND(AV55=0,SUM(AN55:AQ55)=0),IF(AM55&lt;=0,IF(BE55="Y","Low","Flat"),"Med"),"High"),"?")</f>
        <v>Low</v>
      </c>
      <c r="BI55" s="110">
        <f t="shared" ref="BI55:BI56" si="245">IF(ISNUMBER(AH55),0*BI$5*SIN((EDATE($A$3,$Q55)-DATE(YEAR(EDATE($A$3,$Q55)),1,0)-BI$4)*2*PI()/365),"")</f>
        <v>0</v>
      </c>
      <c r="BJ55" s="83">
        <f>VLOOKUP($F55,REP_Info!$D$6:$H$250,5,FALSE)</f>
        <v>1.244</v>
      </c>
      <c r="BK55" s="30">
        <f t="shared" ref="BK55:BN56" si="246">IF(BK$7&gt;0,(LOOKUP(BK$7,$AH55:$AL55,$AM55:$AQ55)+IF($AG55="Y",SUMPRODUCT($AX55:$BB55-$AW55:$BA55,BK$7-$AR55:$AV55,N(BK$7&gt;$AR55:$AV55)),BK$7*LOOKUP(BK$7,$AR55:$AV55,$AX55:$BB55))+IF($BE55="Y",$BF55,$BC55)+BK$7*IF($BE55="Y",$BG55,$BD55))*100/BK$7,"")</f>
        <v>13.314299999999999</v>
      </c>
      <c r="BL55" s="30">
        <f t="shared" si="246"/>
        <v>12.908299999999999</v>
      </c>
      <c r="BM55" s="30">
        <f t="shared" si="246"/>
        <v>12.705299999999999</v>
      </c>
      <c r="BN55" s="29">
        <f t="shared" si="246"/>
        <v>12.637633333333333</v>
      </c>
      <c r="BO55" s="85" t="str">
        <f t="shared" si="2"/>
        <v>$$$</v>
      </c>
      <c r="BP55" s="88" t="str">
        <f t="shared" ref="BP55:BP56" si="247">IFERROR(BO55*100/BO$5,"$$$")</f>
        <v>$$$</v>
      </c>
      <c r="BQ55" s="88" t="str">
        <f t="shared" si="4"/>
        <v>$$$</v>
      </c>
      <c r="BR55" s="88" t="str">
        <f t="shared" si="5"/>
        <v>$$$</v>
      </c>
      <c r="BS55" s="29" t="e">
        <f t="shared" ref="BS55:CD56" si="248">IF($CI55,IF(BS$7&gt;0,IF(BS$4&gt;$Q55,$BF55+BS$7*(BS$5+$BG55+$BI55),LOOKUP(BS$7,$AH55:$AL55,$AM55:$AQ55)+IF($AG55="Y",SUMPRODUCT($AX55:$BB55-$AW55:$BA55,BS$7-$AR55:$AV55,N(BS$7&gt;$AR55:$AV55)),BS$7*LOOKUP(BS$7,$AR55:$AV55,$AX55:$BB55))+IF($BE55="Y",$BF55,$BC55)+BS$7*IF($BE55="Y",$BG55,$BD55))*100/BS$7,""),NA())</f>
        <v>#N/A</v>
      </c>
      <c r="BT55" s="29" t="e">
        <f t="shared" si="248"/>
        <v>#N/A</v>
      </c>
      <c r="BU55" s="29" t="e">
        <f t="shared" si="248"/>
        <v>#N/A</v>
      </c>
      <c r="BV55" s="29" t="e">
        <f t="shared" si="248"/>
        <v>#N/A</v>
      </c>
      <c r="BW55" s="29" t="e">
        <f t="shared" si="248"/>
        <v>#N/A</v>
      </c>
      <c r="BX55" s="29" t="e">
        <f t="shared" si="248"/>
        <v>#N/A</v>
      </c>
      <c r="BY55" s="29" t="e">
        <f t="shared" si="248"/>
        <v>#N/A</v>
      </c>
      <c r="BZ55" s="29" t="e">
        <f t="shared" si="248"/>
        <v>#N/A</v>
      </c>
      <c r="CA55" s="29" t="e">
        <f t="shared" si="248"/>
        <v>#N/A</v>
      </c>
      <c r="CB55" s="29" t="e">
        <f t="shared" si="248"/>
        <v>#N/A</v>
      </c>
      <c r="CC55" s="29" t="e">
        <f t="shared" si="248"/>
        <v>#N/A</v>
      </c>
      <c r="CD55" s="29" t="e">
        <f t="shared" si="248"/>
        <v>#N/A</v>
      </c>
      <c r="CE55" s="6" t="str">
        <f t="shared" si="7"/>
        <v/>
      </c>
      <c r="CF55" s="27" t="e">
        <f>IF(AND(CI55,NOT(AD55)),LOOKUP(CF$5,{0,750,1500},H55:J55),"")</f>
        <v>#N/A</v>
      </c>
      <c r="CG55" s="6" t="str">
        <f t="shared" si="8"/>
        <v/>
      </c>
      <c r="CH55" t="e">
        <f t="shared" ref="CH55:CH56" si="249">IF(CI55,IF(ISNUMBER(BO55),BO55,100000)+CV55/10000+IF(ISNUMBER(BJ55),BJ55,2)/10000-P55/100000+ROW()/10000000,"")</f>
        <v>#N/A</v>
      </c>
      <c r="CI55" t="e">
        <f t="shared" ref="CI55:CI56" si="250">PRODUCT(CJ55:CQ55)</f>
        <v>#N/A</v>
      </c>
      <c r="CJ55" s="6" t="e">
        <f t="shared" si="11"/>
        <v>#N/A</v>
      </c>
      <c r="CK55" s="6">
        <f t="shared" si="12"/>
        <v>1</v>
      </c>
      <c r="CL55" s="6">
        <f t="shared" si="26"/>
        <v>1</v>
      </c>
      <c r="CM55" s="6">
        <f t="shared" si="13"/>
        <v>1</v>
      </c>
      <c r="CN55" s="6">
        <f t="shared" si="14"/>
        <v>0</v>
      </c>
      <c r="CO55" s="6">
        <f t="shared" si="15"/>
        <v>1</v>
      </c>
      <c r="CP55" s="6">
        <f t="shared" si="16"/>
        <v>1</v>
      </c>
      <c r="CQ55" s="6">
        <f t="shared" ref="CQ55:CQ56" si="251">IF(CQ$5="Any",1,IF(AND(CQ$5="Med",AV55=0,SUM(AN55:AQ55)=0),1,IF(AND(CQ$5="Low",AV55=0,SUM(AN55:AQ55)=0,AM55=0),1,IF(AND(CQ$5="Flat",AV55=0,SUM(AN55:AQ55)=0,AM55=0,IFERROR(NOT(BE55="Y"),0)),1,0))))</f>
        <v>1</v>
      </c>
      <c r="CR55" s="81" t="str">
        <f t="shared" si="17"/>
        <v/>
      </c>
      <c r="CS55">
        <f t="shared" ref="CS55:CS56" si="252">CS$5*(12/(MIN(12,Q55))-1)</f>
        <v>5.9999999999999982</v>
      </c>
      <c r="CT55">
        <f t="shared" si="19"/>
        <v>20</v>
      </c>
      <c r="CU55" t="str">
        <f t="shared" si="29"/>
        <v>rm</v>
      </c>
      <c r="CV55" s="81">
        <f t="shared" ref="CV55:CV56" si="253">CT55*IF(CU55="",1,Q55)</f>
        <v>180</v>
      </c>
      <c r="CW55" s="81">
        <f>(CV55/25)^1.5*(Calculator!$BU$4/10000)*CW$5</f>
        <v>10.047288108441309</v>
      </c>
      <c r="CX55" t="str">
        <f t="shared" ref="CX55:CX56" si="254">"$"&amp;IF(LEFT(CU55,1)="r",CT55&amp;"/"&amp;CU55,CV55)</f>
        <v>$20/rm</v>
      </c>
    </row>
    <row r="56" spans="2:102" x14ac:dyDescent="0.25">
      <c r="B56" s="115" t="s">
        <v>233</v>
      </c>
      <c r="C56" s="13">
        <v>46321.660416666666</v>
      </c>
      <c r="D56">
        <v>34369</v>
      </c>
      <c r="E56" s="54" t="s">
        <v>235</v>
      </c>
      <c r="F56" s="54" t="s">
        <v>364</v>
      </c>
      <c r="G56" s="54" t="s">
        <v>2002</v>
      </c>
      <c r="H56" s="55">
        <v>12.9</v>
      </c>
      <c r="I56" s="55">
        <v>12.4</v>
      </c>
      <c r="J56" s="55">
        <v>12.2</v>
      </c>
      <c r="K56" s="54"/>
      <c r="L56" s="56" t="b">
        <v>0</v>
      </c>
      <c r="M56" s="56" t="b">
        <v>0</v>
      </c>
      <c r="N56" s="54">
        <v>1</v>
      </c>
      <c r="O56" s="54" t="s">
        <v>228</v>
      </c>
      <c r="P56" s="54">
        <v>24</v>
      </c>
      <c r="Q56" s="54">
        <v>12</v>
      </c>
      <c r="R56" s="54">
        <v>100</v>
      </c>
      <c r="S56" s="54" t="s">
        <v>2003</v>
      </c>
      <c r="T56" s="54" t="s">
        <v>2004</v>
      </c>
      <c r="U56" s="54" t="s">
        <v>2248</v>
      </c>
      <c r="V56" s="54" t="s">
        <v>2267</v>
      </c>
      <c r="W56" s="54" t="b">
        <v>0</v>
      </c>
      <c r="X56" s="54"/>
      <c r="Y56" s="57" t="s">
        <v>2268</v>
      </c>
      <c r="Z56" s="54" t="s">
        <v>2005</v>
      </c>
      <c r="AA56" s="54"/>
      <c r="AB56" s="54" t="s">
        <v>2006</v>
      </c>
      <c r="AC56" s="56" t="b">
        <v>1</v>
      </c>
      <c r="AD56" s="56" t="b">
        <v>0</v>
      </c>
      <c r="AE56" s="54" t="s">
        <v>302</v>
      </c>
      <c r="AF56" s="58">
        <v>46321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5.4210000000000001E-2</v>
      </c>
      <c r="BC56" s="60">
        <v>4.9000000000000004</v>
      </c>
      <c r="BD56" s="61">
        <v>6.5329999999999999E-2</v>
      </c>
      <c r="BE56" s="62" t="s">
        <v>293</v>
      </c>
      <c r="BF56" s="35">
        <f t="shared" si="0"/>
        <v>4.9000000000000004</v>
      </c>
      <c r="BG56" s="35">
        <f t="shared" si="0"/>
        <v>6.5333000000000002E-2</v>
      </c>
      <c r="BH56" s="35" t="str">
        <f t="shared" si="244"/>
        <v>Low</v>
      </c>
      <c r="BI56" s="110">
        <f t="shared" si="245"/>
        <v>0</v>
      </c>
      <c r="BJ56" s="83">
        <f>VLOOKUP($F56,REP_Info!$D$6:$H$250,5,FALSE)</f>
        <v>1.9810000000000001</v>
      </c>
      <c r="BK56" s="30">
        <f t="shared" si="246"/>
        <v>12.9343</v>
      </c>
      <c r="BL56" s="30">
        <f t="shared" si="246"/>
        <v>12.4443</v>
      </c>
      <c r="BM56" s="30">
        <f t="shared" si="246"/>
        <v>12.199299999999999</v>
      </c>
      <c r="BN56" s="29">
        <f t="shared" si="246"/>
        <v>12.117633333333334</v>
      </c>
      <c r="BO56" s="85" t="str">
        <f t="shared" si="2"/>
        <v>$$$</v>
      </c>
      <c r="BP56" s="88" t="str">
        <f t="shared" si="247"/>
        <v>$$$</v>
      </c>
      <c r="BQ56" s="88" t="str">
        <f t="shared" si="4"/>
        <v>$$$</v>
      </c>
      <c r="BR56" s="88" t="str">
        <f t="shared" si="5"/>
        <v>$$$</v>
      </c>
      <c r="BS56" s="29" t="e">
        <f t="shared" si="248"/>
        <v>#N/A</v>
      </c>
      <c r="BT56" s="29" t="e">
        <f t="shared" si="248"/>
        <v>#N/A</v>
      </c>
      <c r="BU56" s="29" t="e">
        <f t="shared" si="248"/>
        <v>#N/A</v>
      </c>
      <c r="BV56" s="29" t="e">
        <f t="shared" si="248"/>
        <v>#N/A</v>
      </c>
      <c r="BW56" s="29" t="e">
        <f t="shared" si="248"/>
        <v>#N/A</v>
      </c>
      <c r="BX56" s="29" t="e">
        <f t="shared" si="248"/>
        <v>#N/A</v>
      </c>
      <c r="BY56" s="29" t="e">
        <f t="shared" si="248"/>
        <v>#N/A</v>
      </c>
      <c r="BZ56" s="29" t="e">
        <f t="shared" si="248"/>
        <v>#N/A</v>
      </c>
      <c r="CA56" s="29" t="e">
        <f t="shared" si="248"/>
        <v>#N/A</v>
      </c>
      <c r="CB56" s="29" t="e">
        <f t="shared" si="248"/>
        <v>#N/A</v>
      </c>
      <c r="CC56" s="29" t="e">
        <f t="shared" si="248"/>
        <v>#N/A</v>
      </c>
      <c r="CD56" s="29" t="e">
        <f t="shared" si="248"/>
        <v>#N/A</v>
      </c>
      <c r="CE56" s="6" t="str">
        <f t="shared" si="7"/>
        <v/>
      </c>
      <c r="CF56" s="27" t="e">
        <f>IF(AND(CI56,NOT(AD56)),LOOKUP(CF$5,{0,750,1500},H56:J56),"")</f>
        <v>#N/A</v>
      </c>
      <c r="CG56" s="6" t="str">
        <f t="shared" si="8"/>
        <v/>
      </c>
      <c r="CH56" t="e">
        <f t="shared" si="249"/>
        <v>#N/A</v>
      </c>
      <c r="CI56" t="e">
        <f t="shared" si="250"/>
        <v>#N/A</v>
      </c>
      <c r="CJ56" s="6" t="e">
        <f t="shared" si="11"/>
        <v>#N/A</v>
      </c>
      <c r="CK56" s="6">
        <f t="shared" si="12"/>
        <v>1</v>
      </c>
      <c r="CL56" s="6">
        <f t="shared" si="26"/>
        <v>1</v>
      </c>
      <c r="CM56" s="6">
        <f t="shared" si="13"/>
        <v>1</v>
      </c>
      <c r="CN56" s="6">
        <f t="shared" si="14"/>
        <v>1</v>
      </c>
      <c r="CO56" s="6">
        <f t="shared" si="15"/>
        <v>1</v>
      </c>
      <c r="CP56" s="6">
        <f t="shared" si="16"/>
        <v>1</v>
      </c>
      <c r="CQ56" s="6">
        <f t="shared" si="251"/>
        <v>1</v>
      </c>
      <c r="CR56" s="81" t="str">
        <f t="shared" si="17"/>
        <v/>
      </c>
      <c r="CS56">
        <f t="shared" si="252"/>
        <v>0</v>
      </c>
      <c r="CT56">
        <f t="shared" si="19"/>
        <v>100</v>
      </c>
      <c r="CU56" t="str">
        <f t="shared" si="29"/>
        <v/>
      </c>
      <c r="CV56" s="81">
        <f t="shared" si="253"/>
        <v>100</v>
      </c>
      <c r="CW56" s="81">
        <f>(CV56/25)^1.5*(Calculator!$BU$4/10000)*CW$5</f>
        <v>4.1604480000000077</v>
      </c>
      <c r="CX56" t="str">
        <f t="shared" si="254"/>
        <v>$100</v>
      </c>
    </row>
    <row r="57" spans="2:102" x14ac:dyDescent="0.25">
      <c r="B57" s="115" t="s">
        <v>233</v>
      </c>
      <c r="C57" s="13">
        <v>46316.611111111109</v>
      </c>
      <c r="D57">
        <v>34387</v>
      </c>
      <c r="E57" s="54" t="s">
        <v>235</v>
      </c>
      <c r="F57" s="54" t="s">
        <v>364</v>
      </c>
      <c r="G57" s="54" t="s">
        <v>2007</v>
      </c>
      <c r="H57" s="55">
        <v>13.200000000000001</v>
      </c>
      <c r="I57" s="55">
        <v>12.7</v>
      </c>
      <c r="J57" s="55">
        <v>12.5</v>
      </c>
      <c r="K57" s="54"/>
      <c r="L57" s="56" t="b">
        <v>0</v>
      </c>
      <c r="M57" s="56" t="b">
        <v>0</v>
      </c>
      <c r="N57" s="54">
        <v>1</v>
      </c>
      <c r="O57" s="54" t="s">
        <v>228</v>
      </c>
      <c r="P57" s="54">
        <v>24</v>
      </c>
      <c r="Q57" s="54">
        <v>24</v>
      </c>
      <c r="R57" s="54">
        <v>150</v>
      </c>
      <c r="S57" s="54" t="s">
        <v>2003</v>
      </c>
      <c r="T57" s="54" t="s">
        <v>2004</v>
      </c>
      <c r="U57" s="54" t="s">
        <v>2099</v>
      </c>
      <c r="V57" s="54" t="s">
        <v>2108</v>
      </c>
      <c r="W57" s="54" t="b">
        <v>0</v>
      </c>
      <c r="X57" s="54"/>
      <c r="Y57" s="57" t="s">
        <v>2109</v>
      </c>
      <c r="Z57" s="54" t="s">
        <v>2008</v>
      </c>
      <c r="AA57" s="54"/>
      <c r="AB57" s="54" t="s">
        <v>2006</v>
      </c>
      <c r="AC57" s="56" t="b">
        <v>1</v>
      </c>
      <c r="AD57" s="56" t="b">
        <v>0</v>
      </c>
      <c r="AE57" s="54" t="s">
        <v>302</v>
      </c>
      <c r="AF57" s="58">
        <v>46316</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5.7209999999999997E-2</v>
      </c>
      <c r="BC57" s="60">
        <v>4.9000000000000004</v>
      </c>
      <c r="BD57" s="61">
        <v>6.5329999999999999E-2</v>
      </c>
      <c r="BE57" s="62" t="s">
        <v>293</v>
      </c>
      <c r="BF57" s="35">
        <f t="shared" ref="BF57:BG67" si="255">IF($E57=$E$4,BF$4,IF($E57=$E$5,BF$5,""))</f>
        <v>4.9000000000000004</v>
      </c>
      <c r="BG57" s="35">
        <f t="shared" si="255"/>
        <v>6.5333000000000002E-2</v>
      </c>
      <c r="BH57" s="35" t="str">
        <f t="shared" ref="BH57:BH67" si="256">IF(ISTEXT(BE57),IF(AND(AV57=0,SUM(AN57:AQ57)=0),IF(AM57&lt;=0,IF(BE57="Y","Low","Flat"),"Med"),"High"),"?")</f>
        <v>Low</v>
      </c>
      <c r="BI57" s="110">
        <f t="shared" ref="BI57:BI67" si="257">IF(ISNUMBER(AH57),0*BI$5*SIN((EDATE($A$3,$Q57)-DATE(YEAR(EDATE($A$3,$Q57)),1,0)-BI$4)*2*PI()/365),"")</f>
        <v>0</v>
      </c>
      <c r="BJ57" s="83">
        <f>VLOOKUP($F57,REP_Info!$D$6:$H$250,5,FALSE)</f>
        <v>1.9810000000000001</v>
      </c>
      <c r="BK57" s="30">
        <f t="shared" ref="BK57:BN67" si="258">IF(BK$7&gt;0,(LOOKUP(BK$7,$AH57:$AL57,$AM57:$AQ57)+IF($AG57="Y",SUMPRODUCT($AX57:$BB57-$AW57:$BA57,BK$7-$AR57:$AV57,N(BK$7&gt;$AR57:$AV57)),BK$7*LOOKUP(BK$7,$AR57:$AV57,$AX57:$BB57))+IF($BE57="Y",$BF57,$BC57)+BK$7*IF($BE57="Y",$BG57,$BD57))*100/BK$7,"")</f>
        <v>13.234299999999999</v>
      </c>
      <c r="BL57" s="30">
        <f t="shared" si="258"/>
        <v>12.744299999999999</v>
      </c>
      <c r="BM57" s="30">
        <f t="shared" si="258"/>
        <v>12.4993</v>
      </c>
      <c r="BN57" s="29">
        <f t="shared" si="258"/>
        <v>12.417633333333335</v>
      </c>
      <c r="BO57" s="85" t="str">
        <f t="shared" ref="BO57:BO67" si="259">IFERROR(SUMPRODUCT($BS$7:$CD$7,$BS57:$CD57)/100,"$$$")</f>
        <v>$$$</v>
      </c>
      <c r="BP57" s="88" t="str">
        <f t="shared" ref="BP57:BP67" si="260">IFERROR(BO57*100/BO$5,"$$$")</f>
        <v>$$$</v>
      </c>
      <c r="BQ57" s="88" t="str">
        <f t="shared" ref="BQ57:BQ67" si="261">IFERROR(SUMPRODUCT($BS$7:$CD$7,$BS57:$CD57,--($BS$4:$CD$4&lt;=$Q57))/SUMPRODUCT(--($BS$4:$CD$4&lt;=$Q57),$BS$7:$CD$7),"$$$")</f>
        <v>$$$</v>
      </c>
      <c r="BR57" s="88" t="str">
        <f t="shared" ref="BR57:BR67" si="262">IFERROR($BQ57-$BF57*100*SUMPRODUCT(--($BS$4:$CD$4&lt;=$Q57))/SUMPRODUCT(--($BS$4:$CD$4&lt;=$Q57),$BS$7:$CD$7)-$BG57*100,"$$$")</f>
        <v>$$$</v>
      </c>
      <c r="BS57" s="29" t="e">
        <f t="shared" ref="BS57:CD65" si="263">IF($CI57,IF(BS$7&gt;0,IF(BS$4&gt;$Q57,$BF57+BS$7*(BS$5+$BG57+$BI57),LOOKUP(BS$7,$AH57:$AL57,$AM57:$AQ57)+IF($AG57="Y",SUMPRODUCT($AX57:$BB57-$AW57:$BA57,BS$7-$AR57:$AV57,N(BS$7&gt;$AR57:$AV57)),BS$7*LOOKUP(BS$7,$AR57:$AV57,$AX57:$BB57))+IF($BE57="Y",$BF57,$BC57)+BS$7*IF($BE57="Y",$BG57,$BD57))*100/BS$7,""),NA())</f>
        <v>#N/A</v>
      </c>
      <c r="BT57" s="29" t="e">
        <f t="shared" si="263"/>
        <v>#N/A</v>
      </c>
      <c r="BU57" s="29" t="e">
        <f t="shared" si="263"/>
        <v>#N/A</v>
      </c>
      <c r="BV57" s="29" t="e">
        <f t="shared" si="263"/>
        <v>#N/A</v>
      </c>
      <c r="BW57" s="29" t="e">
        <f t="shared" si="263"/>
        <v>#N/A</v>
      </c>
      <c r="BX57" s="29" t="e">
        <f t="shared" si="263"/>
        <v>#N/A</v>
      </c>
      <c r="BY57" s="29" t="e">
        <f t="shared" si="263"/>
        <v>#N/A</v>
      </c>
      <c r="BZ57" s="29" t="e">
        <f t="shared" si="263"/>
        <v>#N/A</v>
      </c>
      <c r="CA57" s="29" t="e">
        <f t="shared" si="263"/>
        <v>#N/A</v>
      </c>
      <c r="CB57" s="29" t="e">
        <f t="shared" si="263"/>
        <v>#N/A</v>
      </c>
      <c r="CC57" s="29" t="e">
        <f t="shared" si="263"/>
        <v>#N/A</v>
      </c>
      <c r="CD57" s="29" t="e">
        <f t="shared" si="263"/>
        <v>#N/A</v>
      </c>
      <c r="CE57" s="6" t="str">
        <f t="shared" si="7"/>
        <v/>
      </c>
      <c r="CF57" s="27" t="e">
        <f>IF(AND(CI57,NOT(AD57)),LOOKUP(CF$5,{0,750,1500},H57:J57),"")</f>
        <v>#N/A</v>
      </c>
      <c r="CG57" s="6" t="str">
        <f t="shared" si="8"/>
        <v/>
      </c>
      <c r="CH57" t="e">
        <f t="shared" ref="CH57:CH67" si="264">IF(CI57,IF(ISNUMBER(BO57),BO57,100000)+CV57/10000+IF(ISNUMBER(BJ57),BJ57,2)/10000-P57/100000+ROW()/10000000,"")</f>
        <v>#N/A</v>
      </c>
      <c r="CI57" t="e">
        <f t="shared" ref="CI57:CI67" si="265">PRODUCT(CJ57:CQ57)</f>
        <v>#N/A</v>
      </c>
      <c r="CJ57" s="6" t="e">
        <f t="shared" ref="CJ57:CJ67" si="266">IF($E57=CJ$5,1,0)</f>
        <v>#N/A</v>
      </c>
      <c r="CK57" s="6">
        <f t="shared" ref="CK57:CK67" si="267">IF(CK$5="[Any]",1,IF($F57=CK$5,1,0))</f>
        <v>1</v>
      </c>
      <c r="CL57" s="6">
        <f t="shared" ref="CL57:CL67" si="268">IFERROR(--OR(ISBLANK(CL$5),$BJ57="",AND(ISNUMBER($BJ57),$BJ57&lt;=CL$5)),1)</f>
        <v>1</v>
      </c>
      <c r="CM57" s="6">
        <f t="shared" ref="CM57:CM67" si="269">IF($O57="Fixed",1,0)</f>
        <v>1</v>
      </c>
      <c r="CN57" s="6">
        <f t="shared" ref="CN57:CN67" si="270">IF($Q57&gt;=CN$5,1,0)</f>
        <v>1</v>
      </c>
      <c r="CO57" s="6">
        <f t="shared" ref="CO57:CO67" si="271">IF($Q57&lt;=CO$5,1,0)</f>
        <v>0</v>
      </c>
      <c r="CP57" s="6">
        <f t="shared" ref="CP57:CP67" si="272">IF($P57&gt;=CP$5,1,0)</f>
        <v>1</v>
      </c>
      <c r="CQ57" s="6">
        <f t="shared" ref="CQ57:CQ67" si="273">IF(CQ$5="Any",1,IF(AND(CQ$5="Med",AV57=0,SUM(AN57:AQ57)=0),1,IF(AND(CQ$5="Low",AV57=0,SUM(AN57:AQ57)=0,AM57=0),1,IF(AND(CQ$5="Flat",AV57=0,SUM(AN57:AQ57)=0,AM57=0,IFERROR(NOT(BE57="Y"),0)),1,0))))</f>
        <v>1</v>
      </c>
      <c r="CR57" s="81" t="str">
        <f t="shared" ref="CR57:CR67" si="274">IF(ISNUMBER($CH57),$CH57+$CS57+$CW57,"")</f>
        <v/>
      </c>
      <c r="CS57">
        <f t="shared" ref="CS57:CS67" si="275">CS$5*(12/(MIN(12,Q57))-1)</f>
        <v>0</v>
      </c>
      <c r="CT57">
        <f t="shared" si="19"/>
        <v>150</v>
      </c>
      <c r="CU57" t="str">
        <f t="shared" ref="CU57:CU67" si="276">IF(AND(ISERR(FIND("remain",$R57)),ISERR(FIND("left",$R57))),"","r")&amp;IF(ISERR(FIND("mon",$R57)),"","m")</f>
        <v/>
      </c>
      <c r="CV57" s="81">
        <f t="shared" ref="CV57:CV67" si="277">CT57*IF(CU57="",1,Q57)</f>
        <v>150</v>
      </c>
      <c r="CW57" s="81">
        <f>(CV57/25)^1.5*(Calculator!$BU$4/10000)*CW$5</f>
        <v>7.6432310260371077</v>
      </c>
      <c r="CX57" t="str">
        <f t="shared" ref="CX57:CX67" si="278">"$"&amp;IF(LEFT(CU57,1)="r",CT57&amp;"/"&amp;CU57,CV57)</f>
        <v>$150</v>
      </c>
    </row>
    <row r="58" spans="2:102" x14ac:dyDescent="0.25">
      <c r="B58" s="115" t="s">
        <v>233</v>
      </c>
      <c r="C58" s="13">
        <v>46321.660416666666</v>
      </c>
      <c r="D58">
        <v>34388</v>
      </c>
      <c r="E58" s="54" t="s">
        <v>235</v>
      </c>
      <c r="F58" s="54" t="s">
        <v>364</v>
      </c>
      <c r="G58" s="54" t="s">
        <v>2009</v>
      </c>
      <c r="H58" s="55">
        <v>13.5</v>
      </c>
      <c r="I58" s="55">
        <v>13</v>
      </c>
      <c r="J58" s="55">
        <v>12.8</v>
      </c>
      <c r="K58" s="54"/>
      <c r="L58" s="56" t="b">
        <v>0</v>
      </c>
      <c r="M58" s="56" t="b">
        <v>0</v>
      </c>
      <c r="N58" s="54">
        <v>1</v>
      </c>
      <c r="O58" s="54" t="s">
        <v>228</v>
      </c>
      <c r="P58" s="54">
        <v>24</v>
      </c>
      <c r="Q58" s="54">
        <v>36</v>
      </c>
      <c r="R58" s="54">
        <v>200</v>
      </c>
      <c r="S58" s="54" t="s">
        <v>2003</v>
      </c>
      <c r="T58" s="54" t="s">
        <v>2004</v>
      </c>
      <c r="U58" s="54" t="s">
        <v>2249</v>
      </c>
      <c r="V58" s="54" t="s">
        <v>2269</v>
      </c>
      <c r="W58" s="54" t="b">
        <v>0</v>
      </c>
      <c r="X58" s="54"/>
      <c r="Y58" s="57" t="s">
        <v>2270</v>
      </c>
      <c r="Z58" s="54" t="s">
        <v>2010</v>
      </c>
      <c r="AA58" s="54"/>
      <c r="AB58" s="54" t="s">
        <v>2006</v>
      </c>
      <c r="AC58" s="56" t="b">
        <v>1</v>
      </c>
      <c r="AD58" s="56" t="b">
        <v>0</v>
      </c>
      <c r="AE58" s="54" t="s">
        <v>302</v>
      </c>
      <c r="AF58" s="58">
        <v>46321</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6.021E-2</v>
      </c>
      <c r="BC58" s="60">
        <v>4.9000000000000004</v>
      </c>
      <c r="BD58" s="61">
        <v>6.5329999999999999E-2</v>
      </c>
      <c r="BE58" s="62" t="s">
        <v>293</v>
      </c>
      <c r="BF58" s="35">
        <f t="shared" si="255"/>
        <v>4.9000000000000004</v>
      </c>
      <c r="BG58" s="35">
        <f t="shared" si="255"/>
        <v>6.5333000000000002E-2</v>
      </c>
      <c r="BH58" s="35" t="str">
        <f t="shared" si="256"/>
        <v>Low</v>
      </c>
      <c r="BI58" s="110">
        <f t="shared" si="257"/>
        <v>0</v>
      </c>
      <c r="BJ58" s="83">
        <f>VLOOKUP($F58,REP_Info!$D$6:$H$250,5,FALSE)</f>
        <v>1.9810000000000001</v>
      </c>
      <c r="BK58" s="30">
        <f t="shared" si="258"/>
        <v>13.534300000000002</v>
      </c>
      <c r="BL58" s="30">
        <f t="shared" si="258"/>
        <v>13.0443</v>
      </c>
      <c r="BM58" s="30">
        <f t="shared" si="258"/>
        <v>12.799299999999999</v>
      </c>
      <c r="BN58" s="29">
        <f t="shared" si="258"/>
        <v>12.717633333333334</v>
      </c>
      <c r="BO58" s="85" t="str">
        <f t="shared" si="259"/>
        <v>$$$</v>
      </c>
      <c r="BP58" s="88" t="str">
        <f t="shared" si="260"/>
        <v>$$$</v>
      </c>
      <c r="BQ58" s="88" t="str">
        <f t="shared" si="261"/>
        <v>$$$</v>
      </c>
      <c r="BR58" s="88" t="str">
        <f t="shared" si="262"/>
        <v>$$$</v>
      </c>
      <c r="BS58" s="29" t="e">
        <f t="shared" si="263"/>
        <v>#N/A</v>
      </c>
      <c r="BT58" s="29" t="e">
        <f t="shared" si="263"/>
        <v>#N/A</v>
      </c>
      <c r="BU58" s="29" t="e">
        <f t="shared" si="263"/>
        <v>#N/A</v>
      </c>
      <c r="BV58" s="29" t="e">
        <f t="shared" si="263"/>
        <v>#N/A</v>
      </c>
      <c r="BW58" s="29" t="e">
        <f t="shared" si="263"/>
        <v>#N/A</v>
      </c>
      <c r="BX58" s="29" t="e">
        <f t="shared" si="263"/>
        <v>#N/A</v>
      </c>
      <c r="BY58" s="29" t="e">
        <f t="shared" si="263"/>
        <v>#N/A</v>
      </c>
      <c r="BZ58" s="29" t="e">
        <f t="shared" si="263"/>
        <v>#N/A</v>
      </c>
      <c r="CA58" s="29" t="e">
        <f t="shared" si="263"/>
        <v>#N/A</v>
      </c>
      <c r="CB58" s="29" t="e">
        <f t="shared" si="263"/>
        <v>#N/A</v>
      </c>
      <c r="CC58" s="29" t="e">
        <f t="shared" si="263"/>
        <v>#N/A</v>
      </c>
      <c r="CD58" s="29" t="e">
        <f t="shared" si="263"/>
        <v>#N/A</v>
      </c>
      <c r="CE58" s="6" t="str">
        <f t="shared" si="7"/>
        <v/>
      </c>
      <c r="CF58" s="27" t="e">
        <f>IF(AND(CI58,NOT(AD58)),LOOKUP(CF$5,{0,750,1500},H58:J58),"")</f>
        <v>#N/A</v>
      </c>
      <c r="CG58" s="6" t="str">
        <f t="shared" si="8"/>
        <v/>
      </c>
      <c r="CH58" t="e">
        <f t="shared" si="264"/>
        <v>#N/A</v>
      </c>
      <c r="CI58" t="e">
        <f t="shared" si="265"/>
        <v>#N/A</v>
      </c>
      <c r="CJ58" s="6" t="e">
        <f t="shared" si="266"/>
        <v>#N/A</v>
      </c>
      <c r="CK58" s="6">
        <f t="shared" si="267"/>
        <v>1</v>
      </c>
      <c r="CL58" s="6">
        <f t="shared" si="268"/>
        <v>1</v>
      </c>
      <c r="CM58" s="6">
        <f t="shared" si="269"/>
        <v>1</v>
      </c>
      <c r="CN58" s="6">
        <f t="shared" si="270"/>
        <v>1</v>
      </c>
      <c r="CO58" s="6">
        <f t="shared" si="271"/>
        <v>0</v>
      </c>
      <c r="CP58" s="6">
        <f t="shared" si="272"/>
        <v>1</v>
      </c>
      <c r="CQ58" s="6">
        <f t="shared" si="273"/>
        <v>1</v>
      </c>
      <c r="CR58" s="81" t="str">
        <f t="shared" si="274"/>
        <v/>
      </c>
      <c r="CS58">
        <f t="shared" si="275"/>
        <v>0</v>
      </c>
      <c r="CT58">
        <f t="shared" si="19"/>
        <v>200</v>
      </c>
      <c r="CU58" t="str">
        <f t="shared" si="276"/>
        <v/>
      </c>
      <c r="CV58" s="81">
        <f t="shared" si="277"/>
        <v>200</v>
      </c>
      <c r="CW58" s="81">
        <f>(CV58/25)^1.5*(Calculator!$BU$4/10000)*CW$5</f>
        <v>11.767523974296054</v>
      </c>
      <c r="CX58" t="str">
        <f t="shared" si="278"/>
        <v>$200</v>
      </c>
    </row>
    <row r="59" spans="2:102" x14ac:dyDescent="0.25">
      <c r="B59" s="115" t="s">
        <v>233</v>
      </c>
      <c r="C59" s="13">
        <v>46321.660416666666</v>
      </c>
      <c r="D59">
        <v>34389</v>
      </c>
      <c r="E59" s="54" t="s">
        <v>235</v>
      </c>
      <c r="F59" s="54" t="s">
        <v>364</v>
      </c>
      <c r="G59" s="54" t="s">
        <v>2011</v>
      </c>
      <c r="H59" s="55">
        <v>12.8</v>
      </c>
      <c r="I59" s="55">
        <v>12.3</v>
      </c>
      <c r="J59" s="55">
        <v>12.1</v>
      </c>
      <c r="K59" s="54"/>
      <c r="L59" s="56" t="b">
        <v>0</v>
      </c>
      <c r="M59" s="56" t="b">
        <v>0</v>
      </c>
      <c r="N59" s="54">
        <v>1</v>
      </c>
      <c r="O59" s="54" t="s">
        <v>228</v>
      </c>
      <c r="P59" s="54">
        <v>24</v>
      </c>
      <c r="Q59" s="54">
        <v>18</v>
      </c>
      <c r="R59" s="54">
        <v>125</v>
      </c>
      <c r="S59" s="54" t="s">
        <v>2003</v>
      </c>
      <c r="T59" s="54"/>
      <c r="U59" s="54" t="s">
        <v>2250</v>
      </c>
      <c r="V59" s="54" t="s">
        <v>2271</v>
      </c>
      <c r="W59" s="54" t="b">
        <v>0</v>
      </c>
      <c r="X59" s="54"/>
      <c r="Y59" s="57" t="s">
        <v>2272</v>
      </c>
      <c r="Z59" s="54" t="s">
        <v>2012</v>
      </c>
      <c r="AA59" s="54"/>
      <c r="AB59" s="54" t="s">
        <v>2006</v>
      </c>
      <c r="AC59" s="56" t="b">
        <v>1</v>
      </c>
      <c r="AD59" s="56" t="b">
        <v>0</v>
      </c>
      <c r="AE59" s="54" t="s">
        <v>302</v>
      </c>
      <c r="AF59" s="58">
        <v>46321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5.321E-2</v>
      </c>
      <c r="BC59" s="60">
        <v>4.9000000000000004</v>
      </c>
      <c r="BD59" s="61">
        <v>6.5329999999999999E-2</v>
      </c>
      <c r="BE59" s="62" t="s">
        <v>293</v>
      </c>
      <c r="BF59" s="35">
        <f t="shared" si="255"/>
        <v>4.9000000000000004</v>
      </c>
      <c r="BG59" s="35">
        <f t="shared" si="255"/>
        <v>6.5333000000000002E-2</v>
      </c>
      <c r="BH59" s="35" t="str">
        <f t="shared" si="256"/>
        <v>Low</v>
      </c>
      <c r="BI59" s="110">
        <f t="shared" si="257"/>
        <v>0</v>
      </c>
      <c r="BJ59" s="83">
        <f>VLOOKUP($F59,REP_Info!$D$6:$H$250,5,FALSE)</f>
        <v>1.9810000000000001</v>
      </c>
      <c r="BK59" s="30">
        <f t="shared" si="258"/>
        <v>12.834300000000001</v>
      </c>
      <c r="BL59" s="30">
        <f t="shared" si="258"/>
        <v>12.344299999999999</v>
      </c>
      <c r="BM59" s="30">
        <f t="shared" si="258"/>
        <v>12.099299999999999</v>
      </c>
      <c r="BN59" s="29">
        <f t="shared" si="258"/>
        <v>12.017633333333334</v>
      </c>
      <c r="BO59" s="85" t="str">
        <f t="shared" si="259"/>
        <v>$$$</v>
      </c>
      <c r="BP59" s="88" t="str">
        <f t="shared" si="260"/>
        <v>$$$</v>
      </c>
      <c r="BQ59" s="88" t="str">
        <f t="shared" si="261"/>
        <v>$$$</v>
      </c>
      <c r="BR59" s="88" t="str">
        <f t="shared" si="262"/>
        <v>$$$</v>
      </c>
      <c r="BS59" s="29" t="e">
        <f t="shared" si="263"/>
        <v>#N/A</v>
      </c>
      <c r="BT59" s="29" t="e">
        <f t="shared" si="263"/>
        <v>#N/A</v>
      </c>
      <c r="BU59" s="29" t="e">
        <f t="shared" si="263"/>
        <v>#N/A</v>
      </c>
      <c r="BV59" s="29" t="e">
        <f t="shared" si="263"/>
        <v>#N/A</v>
      </c>
      <c r="BW59" s="29" t="e">
        <f t="shared" si="263"/>
        <v>#N/A</v>
      </c>
      <c r="BX59" s="29" t="e">
        <f t="shared" si="263"/>
        <v>#N/A</v>
      </c>
      <c r="BY59" s="29" t="e">
        <f t="shared" si="263"/>
        <v>#N/A</v>
      </c>
      <c r="BZ59" s="29" t="e">
        <f t="shared" si="263"/>
        <v>#N/A</v>
      </c>
      <c r="CA59" s="29" t="e">
        <f t="shared" si="263"/>
        <v>#N/A</v>
      </c>
      <c r="CB59" s="29" t="e">
        <f t="shared" si="263"/>
        <v>#N/A</v>
      </c>
      <c r="CC59" s="29" t="e">
        <f t="shared" si="263"/>
        <v>#N/A</v>
      </c>
      <c r="CD59" s="29" t="e">
        <f t="shared" si="263"/>
        <v>#N/A</v>
      </c>
      <c r="CE59" s="6" t="str">
        <f t="shared" si="7"/>
        <v/>
      </c>
      <c r="CF59" s="27" t="e">
        <f>IF(AND(CI59,NOT(AD59)),LOOKUP(CF$5,{0,750,1500},H59:J59),"")</f>
        <v>#N/A</v>
      </c>
      <c r="CG59" s="6" t="str">
        <f t="shared" si="8"/>
        <v/>
      </c>
      <c r="CH59" t="e">
        <f t="shared" si="264"/>
        <v>#N/A</v>
      </c>
      <c r="CI59" t="e">
        <f t="shared" si="265"/>
        <v>#N/A</v>
      </c>
      <c r="CJ59" s="6" t="e">
        <f t="shared" si="266"/>
        <v>#N/A</v>
      </c>
      <c r="CK59" s="6">
        <f t="shared" si="267"/>
        <v>1</v>
      </c>
      <c r="CL59" s="6">
        <f t="shared" si="268"/>
        <v>1</v>
      </c>
      <c r="CM59" s="6">
        <f t="shared" si="269"/>
        <v>1</v>
      </c>
      <c r="CN59" s="6">
        <f t="shared" si="270"/>
        <v>1</v>
      </c>
      <c r="CO59" s="6">
        <f t="shared" si="271"/>
        <v>0</v>
      </c>
      <c r="CP59" s="6">
        <f t="shared" si="272"/>
        <v>1</v>
      </c>
      <c r="CQ59" s="6">
        <f t="shared" si="273"/>
        <v>1</v>
      </c>
      <c r="CR59" s="81" t="str">
        <f t="shared" si="274"/>
        <v/>
      </c>
      <c r="CS59">
        <f t="shared" si="275"/>
        <v>0</v>
      </c>
      <c r="CT59">
        <f t="shared" si="19"/>
        <v>125</v>
      </c>
      <c r="CU59" t="str">
        <f t="shared" si="276"/>
        <v/>
      </c>
      <c r="CV59" s="81">
        <f t="shared" si="277"/>
        <v>125</v>
      </c>
      <c r="CW59" s="81">
        <f>(CV59/25)^1.5*(Calculator!$BU$4/10000)*CW$5</f>
        <v>5.8144028405331634</v>
      </c>
      <c r="CX59" t="str">
        <f t="shared" si="278"/>
        <v>$125</v>
      </c>
    </row>
    <row r="60" spans="2:102" x14ac:dyDescent="0.25">
      <c r="B60" s="115" t="s">
        <v>233</v>
      </c>
      <c r="C60" s="13">
        <v>46321.660416666666</v>
      </c>
      <c r="D60">
        <v>34396</v>
      </c>
      <c r="E60" s="54" t="s">
        <v>237</v>
      </c>
      <c r="F60" s="54" t="s">
        <v>364</v>
      </c>
      <c r="G60" s="54" t="s">
        <v>2011</v>
      </c>
      <c r="H60" s="55">
        <v>12.9</v>
      </c>
      <c r="I60" s="55">
        <v>12.4</v>
      </c>
      <c r="J60" s="55">
        <v>12.2</v>
      </c>
      <c r="K60" s="54"/>
      <c r="L60" s="56" t="b">
        <v>0</v>
      </c>
      <c r="M60" s="56" t="b">
        <v>0</v>
      </c>
      <c r="N60" s="54">
        <v>1</v>
      </c>
      <c r="O60" s="54" t="s">
        <v>228</v>
      </c>
      <c r="P60" s="54">
        <v>24</v>
      </c>
      <c r="Q60" s="54">
        <v>18</v>
      </c>
      <c r="R60" s="54">
        <v>125</v>
      </c>
      <c r="S60" s="54" t="s">
        <v>2003</v>
      </c>
      <c r="T60" s="54"/>
      <c r="U60" s="54" t="s">
        <v>2251</v>
      </c>
      <c r="V60" s="54" t="s">
        <v>2273</v>
      </c>
      <c r="W60" s="54" t="b">
        <v>0</v>
      </c>
      <c r="X60" s="54"/>
      <c r="Y60" s="57" t="s">
        <v>2274</v>
      </c>
      <c r="Z60" s="54" t="s">
        <v>2013</v>
      </c>
      <c r="AA60" s="54"/>
      <c r="AB60" s="54" t="s">
        <v>2006</v>
      </c>
      <c r="AC60" s="56" t="b">
        <v>1</v>
      </c>
      <c r="AD60" s="56" t="b">
        <v>0</v>
      </c>
      <c r="AE60" s="54" t="s">
        <v>302</v>
      </c>
      <c r="AF60" s="58">
        <v>46321</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5.1709999999999999E-2</v>
      </c>
      <c r="BC60" s="60">
        <v>4.0599999999999996</v>
      </c>
      <c r="BD60" s="61">
        <v>6.8672999999999998E-2</v>
      </c>
      <c r="BE60" s="62" t="s">
        <v>293</v>
      </c>
      <c r="BF60" s="35">
        <f t="shared" si="255"/>
        <v>4.0600000000000005</v>
      </c>
      <c r="BG60" s="35">
        <f t="shared" si="255"/>
        <v>6.8672999999999998E-2</v>
      </c>
      <c r="BH60" s="35" t="str">
        <f t="shared" si="256"/>
        <v>Low</v>
      </c>
      <c r="BI60" s="110">
        <f t="shared" si="257"/>
        <v>0</v>
      </c>
      <c r="BJ60" s="83">
        <f>VLOOKUP($F60,REP_Info!$D$6:$H$250,5,FALSE)</f>
        <v>1.9810000000000001</v>
      </c>
      <c r="BK60" s="30">
        <f t="shared" si="258"/>
        <v>12.850299999999999</v>
      </c>
      <c r="BL60" s="30">
        <f t="shared" si="258"/>
        <v>12.444300000000002</v>
      </c>
      <c r="BM60" s="30">
        <f t="shared" si="258"/>
        <v>12.241300000000001</v>
      </c>
      <c r="BN60" s="29">
        <f t="shared" si="258"/>
        <v>12.173633333333333</v>
      </c>
      <c r="BO60" s="85" t="str">
        <f t="shared" si="259"/>
        <v>$$$</v>
      </c>
      <c r="BP60" s="88" t="str">
        <f t="shared" si="260"/>
        <v>$$$</v>
      </c>
      <c r="BQ60" s="88" t="str">
        <f t="shared" si="261"/>
        <v>$$$</v>
      </c>
      <c r="BR60" s="88" t="str">
        <f t="shared" si="262"/>
        <v>$$$</v>
      </c>
      <c r="BS60" s="29" t="e">
        <f t="shared" si="263"/>
        <v>#N/A</v>
      </c>
      <c r="BT60" s="29" t="e">
        <f t="shared" si="263"/>
        <v>#N/A</v>
      </c>
      <c r="BU60" s="29" t="e">
        <f t="shared" si="263"/>
        <v>#N/A</v>
      </c>
      <c r="BV60" s="29" t="e">
        <f t="shared" si="263"/>
        <v>#N/A</v>
      </c>
      <c r="BW60" s="29" t="e">
        <f t="shared" si="263"/>
        <v>#N/A</v>
      </c>
      <c r="BX60" s="29" t="e">
        <f t="shared" si="263"/>
        <v>#N/A</v>
      </c>
      <c r="BY60" s="29" t="e">
        <f t="shared" si="263"/>
        <v>#N/A</v>
      </c>
      <c r="BZ60" s="29" t="e">
        <f t="shared" si="263"/>
        <v>#N/A</v>
      </c>
      <c r="CA60" s="29" t="e">
        <f t="shared" si="263"/>
        <v>#N/A</v>
      </c>
      <c r="CB60" s="29" t="e">
        <f t="shared" si="263"/>
        <v>#N/A</v>
      </c>
      <c r="CC60" s="29" t="e">
        <f t="shared" si="263"/>
        <v>#N/A</v>
      </c>
      <c r="CD60" s="29" t="e">
        <f t="shared" si="263"/>
        <v>#N/A</v>
      </c>
      <c r="CE60" s="6" t="str">
        <f t="shared" si="7"/>
        <v/>
      </c>
      <c r="CF60" s="27" t="e">
        <f>IF(AND(CI60,NOT(AD60)),LOOKUP(CF$5,{0,750,1500},H60:J60),"")</f>
        <v>#N/A</v>
      </c>
      <c r="CG60" s="6" t="str">
        <f t="shared" si="8"/>
        <v/>
      </c>
      <c r="CH60" t="e">
        <f t="shared" si="264"/>
        <v>#N/A</v>
      </c>
      <c r="CI60" t="e">
        <f t="shared" si="265"/>
        <v>#N/A</v>
      </c>
      <c r="CJ60" s="6" t="e">
        <f t="shared" si="266"/>
        <v>#N/A</v>
      </c>
      <c r="CK60" s="6">
        <f t="shared" si="267"/>
        <v>1</v>
      </c>
      <c r="CL60" s="6">
        <f t="shared" si="268"/>
        <v>1</v>
      </c>
      <c r="CM60" s="6">
        <f t="shared" si="269"/>
        <v>1</v>
      </c>
      <c r="CN60" s="6">
        <f t="shared" si="270"/>
        <v>1</v>
      </c>
      <c r="CO60" s="6">
        <f t="shared" si="271"/>
        <v>0</v>
      </c>
      <c r="CP60" s="6">
        <f t="shared" si="272"/>
        <v>1</v>
      </c>
      <c r="CQ60" s="6">
        <f t="shared" si="273"/>
        <v>1</v>
      </c>
      <c r="CR60" s="81" t="str">
        <f t="shared" si="274"/>
        <v/>
      </c>
      <c r="CS60">
        <f t="shared" si="275"/>
        <v>0</v>
      </c>
      <c r="CT60">
        <f t="shared" si="19"/>
        <v>125</v>
      </c>
      <c r="CU60" t="str">
        <f t="shared" si="276"/>
        <v/>
      </c>
      <c r="CV60" s="81">
        <f t="shared" si="277"/>
        <v>125</v>
      </c>
      <c r="CW60" s="81">
        <f>(CV60/25)^1.5*(Calculator!$BU$4/10000)*CW$5</f>
        <v>5.8144028405331634</v>
      </c>
      <c r="CX60" t="str">
        <f t="shared" si="278"/>
        <v>$125</v>
      </c>
    </row>
    <row r="61" spans="2:102" x14ac:dyDescent="0.25">
      <c r="B61" s="115" t="s">
        <v>233</v>
      </c>
      <c r="C61" s="13">
        <v>46321.660416666666</v>
      </c>
      <c r="D61">
        <v>34397</v>
      </c>
      <c r="E61" s="54" t="s">
        <v>237</v>
      </c>
      <c r="F61" s="54" t="s">
        <v>364</v>
      </c>
      <c r="G61" s="54" t="s">
        <v>2009</v>
      </c>
      <c r="H61" s="55">
        <v>13.5</v>
      </c>
      <c r="I61" s="55">
        <v>13.100000000000001</v>
      </c>
      <c r="J61" s="55">
        <v>12.9</v>
      </c>
      <c r="K61" s="54"/>
      <c r="L61" s="56" t="b">
        <v>0</v>
      </c>
      <c r="M61" s="56" t="b">
        <v>0</v>
      </c>
      <c r="N61" s="54">
        <v>1</v>
      </c>
      <c r="O61" s="54" t="s">
        <v>228</v>
      </c>
      <c r="P61" s="54">
        <v>24</v>
      </c>
      <c r="Q61" s="54">
        <v>36</v>
      </c>
      <c r="R61" s="54">
        <v>200</v>
      </c>
      <c r="S61" s="54" t="s">
        <v>2003</v>
      </c>
      <c r="T61" s="54" t="s">
        <v>2004</v>
      </c>
      <c r="U61" s="54" t="s">
        <v>2252</v>
      </c>
      <c r="V61" s="54" t="s">
        <v>2275</v>
      </c>
      <c r="W61" s="54" t="b">
        <v>0</v>
      </c>
      <c r="X61" s="54"/>
      <c r="Y61" s="57" t="s">
        <v>2276</v>
      </c>
      <c r="Z61" s="54" t="s">
        <v>2014</v>
      </c>
      <c r="AA61" s="54"/>
      <c r="AB61" s="54" t="s">
        <v>2006</v>
      </c>
      <c r="AC61" s="56" t="b">
        <v>1</v>
      </c>
      <c r="AD61" s="56" t="b">
        <v>0</v>
      </c>
      <c r="AE61" s="54" t="s">
        <v>302</v>
      </c>
      <c r="AF61" s="58">
        <v>46321</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5.8639999999999998E-2</v>
      </c>
      <c r="BC61" s="60">
        <v>4.0599999999999996</v>
      </c>
      <c r="BD61" s="61">
        <v>6.8672999999999998E-2</v>
      </c>
      <c r="BE61" s="62" t="s">
        <v>293</v>
      </c>
      <c r="BF61" s="35">
        <f t="shared" si="255"/>
        <v>4.0600000000000005</v>
      </c>
      <c r="BG61" s="35">
        <f t="shared" si="255"/>
        <v>6.8672999999999998E-2</v>
      </c>
      <c r="BH61" s="35" t="str">
        <f t="shared" si="256"/>
        <v>Low</v>
      </c>
      <c r="BI61" s="110">
        <f t="shared" si="257"/>
        <v>0</v>
      </c>
      <c r="BJ61" s="83">
        <f>VLOOKUP($F61,REP_Info!$D$6:$H$250,5,FALSE)</f>
        <v>1.9810000000000001</v>
      </c>
      <c r="BK61" s="30">
        <f t="shared" si="258"/>
        <v>13.543299999999999</v>
      </c>
      <c r="BL61" s="30">
        <f t="shared" si="258"/>
        <v>13.1373</v>
      </c>
      <c r="BM61" s="30">
        <f t="shared" si="258"/>
        <v>12.9343</v>
      </c>
      <c r="BN61" s="29">
        <f t="shared" si="258"/>
        <v>12.866633333333334</v>
      </c>
      <c r="BO61" s="85" t="str">
        <f t="shared" si="259"/>
        <v>$$$</v>
      </c>
      <c r="BP61" s="88" t="str">
        <f t="shared" si="260"/>
        <v>$$$</v>
      </c>
      <c r="BQ61" s="88" t="str">
        <f t="shared" si="261"/>
        <v>$$$</v>
      </c>
      <c r="BR61" s="88" t="str">
        <f t="shared" si="262"/>
        <v>$$$</v>
      </c>
      <c r="BS61" s="29" t="e">
        <f t="shared" si="263"/>
        <v>#N/A</v>
      </c>
      <c r="BT61" s="29" t="e">
        <f t="shared" si="263"/>
        <v>#N/A</v>
      </c>
      <c r="BU61" s="29" t="e">
        <f t="shared" si="263"/>
        <v>#N/A</v>
      </c>
      <c r="BV61" s="29" t="e">
        <f t="shared" si="263"/>
        <v>#N/A</v>
      </c>
      <c r="BW61" s="29" t="e">
        <f t="shared" si="263"/>
        <v>#N/A</v>
      </c>
      <c r="BX61" s="29" t="e">
        <f t="shared" si="263"/>
        <v>#N/A</v>
      </c>
      <c r="BY61" s="29" t="e">
        <f t="shared" si="263"/>
        <v>#N/A</v>
      </c>
      <c r="BZ61" s="29" t="e">
        <f t="shared" si="263"/>
        <v>#N/A</v>
      </c>
      <c r="CA61" s="29" t="e">
        <f t="shared" si="263"/>
        <v>#N/A</v>
      </c>
      <c r="CB61" s="29" t="e">
        <f t="shared" si="263"/>
        <v>#N/A</v>
      </c>
      <c r="CC61" s="29" t="e">
        <f t="shared" si="263"/>
        <v>#N/A</v>
      </c>
      <c r="CD61" s="29" t="e">
        <f t="shared" si="263"/>
        <v>#N/A</v>
      </c>
      <c r="CE61" s="6" t="str">
        <f t="shared" si="7"/>
        <v/>
      </c>
      <c r="CF61" s="27" t="e">
        <f>IF(AND(CI61,NOT(AD61)),LOOKUP(CF$5,{0,750,1500},H61:J61),"")</f>
        <v>#N/A</v>
      </c>
      <c r="CG61" s="6" t="str">
        <f t="shared" si="8"/>
        <v/>
      </c>
      <c r="CH61" t="e">
        <f t="shared" si="264"/>
        <v>#N/A</v>
      </c>
      <c r="CI61" t="e">
        <f t="shared" si="265"/>
        <v>#N/A</v>
      </c>
      <c r="CJ61" s="6" t="e">
        <f t="shared" si="266"/>
        <v>#N/A</v>
      </c>
      <c r="CK61" s="6">
        <f t="shared" si="267"/>
        <v>1</v>
      </c>
      <c r="CL61" s="6">
        <f t="shared" si="268"/>
        <v>1</v>
      </c>
      <c r="CM61" s="6">
        <f t="shared" si="269"/>
        <v>1</v>
      </c>
      <c r="CN61" s="6">
        <f t="shared" si="270"/>
        <v>1</v>
      </c>
      <c r="CO61" s="6">
        <f t="shared" si="271"/>
        <v>0</v>
      </c>
      <c r="CP61" s="6">
        <f t="shared" si="272"/>
        <v>1</v>
      </c>
      <c r="CQ61" s="6">
        <f t="shared" si="273"/>
        <v>1</v>
      </c>
      <c r="CR61" s="81" t="str">
        <f t="shared" si="274"/>
        <v/>
      </c>
      <c r="CS61">
        <f t="shared" si="275"/>
        <v>0</v>
      </c>
      <c r="CT61">
        <f t="shared" si="19"/>
        <v>200</v>
      </c>
      <c r="CU61" t="str">
        <f t="shared" si="276"/>
        <v/>
      </c>
      <c r="CV61" s="81">
        <f t="shared" si="277"/>
        <v>200</v>
      </c>
      <c r="CW61" s="81">
        <f>(CV61/25)^1.5*(Calculator!$BU$4/10000)*CW$5</f>
        <v>11.767523974296054</v>
      </c>
      <c r="CX61" t="str">
        <f t="shared" si="278"/>
        <v>$200</v>
      </c>
    </row>
    <row r="62" spans="2:102" x14ac:dyDescent="0.25">
      <c r="B62" s="115" t="s">
        <v>233</v>
      </c>
      <c r="C62" s="13">
        <v>46316.611111111109</v>
      </c>
      <c r="D62">
        <v>34398</v>
      </c>
      <c r="E62" s="54" t="s">
        <v>237</v>
      </c>
      <c r="F62" s="54" t="s">
        <v>364</v>
      </c>
      <c r="G62" s="54" t="s">
        <v>2007</v>
      </c>
      <c r="H62" s="55">
        <v>13.4</v>
      </c>
      <c r="I62" s="55">
        <v>13</v>
      </c>
      <c r="J62" s="55">
        <v>12.8</v>
      </c>
      <c r="K62" s="54"/>
      <c r="L62" s="56" t="b">
        <v>0</v>
      </c>
      <c r="M62" s="56" t="b">
        <v>0</v>
      </c>
      <c r="N62" s="54">
        <v>1</v>
      </c>
      <c r="O62" s="54" t="s">
        <v>228</v>
      </c>
      <c r="P62" s="54">
        <v>24</v>
      </c>
      <c r="Q62" s="54">
        <v>24</v>
      </c>
      <c r="R62" s="54">
        <v>150</v>
      </c>
      <c r="S62" s="54" t="s">
        <v>2003</v>
      </c>
      <c r="T62" s="54" t="s">
        <v>2004</v>
      </c>
      <c r="U62" s="54" t="s">
        <v>2100</v>
      </c>
      <c r="V62" s="54" t="s">
        <v>2110</v>
      </c>
      <c r="W62" s="54" t="b">
        <v>0</v>
      </c>
      <c r="X62" s="54"/>
      <c r="Y62" s="57" t="s">
        <v>2111</v>
      </c>
      <c r="Z62" s="54" t="s">
        <v>2015</v>
      </c>
      <c r="AA62" s="54"/>
      <c r="AB62" s="54" t="s">
        <v>2006</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255"/>
        <v>4.0600000000000005</v>
      </c>
      <c r="BG62" s="35">
        <f t="shared" si="255"/>
        <v>6.8672999999999998E-2</v>
      </c>
      <c r="BH62" s="35" t="str">
        <f t="shared" si="256"/>
        <v>Low</v>
      </c>
      <c r="BI62" s="110">
        <f t="shared" si="257"/>
        <v>0</v>
      </c>
      <c r="BJ62" s="83">
        <f>VLOOKUP($F62,REP_Info!$D$6:$H$250,5,FALSE)</f>
        <v>1.9810000000000001</v>
      </c>
      <c r="BK62" s="30">
        <f t="shared" si="258"/>
        <v>13.443299999999999</v>
      </c>
      <c r="BL62" s="30">
        <f t="shared" si="258"/>
        <v>13.0373</v>
      </c>
      <c r="BM62" s="30">
        <f t="shared" si="258"/>
        <v>12.834299999999999</v>
      </c>
      <c r="BN62" s="29">
        <f t="shared" si="258"/>
        <v>12.766633333333333</v>
      </c>
      <c r="BO62" s="85" t="str">
        <f t="shared" si="259"/>
        <v>$$$</v>
      </c>
      <c r="BP62" s="88" t="str">
        <f t="shared" si="260"/>
        <v>$$$</v>
      </c>
      <c r="BQ62" s="88" t="str">
        <f t="shared" si="261"/>
        <v>$$$</v>
      </c>
      <c r="BR62" s="88" t="str">
        <f t="shared" si="262"/>
        <v>$$$</v>
      </c>
      <c r="BS62" s="29" t="e">
        <f t="shared" si="263"/>
        <v>#N/A</v>
      </c>
      <c r="BT62" s="29" t="e">
        <f t="shared" si="263"/>
        <v>#N/A</v>
      </c>
      <c r="BU62" s="29" t="e">
        <f t="shared" si="263"/>
        <v>#N/A</v>
      </c>
      <c r="BV62" s="29" t="e">
        <f t="shared" si="263"/>
        <v>#N/A</v>
      </c>
      <c r="BW62" s="29" t="e">
        <f t="shared" si="263"/>
        <v>#N/A</v>
      </c>
      <c r="BX62" s="29" t="e">
        <f t="shared" si="263"/>
        <v>#N/A</v>
      </c>
      <c r="BY62" s="29" t="e">
        <f t="shared" si="263"/>
        <v>#N/A</v>
      </c>
      <c r="BZ62" s="29" t="e">
        <f t="shared" si="263"/>
        <v>#N/A</v>
      </c>
      <c r="CA62" s="29" t="e">
        <f t="shared" si="263"/>
        <v>#N/A</v>
      </c>
      <c r="CB62" s="29" t="e">
        <f t="shared" si="263"/>
        <v>#N/A</v>
      </c>
      <c r="CC62" s="29" t="e">
        <f t="shared" si="263"/>
        <v>#N/A</v>
      </c>
      <c r="CD62" s="29" t="e">
        <f t="shared" si="263"/>
        <v>#N/A</v>
      </c>
      <c r="CE62" s="6" t="str">
        <f t="shared" si="7"/>
        <v/>
      </c>
      <c r="CF62" s="27" t="e">
        <f>IF(AND(CI62,NOT(AD62)),LOOKUP(CF$5,{0,750,1500},H62:J62),"")</f>
        <v>#N/A</v>
      </c>
      <c r="CG62" s="6" t="str">
        <f t="shared" si="8"/>
        <v/>
      </c>
      <c r="CH62" t="e">
        <f t="shared" si="264"/>
        <v>#N/A</v>
      </c>
      <c r="CI62" t="e">
        <f t="shared" si="265"/>
        <v>#N/A</v>
      </c>
      <c r="CJ62" s="6" t="e">
        <f t="shared" si="266"/>
        <v>#N/A</v>
      </c>
      <c r="CK62" s="6">
        <f t="shared" si="267"/>
        <v>1</v>
      </c>
      <c r="CL62" s="6">
        <f t="shared" si="268"/>
        <v>1</v>
      </c>
      <c r="CM62" s="6">
        <f t="shared" si="269"/>
        <v>1</v>
      </c>
      <c r="CN62" s="6">
        <f t="shared" si="270"/>
        <v>1</v>
      </c>
      <c r="CO62" s="6">
        <f t="shared" si="271"/>
        <v>0</v>
      </c>
      <c r="CP62" s="6">
        <f t="shared" si="272"/>
        <v>1</v>
      </c>
      <c r="CQ62" s="6">
        <f t="shared" si="273"/>
        <v>1</v>
      </c>
      <c r="CR62" s="81" t="str">
        <f t="shared" si="274"/>
        <v/>
      </c>
      <c r="CS62">
        <f t="shared" si="275"/>
        <v>0</v>
      </c>
      <c r="CT62">
        <f t="shared" si="19"/>
        <v>150</v>
      </c>
      <c r="CU62" t="str">
        <f t="shared" si="276"/>
        <v/>
      </c>
      <c r="CV62" s="81">
        <f t="shared" si="277"/>
        <v>150</v>
      </c>
      <c r="CW62" s="81">
        <f>(CV62/25)^1.5*(Calculator!$BU$4/10000)*CW$5</f>
        <v>7.6432310260371077</v>
      </c>
      <c r="CX62" t="str">
        <f t="shared" si="278"/>
        <v>$150</v>
      </c>
    </row>
    <row r="63" spans="2:102" x14ac:dyDescent="0.25">
      <c r="B63" s="115" t="s">
        <v>233</v>
      </c>
      <c r="C63" s="13">
        <v>46321.660416666666</v>
      </c>
      <c r="D63">
        <v>34399</v>
      </c>
      <c r="E63" s="54" t="s">
        <v>237</v>
      </c>
      <c r="F63" s="54" t="s">
        <v>364</v>
      </c>
      <c r="G63" s="54" t="s">
        <v>2002</v>
      </c>
      <c r="H63" s="55">
        <v>13</v>
      </c>
      <c r="I63" s="55">
        <v>12.5</v>
      </c>
      <c r="J63" s="55">
        <v>12.3</v>
      </c>
      <c r="K63" s="54"/>
      <c r="L63" s="56" t="b">
        <v>0</v>
      </c>
      <c r="M63" s="56" t="b">
        <v>0</v>
      </c>
      <c r="N63" s="54">
        <v>1</v>
      </c>
      <c r="O63" s="54" t="s">
        <v>228</v>
      </c>
      <c r="P63" s="54">
        <v>24</v>
      </c>
      <c r="Q63" s="54">
        <v>12</v>
      </c>
      <c r="R63" s="54">
        <v>100</v>
      </c>
      <c r="S63" s="54" t="s">
        <v>2003</v>
      </c>
      <c r="T63" s="54" t="s">
        <v>2004</v>
      </c>
      <c r="U63" s="54" t="s">
        <v>2253</v>
      </c>
      <c r="V63" s="54" t="s">
        <v>2277</v>
      </c>
      <c r="W63" s="54" t="b">
        <v>0</v>
      </c>
      <c r="X63" s="54"/>
      <c r="Y63" s="57" t="s">
        <v>2278</v>
      </c>
      <c r="Z63" s="54" t="s">
        <v>2016</v>
      </c>
      <c r="AA63" s="54"/>
      <c r="AB63" s="54" t="s">
        <v>2006</v>
      </c>
      <c r="AC63" s="56" t="b">
        <v>1</v>
      </c>
      <c r="AD63" s="56" t="b">
        <v>0</v>
      </c>
      <c r="AE63" s="54" t="s">
        <v>302</v>
      </c>
      <c r="AF63" s="58">
        <v>46321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5.271E-2</v>
      </c>
      <c r="BC63" s="60">
        <v>4.0599999999999996</v>
      </c>
      <c r="BD63" s="61">
        <v>6.8672999999999998E-2</v>
      </c>
      <c r="BE63" s="62" t="s">
        <v>293</v>
      </c>
      <c r="BF63" s="35">
        <f t="shared" si="255"/>
        <v>4.0600000000000005</v>
      </c>
      <c r="BG63" s="35">
        <f t="shared" si="255"/>
        <v>6.8672999999999998E-2</v>
      </c>
      <c r="BH63" s="35" t="str">
        <f t="shared" si="256"/>
        <v>Low</v>
      </c>
      <c r="BI63" s="110">
        <f t="shared" si="257"/>
        <v>0</v>
      </c>
      <c r="BJ63" s="83">
        <f>VLOOKUP($F63,REP_Info!$D$6:$H$250,5,FALSE)</f>
        <v>1.9810000000000001</v>
      </c>
      <c r="BK63" s="30">
        <f t="shared" si="258"/>
        <v>12.950299999999999</v>
      </c>
      <c r="BL63" s="30">
        <f t="shared" si="258"/>
        <v>12.544300000000002</v>
      </c>
      <c r="BM63" s="30">
        <f t="shared" si="258"/>
        <v>12.3413</v>
      </c>
      <c r="BN63" s="29">
        <f t="shared" si="258"/>
        <v>12.273633333333335</v>
      </c>
      <c r="BO63" s="85" t="str">
        <f t="shared" si="259"/>
        <v>$$$</v>
      </c>
      <c r="BP63" s="88" t="str">
        <f t="shared" si="260"/>
        <v>$$$</v>
      </c>
      <c r="BQ63" s="88" t="str">
        <f t="shared" si="261"/>
        <v>$$$</v>
      </c>
      <c r="BR63" s="88" t="str">
        <f t="shared" si="262"/>
        <v>$$$</v>
      </c>
      <c r="BS63" s="29" t="e">
        <f t="shared" si="263"/>
        <v>#N/A</v>
      </c>
      <c r="BT63" s="29" t="e">
        <f t="shared" si="263"/>
        <v>#N/A</v>
      </c>
      <c r="BU63" s="29" t="e">
        <f t="shared" si="263"/>
        <v>#N/A</v>
      </c>
      <c r="BV63" s="29" t="e">
        <f t="shared" si="263"/>
        <v>#N/A</v>
      </c>
      <c r="BW63" s="29" t="e">
        <f t="shared" si="263"/>
        <v>#N/A</v>
      </c>
      <c r="BX63" s="29" t="e">
        <f t="shared" si="263"/>
        <v>#N/A</v>
      </c>
      <c r="BY63" s="29" t="e">
        <f t="shared" si="263"/>
        <v>#N/A</v>
      </c>
      <c r="BZ63" s="29" t="e">
        <f t="shared" si="263"/>
        <v>#N/A</v>
      </c>
      <c r="CA63" s="29" t="e">
        <f t="shared" si="263"/>
        <v>#N/A</v>
      </c>
      <c r="CB63" s="29" t="e">
        <f t="shared" si="263"/>
        <v>#N/A</v>
      </c>
      <c r="CC63" s="29" t="e">
        <f t="shared" si="263"/>
        <v>#N/A</v>
      </c>
      <c r="CD63" s="29" t="e">
        <f t="shared" si="263"/>
        <v>#N/A</v>
      </c>
      <c r="CE63" s="6" t="str">
        <f t="shared" si="7"/>
        <v/>
      </c>
      <c r="CF63" s="27" t="e">
        <f>IF(AND(CI63,NOT(AD63)),LOOKUP(CF$5,{0,750,1500},H63:J63),"")</f>
        <v>#N/A</v>
      </c>
      <c r="CG63" s="6" t="str">
        <f t="shared" si="8"/>
        <v/>
      </c>
      <c r="CH63" t="e">
        <f t="shared" si="264"/>
        <v>#N/A</v>
      </c>
      <c r="CI63" t="e">
        <f t="shared" si="265"/>
        <v>#N/A</v>
      </c>
      <c r="CJ63" s="6" t="e">
        <f t="shared" si="266"/>
        <v>#N/A</v>
      </c>
      <c r="CK63" s="6">
        <f t="shared" si="267"/>
        <v>1</v>
      </c>
      <c r="CL63" s="6">
        <f t="shared" si="268"/>
        <v>1</v>
      </c>
      <c r="CM63" s="6">
        <f t="shared" si="269"/>
        <v>1</v>
      </c>
      <c r="CN63" s="6">
        <f t="shared" si="270"/>
        <v>1</v>
      </c>
      <c r="CO63" s="6">
        <f t="shared" si="271"/>
        <v>1</v>
      </c>
      <c r="CP63" s="6">
        <f t="shared" si="272"/>
        <v>1</v>
      </c>
      <c r="CQ63" s="6">
        <f t="shared" si="273"/>
        <v>1</v>
      </c>
      <c r="CR63" s="81" t="str">
        <f t="shared" si="274"/>
        <v/>
      </c>
      <c r="CS63">
        <f t="shared" si="275"/>
        <v>0</v>
      </c>
      <c r="CT63">
        <f t="shared" si="19"/>
        <v>100</v>
      </c>
      <c r="CU63" t="str">
        <f t="shared" si="276"/>
        <v/>
      </c>
      <c r="CV63" s="81">
        <f t="shared" si="277"/>
        <v>100</v>
      </c>
      <c r="CW63" s="81">
        <f>(CV63/25)^1.5*(Calculator!$BU$4/10000)*CW$5</f>
        <v>4.1604480000000077</v>
      </c>
      <c r="CX63" t="str">
        <f t="shared" si="278"/>
        <v>$100</v>
      </c>
    </row>
    <row r="64" spans="2:102" x14ac:dyDescent="0.25">
      <c r="B64" s="115" t="s">
        <v>233</v>
      </c>
      <c r="C64" s="13">
        <v>46321.660416666666</v>
      </c>
      <c r="D64">
        <v>37715</v>
      </c>
      <c r="E64" s="54" t="s">
        <v>237</v>
      </c>
      <c r="F64" s="54" t="s">
        <v>364</v>
      </c>
      <c r="G64" s="54" t="s">
        <v>2069</v>
      </c>
      <c r="H64" s="55">
        <v>13.600000000000001</v>
      </c>
      <c r="I64" s="55">
        <v>13.200000000000001</v>
      </c>
      <c r="J64" s="55">
        <v>13</v>
      </c>
      <c r="K64" s="54"/>
      <c r="L64" s="56" t="b">
        <v>0</v>
      </c>
      <c r="M64" s="56" t="b">
        <v>0</v>
      </c>
      <c r="N64" s="54">
        <v>1</v>
      </c>
      <c r="O64" s="54" t="s">
        <v>228</v>
      </c>
      <c r="P64" s="54">
        <v>100</v>
      </c>
      <c r="Q64" s="54">
        <v>36</v>
      </c>
      <c r="R64" s="54">
        <v>200</v>
      </c>
      <c r="S64" s="54" t="s">
        <v>2003</v>
      </c>
      <c r="T64" s="54"/>
      <c r="U64" s="54" t="s">
        <v>2254</v>
      </c>
      <c r="V64" s="54" t="s">
        <v>2279</v>
      </c>
      <c r="W64" s="54" t="b">
        <v>0</v>
      </c>
      <c r="X64" s="54"/>
      <c r="Y64" s="57" t="s">
        <v>2280</v>
      </c>
      <c r="Z64" s="54" t="s">
        <v>2070</v>
      </c>
      <c r="AA64" s="54"/>
      <c r="AB64" s="54" t="s">
        <v>2006</v>
      </c>
      <c r="AC64" s="56" t="b">
        <v>1</v>
      </c>
      <c r="AD64" s="56" t="b">
        <v>0</v>
      </c>
      <c r="AE64" s="54" t="s">
        <v>302</v>
      </c>
      <c r="AF64" s="58">
        <v>46321</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5.9639999999999999E-2</v>
      </c>
      <c r="BC64" s="60">
        <v>4.0599999999999996</v>
      </c>
      <c r="BD64" s="61">
        <v>6.8672999999999998E-2</v>
      </c>
      <c r="BE64" s="62" t="s">
        <v>293</v>
      </c>
      <c r="BF64" s="35">
        <f t="shared" si="255"/>
        <v>4.0600000000000005</v>
      </c>
      <c r="BG64" s="35">
        <f t="shared" si="255"/>
        <v>6.8672999999999998E-2</v>
      </c>
      <c r="BH64" s="35" t="str">
        <f t="shared" si="256"/>
        <v>Low</v>
      </c>
      <c r="BI64" s="110">
        <f t="shared" si="257"/>
        <v>0</v>
      </c>
      <c r="BJ64" s="83">
        <f>VLOOKUP($F64,REP_Info!$D$6:$H$250,5,FALSE)</f>
        <v>1.9810000000000001</v>
      </c>
      <c r="BK64" s="30">
        <f t="shared" si="258"/>
        <v>13.6433</v>
      </c>
      <c r="BL64" s="30">
        <f t="shared" si="258"/>
        <v>13.237299999999999</v>
      </c>
      <c r="BM64" s="30">
        <f t="shared" si="258"/>
        <v>13.034300000000002</v>
      </c>
      <c r="BN64" s="29">
        <f t="shared" si="258"/>
        <v>12.966633333333334</v>
      </c>
      <c r="BO64" s="85" t="str">
        <f t="shared" si="259"/>
        <v>$$$</v>
      </c>
      <c r="BP64" s="88" t="str">
        <f t="shared" si="260"/>
        <v>$$$</v>
      </c>
      <c r="BQ64" s="88" t="str">
        <f t="shared" si="261"/>
        <v>$$$</v>
      </c>
      <c r="BR64" s="88" t="str">
        <f t="shared" si="262"/>
        <v>$$$</v>
      </c>
      <c r="BS64" s="29" t="e">
        <f t="shared" si="263"/>
        <v>#N/A</v>
      </c>
      <c r="BT64" s="29" t="e">
        <f t="shared" si="263"/>
        <v>#N/A</v>
      </c>
      <c r="BU64" s="29" t="e">
        <f t="shared" si="263"/>
        <v>#N/A</v>
      </c>
      <c r="BV64" s="29" t="e">
        <f t="shared" si="263"/>
        <v>#N/A</v>
      </c>
      <c r="BW64" s="29" t="e">
        <f t="shared" si="263"/>
        <v>#N/A</v>
      </c>
      <c r="BX64" s="29" t="e">
        <f t="shared" si="263"/>
        <v>#N/A</v>
      </c>
      <c r="BY64" s="29" t="e">
        <f t="shared" si="263"/>
        <v>#N/A</v>
      </c>
      <c r="BZ64" s="29" t="e">
        <f t="shared" si="263"/>
        <v>#N/A</v>
      </c>
      <c r="CA64" s="29" t="e">
        <f t="shared" si="263"/>
        <v>#N/A</v>
      </c>
      <c r="CB64" s="29" t="e">
        <f t="shared" si="263"/>
        <v>#N/A</v>
      </c>
      <c r="CC64" s="29" t="e">
        <f t="shared" si="263"/>
        <v>#N/A</v>
      </c>
      <c r="CD64" s="29" t="e">
        <f t="shared" si="263"/>
        <v>#N/A</v>
      </c>
      <c r="CE64" s="6" t="str">
        <f t="shared" si="7"/>
        <v/>
      </c>
      <c r="CF64" s="27" t="e">
        <f>IF(AND(CI64,NOT(AD64)),LOOKUP(CF$5,{0,750,1500},H64:J64),"")</f>
        <v>#N/A</v>
      </c>
      <c r="CG64" s="6" t="str">
        <f t="shared" si="8"/>
        <v/>
      </c>
      <c r="CH64" t="e">
        <f t="shared" si="264"/>
        <v>#N/A</v>
      </c>
      <c r="CI64" t="e">
        <f t="shared" si="265"/>
        <v>#N/A</v>
      </c>
      <c r="CJ64" s="6" t="e">
        <f t="shared" si="266"/>
        <v>#N/A</v>
      </c>
      <c r="CK64" s="6">
        <f t="shared" si="267"/>
        <v>1</v>
      </c>
      <c r="CL64" s="6">
        <f t="shared" si="268"/>
        <v>1</v>
      </c>
      <c r="CM64" s="6">
        <f t="shared" si="269"/>
        <v>1</v>
      </c>
      <c r="CN64" s="6">
        <f t="shared" si="270"/>
        <v>1</v>
      </c>
      <c r="CO64" s="6">
        <f t="shared" si="271"/>
        <v>0</v>
      </c>
      <c r="CP64" s="6">
        <f t="shared" si="272"/>
        <v>1</v>
      </c>
      <c r="CQ64" s="6">
        <f t="shared" si="273"/>
        <v>1</v>
      </c>
      <c r="CR64" s="81" t="str">
        <f t="shared" si="274"/>
        <v/>
      </c>
      <c r="CS64">
        <f t="shared" si="275"/>
        <v>0</v>
      </c>
      <c r="CT64">
        <f t="shared" si="19"/>
        <v>200</v>
      </c>
      <c r="CU64" t="str">
        <f t="shared" si="276"/>
        <v/>
      </c>
      <c r="CV64" s="81">
        <f t="shared" si="277"/>
        <v>200</v>
      </c>
      <c r="CW64" s="81">
        <f>(CV64/25)^1.5*(Calculator!$BU$4/10000)*CW$5</f>
        <v>11.767523974296054</v>
      </c>
      <c r="CX64" t="str">
        <f t="shared" si="278"/>
        <v>$200</v>
      </c>
    </row>
    <row r="65" spans="2:102" x14ac:dyDescent="0.25">
      <c r="B65" s="115" t="s">
        <v>233</v>
      </c>
      <c r="C65" s="13">
        <v>46321.660416666666</v>
      </c>
      <c r="D65">
        <v>37718</v>
      </c>
      <c r="E65" s="54" t="s">
        <v>235</v>
      </c>
      <c r="F65" s="54" t="s">
        <v>364</v>
      </c>
      <c r="G65" s="54" t="s">
        <v>2069</v>
      </c>
      <c r="H65" s="55">
        <v>13.600000000000001</v>
      </c>
      <c r="I65" s="55">
        <v>13.100000000000001</v>
      </c>
      <c r="J65" s="55">
        <v>12.9</v>
      </c>
      <c r="K65" s="54"/>
      <c r="L65" s="56" t="b">
        <v>0</v>
      </c>
      <c r="M65" s="56" t="b">
        <v>0</v>
      </c>
      <c r="N65" s="54">
        <v>1</v>
      </c>
      <c r="O65" s="54" t="s">
        <v>228</v>
      </c>
      <c r="P65" s="54">
        <v>100</v>
      </c>
      <c r="Q65" s="54">
        <v>36</v>
      </c>
      <c r="R65" s="54">
        <v>200</v>
      </c>
      <c r="S65" s="54" t="s">
        <v>2003</v>
      </c>
      <c r="T65" s="54"/>
      <c r="U65" s="54" t="s">
        <v>2255</v>
      </c>
      <c r="V65" s="54" t="s">
        <v>2281</v>
      </c>
      <c r="W65" s="54" t="b">
        <v>0</v>
      </c>
      <c r="X65" s="54"/>
      <c r="Y65" s="57" t="s">
        <v>2282</v>
      </c>
      <c r="Z65" s="54" t="s">
        <v>2071</v>
      </c>
      <c r="AA65" s="54"/>
      <c r="AB65" s="54" t="s">
        <v>2006</v>
      </c>
      <c r="AC65" s="56" t="b">
        <v>1</v>
      </c>
      <c r="AD65" s="56" t="b">
        <v>0</v>
      </c>
      <c r="AE65" s="54" t="s">
        <v>302</v>
      </c>
      <c r="AF65" s="58">
        <v>46321</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6.1210000000000001E-2</v>
      </c>
      <c r="BC65" s="60">
        <v>4.9000000000000004</v>
      </c>
      <c r="BD65" s="61">
        <v>6.5329999999999999E-2</v>
      </c>
      <c r="BE65" s="62" t="s">
        <v>293</v>
      </c>
      <c r="BF65" s="35">
        <f t="shared" si="255"/>
        <v>4.9000000000000004</v>
      </c>
      <c r="BG65" s="35">
        <f t="shared" si="255"/>
        <v>6.5333000000000002E-2</v>
      </c>
      <c r="BH65" s="35" t="str">
        <f t="shared" si="256"/>
        <v>Low</v>
      </c>
      <c r="BI65" s="110">
        <f t="shared" si="257"/>
        <v>0</v>
      </c>
      <c r="BJ65" s="83">
        <f>VLOOKUP($F65,REP_Info!$D$6:$H$250,5,FALSE)</f>
        <v>1.9810000000000001</v>
      </c>
      <c r="BK65" s="30">
        <f t="shared" si="258"/>
        <v>13.634300000000001</v>
      </c>
      <c r="BL65" s="30">
        <f t="shared" si="258"/>
        <v>13.144299999999999</v>
      </c>
      <c r="BM65" s="30">
        <f t="shared" si="258"/>
        <v>12.899299999999998</v>
      </c>
      <c r="BN65" s="29">
        <f t="shared" si="258"/>
        <v>12.817633333333333</v>
      </c>
      <c r="BO65" s="85" t="str">
        <f t="shared" si="259"/>
        <v>$$$</v>
      </c>
      <c r="BP65" s="88" t="str">
        <f t="shared" si="260"/>
        <v>$$$</v>
      </c>
      <c r="BQ65" s="88" t="str">
        <f t="shared" si="261"/>
        <v>$$$</v>
      </c>
      <c r="BR65" s="88" t="str">
        <f t="shared" si="262"/>
        <v>$$$</v>
      </c>
      <c r="BS65" s="29" t="e">
        <f t="shared" si="263"/>
        <v>#N/A</v>
      </c>
      <c r="BT65" s="29" t="e">
        <f t="shared" si="263"/>
        <v>#N/A</v>
      </c>
      <c r="BU65" s="29" t="e">
        <f t="shared" si="263"/>
        <v>#N/A</v>
      </c>
      <c r="BV65" s="29" t="e">
        <f t="shared" ref="BS65:CD67" si="279">IF($CI65,IF(BV$7&gt;0,IF(BV$4&gt;$Q65,$BF65+BV$7*(BV$5+$BG65+$BI65),LOOKUP(BV$7,$AH65:$AL65,$AM65:$AQ65)+IF($AG65="Y",SUMPRODUCT($AX65:$BB65-$AW65:$BA65,BV$7-$AR65:$AV65,N(BV$7&gt;$AR65:$AV65)),BV$7*LOOKUP(BV$7,$AR65:$AV65,$AX65:$BB65))+IF($BE65="Y",$BF65,$BC65)+BV$7*IF($BE65="Y",$BG65,$BD65))*100/BV$7,""),NA())</f>
        <v>#N/A</v>
      </c>
      <c r="BW65" s="29" t="e">
        <f t="shared" si="279"/>
        <v>#N/A</v>
      </c>
      <c r="BX65" s="29" t="e">
        <f t="shared" si="279"/>
        <v>#N/A</v>
      </c>
      <c r="BY65" s="29" t="e">
        <f t="shared" si="279"/>
        <v>#N/A</v>
      </c>
      <c r="BZ65" s="29" t="e">
        <f t="shared" si="279"/>
        <v>#N/A</v>
      </c>
      <c r="CA65" s="29" t="e">
        <f t="shared" si="279"/>
        <v>#N/A</v>
      </c>
      <c r="CB65" s="29" t="e">
        <f t="shared" si="279"/>
        <v>#N/A</v>
      </c>
      <c r="CC65" s="29" t="e">
        <f t="shared" si="279"/>
        <v>#N/A</v>
      </c>
      <c r="CD65" s="29" t="e">
        <f t="shared" si="279"/>
        <v>#N/A</v>
      </c>
      <c r="CE65" s="6" t="str">
        <f t="shared" si="7"/>
        <v/>
      </c>
      <c r="CF65" s="27" t="e">
        <f>IF(AND(CI65,NOT(AD65)),LOOKUP(CF$5,{0,750,1500},H65:J65),"")</f>
        <v>#N/A</v>
      </c>
      <c r="CG65" s="6" t="str">
        <f t="shared" si="8"/>
        <v/>
      </c>
      <c r="CH65" t="e">
        <f t="shared" si="264"/>
        <v>#N/A</v>
      </c>
      <c r="CI65" t="e">
        <f t="shared" si="265"/>
        <v>#N/A</v>
      </c>
      <c r="CJ65" s="6" t="e">
        <f t="shared" si="266"/>
        <v>#N/A</v>
      </c>
      <c r="CK65" s="6">
        <f t="shared" si="267"/>
        <v>1</v>
      </c>
      <c r="CL65" s="6">
        <f t="shared" si="268"/>
        <v>1</v>
      </c>
      <c r="CM65" s="6">
        <f t="shared" si="269"/>
        <v>1</v>
      </c>
      <c r="CN65" s="6">
        <f t="shared" si="270"/>
        <v>1</v>
      </c>
      <c r="CO65" s="6">
        <f t="shared" si="271"/>
        <v>0</v>
      </c>
      <c r="CP65" s="6">
        <f t="shared" si="272"/>
        <v>1</v>
      </c>
      <c r="CQ65" s="6">
        <f t="shared" si="273"/>
        <v>1</v>
      </c>
      <c r="CR65" s="81" t="str">
        <f t="shared" si="274"/>
        <v/>
      </c>
      <c r="CS65">
        <f t="shared" si="275"/>
        <v>0</v>
      </c>
      <c r="CT65">
        <f t="shared" si="19"/>
        <v>200</v>
      </c>
      <c r="CU65" t="str">
        <f t="shared" si="276"/>
        <v/>
      </c>
      <c r="CV65" s="81">
        <f t="shared" si="277"/>
        <v>200</v>
      </c>
      <c r="CW65" s="81">
        <f>(CV65/25)^1.5*(Calculator!$BU$4/10000)*CW$5</f>
        <v>11.767523974296054</v>
      </c>
      <c r="CX65" t="str">
        <f t="shared" si="278"/>
        <v>$200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255"/>
        <v>4.9000000000000004</v>
      </c>
      <c r="BG66" s="35">
        <f t="shared" si="255"/>
        <v>6.5333000000000002E-2</v>
      </c>
      <c r="BH66" s="35" t="str">
        <f t="shared" si="256"/>
        <v>?</v>
      </c>
      <c r="BI66" s="110">
        <f t="shared" si="257"/>
        <v>0</v>
      </c>
      <c r="BJ66" s="83">
        <f>VLOOKUP($F66,REP_Info!$D$6:$H$250,5,FALSE)</f>
        <v>1.9E-2</v>
      </c>
      <c r="BK66" s="30" t="e">
        <f t="shared" si="258"/>
        <v>#N/A</v>
      </c>
      <c r="BL66" s="30" t="e">
        <f t="shared" si="258"/>
        <v>#N/A</v>
      </c>
      <c r="BM66" s="30" t="e">
        <f t="shared" si="258"/>
        <v>#N/A</v>
      </c>
      <c r="BN66" s="29" t="e">
        <f t="shared" si="258"/>
        <v>#N/A</v>
      </c>
      <c r="BO66" s="85" t="str">
        <f t="shared" si="259"/>
        <v>$$$</v>
      </c>
      <c r="BP66" s="88" t="str">
        <f t="shared" si="260"/>
        <v>$$$</v>
      </c>
      <c r="BQ66" s="88" t="str">
        <f t="shared" si="261"/>
        <v>$$$</v>
      </c>
      <c r="BR66" s="88" t="str">
        <f t="shared" si="262"/>
        <v>$$$</v>
      </c>
      <c r="BS66" s="29" t="e">
        <f t="shared" si="279"/>
        <v>#N/A</v>
      </c>
      <c r="BT66" s="29" t="e">
        <f t="shared" si="279"/>
        <v>#N/A</v>
      </c>
      <c r="BU66" s="29" t="e">
        <f t="shared" si="279"/>
        <v>#N/A</v>
      </c>
      <c r="BV66" s="29" t="e">
        <f t="shared" si="279"/>
        <v>#N/A</v>
      </c>
      <c r="BW66" s="29" t="e">
        <f t="shared" si="279"/>
        <v>#N/A</v>
      </c>
      <c r="BX66" s="29" t="e">
        <f t="shared" si="279"/>
        <v>#N/A</v>
      </c>
      <c r="BY66" s="29" t="e">
        <f t="shared" si="279"/>
        <v>#N/A</v>
      </c>
      <c r="BZ66" s="29" t="e">
        <f t="shared" si="279"/>
        <v>#N/A</v>
      </c>
      <c r="CA66" s="29" t="e">
        <f t="shared" si="279"/>
        <v>#N/A</v>
      </c>
      <c r="CB66" s="29" t="e">
        <f t="shared" si="279"/>
        <v>#N/A</v>
      </c>
      <c r="CC66" s="29" t="e">
        <f t="shared" si="279"/>
        <v>#N/A</v>
      </c>
      <c r="CD66" s="29" t="e">
        <f t="shared" si="279"/>
        <v>#N/A</v>
      </c>
      <c r="CE66" s="6" t="str">
        <f t="shared" si="7"/>
        <v/>
      </c>
      <c r="CF66" s="27" t="e">
        <f>IF(AND(CI66,NOT(AD66)),LOOKUP(CF$5,{0,750,1500},H66:J66),"")</f>
        <v>#N/A</v>
      </c>
      <c r="CG66" s="6" t="str">
        <f t="shared" si="8"/>
        <v/>
      </c>
      <c r="CH66" t="e">
        <f t="shared" si="264"/>
        <v>#N/A</v>
      </c>
      <c r="CI66" t="e">
        <f t="shared" si="265"/>
        <v>#N/A</v>
      </c>
      <c r="CJ66" s="6" t="e">
        <f t="shared" si="266"/>
        <v>#N/A</v>
      </c>
      <c r="CK66" s="6">
        <f t="shared" si="267"/>
        <v>1</v>
      </c>
      <c r="CL66" s="6">
        <f t="shared" si="268"/>
        <v>1</v>
      </c>
      <c r="CM66" s="6">
        <f t="shared" si="269"/>
        <v>1</v>
      </c>
      <c r="CN66" s="6">
        <f t="shared" si="270"/>
        <v>1</v>
      </c>
      <c r="CO66" s="6">
        <f t="shared" si="271"/>
        <v>0</v>
      </c>
      <c r="CP66" s="6">
        <f t="shared" si="272"/>
        <v>1</v>
      </c>
      <c r="CQ66" s="6">
        <f t="shared" si="273"/>
        <v>1</v>
      </c>
      <c r="CR66" s="81" t="str">
        <f t="shared" si="274"/>
        <v/>
      </c>
      <c r="CS66">
        <f t="shared" si="275"/>
        <v>0</v>
      </c>
      <c r="CT66">
        <f t="shared" si="19"/>
        <v>250</v>
      </c>
      <c r="CU66" t="str">
        <f t="shared" si="276"/>
        <v/>
      </c>
      <c r="CV66" s="81">
        <f t="shared" si="277"/>
        <v>250</v>
      </c>
      <c r="CW66" s="81">
        <f>(CV66/25)^1.5*(Calculator!$BU$4/10000)*CW$5</f>
        <v>16.445614708365305</v>
      </c>
      <c r="CX66" t="str">
        <f t="shared" si="278"/>
        <v>$250</v>
      </c>
    </row>
    <row r="67" spans="2:102" x14ac:dyDescent="0.25">
      <c r="B67" s="115" t="s">
        <v>233</v>
      </c>
      <c r="C67" s="13">
        <v>46304.647222222222</v>
      </c>
      <c r="D67">
        <v>13187</v>
      </c>
      <c r="E67" s="54" t="s">
        <v>235</v>
      </c>
      <c r="F67" s="54" t="s">
        <v>365</v>
      </c>
      <c r="G67" s="54" t="s">
        <v>1794</v>
      </c>
      <c r="H67" s="55">
        <v>14.2</v>
      </c>
      <c r="I67" s="55">
        <v>13.700000000000001</v>
      </c>
      <c r="J67" s="55">
        <v>13.5</v>
      </c>
      <c r="K67" s="54"/>
      <c r="L67" s="56" t="b">
        <v>0</v>
      </c>
      <c r="M67" s="56" t="b">
        <v>0</v>
      </c>
      <c r="N67" s="54">
        <v>1</v>
      </c>
      <c r="O67" s="54" t="s">
        <v>228</v>
      </c>
      <c r="P67" s="54">
        <v>26</v>
      </c>
      <c r="Q67" s="54">
        <v>6</v>
      </c>
      <c r="R67" s="54">
        <v>150</v>
      </c>
      <c r="S67" s="54" t="s">
        <v>1659</v>
      </c>
      <c r="T67" s="54"/>
      <c r="U67" s="54" t="s">
        <v>369</v>
      </c>
      <c r="V67" s="54" t="s">
        <v>370</v>
      </c>
      <c r="W67" s="54" t="b">
        <v>0</v>
      </c>
      <c r="X67" s="54"/>
      <c r="Y67" s="57" t="s">
        <v>1660</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255"/>
        <v>4.9000000000000004</v>
      </c>
      <c r="BG67" s="35">
        <f t="shared" si="255"/>
        <v>6.5333000000000002E-2</v>
      </c>
      <c r="BH67" s="35" t="str">
        <f t="shared" si="256"/>
        <v>Low</v>
      </c>
      <c r="BI67" s="110">
        <f t="shared" si="257"/>
        <v>0</v>
      </c>
      <c r="BJ67" s="83">
        <f>VLOOKUP($F67,REP_Info!$D$6:$H$250,5,FALSE)</f>
        <v>1.9E-2</v>
      </c>
      <c r="BK67" s="30">
        <f t="shared" si="258"/>
        <v>14.213299999999997</v>
      </c>
      <c r="BL67" s="30">
        <f t="shared" si="258"/>
        <v>13.723300000000002</v>
      </c>
      <c r="BM67" s="30">
        <f t="shared" si="258"/>
        <v>13.478300000000001</v>
      </c>
      <c r="BN67" s="29">
        <f t="shared" si="258"/>
        <v>13.396633333333334</v>
      </c>
      <c r="BO67" s="85" t="str">
        <f t="shared" si="259"/>
        <v>$$$</v>
      </c>
      <c r="BP67" s="88" t="str">
        <f t="shared" si="260"/>
        <v>$$$</v>
      </c>
      <c r="BQ67" s="88" t="str">
        <f t="shared" si="261"/>
        <v>$$$</v>
      </c>
      <c r="BR67" s="88" t="str">
        <f t="shared" si="262"/>
        <v>$$$</v>
      </c>
      <c r="BS67" s="29" t="e">
        <f t="shared" si="279"/>
        <v>#N/A</v>
      </c>
      <c r="BT67" s="29" t="e">
        <f t="shared" si="279"/>
        <v>#N/A</v>
      </c>
      <c r="BU67" s="29" t="e">
        <f t="shared" si="279"/>
        <v>#N/A</v>
      </c>
      <c r="BV67" s="29" t="e">
        <f t="shared" si="279"/>
        <v>#N/A</v>
      </c>
      <c r="BW67" s="29" t="e">
        <f t="shared" si="279"/>
        <v>#N/A</v>
      </c>
      <c r="BX67" s="29" t="e">
        <f t="shared" si="279"/>
        <v>#N/A</v>
      </c>
      <c r="BY67" s="29" t="e">
        <f t="shared" si="279"/>
        <v>#N/A</v>
      </c>
      <c r="BZ67" s="29" t="e">
        <f t="shared" si="279"/>
        <v>#N/A</v>
      </c>
      <c r="CA67" s="29" t="e">
        <f t="shared" si="279"/>
        <v>#N/A</v>
      </c>
      <c r="CB67" s="29" t="e">
        <f t="shared" si="279"/>
        <v>#N/A</v>
      </c>
      <c r="CC67" s="29" t="e">
        <f t="shared" si="279"/>
        <v>#N/A</v>
      </c>
      <c r="CD67" s="29" t="e">
        <f t="shared" si="279"/>
        <v>#N/A</v>
      </c>
      <c r="CE67" s="6" t="str">
        <f t="shared" si="7"/>
        <v/>
      </c>
      <c r="CF67" s="27" t="e">
        <f>IF(AND(CI67,NOT(AD67)),LOOKUP(CF$5,{0,750,1500},H67:J67),"")</f>
        <v>#N/A</v>
      </c>
      <c r="CG67" s="6" t="str">
        <f t="shared" si="8"/>
        <v/>
      </c>
      <c r="CH67" t="e">
        <f t="shared" si="264"/>
        <v>#N/A</v>
      </c>
      <c r="CI67" t="e">
        <f t="shared" si="265"/>
        <v>#N/A</v>
      </c>
      <c r="CJ67" s="6" t="e">
        <f t="shared" si="266"/>
        <v>#N/A</v>
      </c>
      <c r="CK67" s="6">
        <f t="shared" si="267"/>
        <v>1</v>
      </c>
      <c r="CL67" s="6">
        <f t="shared" si="268"/>
        <v>1</v>
      </c>
      <c r="CM67" s="6">
        <f t="shared" si="269"/>
        <v>1</v>
      </c>
      <c r="CN67" s="6">
        <f t="shared" si="270"/>
        <v>0</v>
      </c>
      <c r="CO67" s="6">
        <f t="shared" si="271"/>
        <v>1</v>
      </c>
      <c r="CP67" s="6">
        <f t="shared" si="272"/>
        <v>1</v>
      </c>
      <c r="CQ67" s="6">
        <f t="shared" si="273"/>
        <v>1</v>
      </c>
      <c r="CR67" s="81" t="str">
        <f t="shared" si="274"/>
        <v/>
      </c>
      <c r="CS67">
        <f t="shared" si="275"/>
        <v>18</v>
      </c>
      <c r="CT67">
        <f t="shared" ref="CT67" si="280">IF(OR(LEFT($R67,2)="No",LEFT($R67,4)="Batt"),0,VALUE(IFERROR(LEFT($R67,FIND("/",$R67)-1),IFERROR(LEFT($R67,FIND(" ",$R67)-1),$R67))))</f>
        <v>150</v>
      </c>
      <c r="CU67" t="str">
        <f t="shared" si="276"/>
        <v/>
      </c>
      <c r="CV67" s="81">
        <f t="shared" si="277"/>
        <v>150</v>
      </c>
      <c r="CW67" s="81">
        <f>(CV67/25)^1.5*(Calculator!$BU$4/10000)*CW$5</f>
        <v>7.6432310260371077</v>
      </c>
      <c r="CX67" t="str">
        <f t="shared" si="278"/>
        <v>$150</v>
      </c>
    </row>
    <row r="68" spans="2:102" x14ac:dyDescent="0.25">
      <c r="B68" s="115" t="s">
        <v>233</v>
      </c>
      <c r="C68" s="13">
        <v>46309.581944444442</v>
      </c>
      <c r="D68">
        <v>13196</v>
      </c>
      <c r="E68" s="54" t="s">
        <v>237</v>
      </c>
      <c r="F68" s="54" t="s">
        <v>365</v>
      </c>
      <c r="G68" s="54" t="s">
        <v>1794</v>
      </c>
      <c r="H68" s="55">
        <v>14.499999999999998</v>
      </c>
      <c r="I68" s="55">
        <v>14.099999999999998</v>
      </c>
      <c r="J68" s="55">
        <v>13.900000000000002</v>
      </c>
      <c r="K68" s="54"/>
      <c r="L68" s="56" t="b">
        <v>0</v>
      </c>
      <c r="M68" s="56" t="b">
        <v>0</v>
      </c>
      <c r="N68" s="54">
        <v>1</v>
      </c>
      <c r="O68" s="54" t="s">
        <v>228</v>
      </c>
      <c r="P68" s="54">
        <v>26</v>
      </c>
      <c r="Q68" s="54">
        <v>6</v>
      </c>
      <c r="R68" s="54">
        <v>150</v>
      </c>
      <c r="S68" s="54" t="s">
        <v>1659</v>
      </c>
      <c r="T68" s="54"/>
      <c r="U68" s="54" t="s">
        <v>369</v>
      </c>
      <c r="V68" s="54" t="s">
        <v>370</v>
      </c>
      <c r="W68" s="54" t="b">
        <v>0</v>
      </c>
      <c r="X68" s="54"/>
      <c r="Y68" s="57" t="s">
        <v>1661</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ref="BH68:BH102" si="281">IF(ISTEXT(BE68),IF(AND(AV68=0,SUM(AN68:AQ68)=0),IF(AM68&lt;=0,IF(BE68="Y","Low","Flat"),"Med"),"High"),"?")</f>
        <v>Low</v>
      </c>
      <c r="BI68" s="110">
        <f t="shared" ref="BI68:BI102" si="282">IF(ISNUMBER(AH68),0*BI$5*SIN((EDATE($A$3,$Q68)-DATE(YEAR(EDATE($A$3,$Q68)),1,0)-BI$4)*2*PI()/365),"")</f>
        <v>0</v>
      </c>
      <c r="BJ68" s="83">
        <f>VLOOKUP($F68,REP_Info!$D$6:$H$250,5,FALSE)</f>
        <v>1.9E-2</v>
      </c>
      <c r="BK68" s="30">
        <f t="shared" ref="BK68:BN102" si="283">IF(BK$7&gt;0,(LOOKUP(BK$7,$AH68:$AL68,$AM68:$AQ68)+IF($AG68="Y",SUMPRODUCT($AX68:$BB68-$AW68:$BA68,BK$7-$AR68:$AV68,N(BK$7&gt;$AR68:$AV68)),BK$7*LOOKUP(BK$7,$AR68:$AV68,$AX68:$BB68))+IF($BE68="Y",$BF68,$BC68)+BK$7*IF($BE68="Y",$BG68,$BD68))*100/BK$7,"")</f>
        <v>14.4793</v>
      </c>
      <c r="BL68" s="30">
        <f t="shared" si="283"/>
        <v>14.073300000000001</v>
      </c>
      <c r="BM68" s="30">
        <f t="shared" si="283"/>
        <v>13.8703</v>
      </c>
      <c r="BN68" s="29">
        <f t="shared" si="283"/>
        <v>13.802633333333336</v>
      </c>
      <c r="BO68" s="85" t="str">
        <f t="shared" si="2"/>
        <v>$$$</v>
      </c>
      <c r="BP68" s="88" t="str">
        <f t="shared" ref="BP68:BP102" si="284">IFERROR(BO68*100/BO$5,"$$$")</f>
        <v>$$$</v>
      </c>
      <c r="BQ68" s="88" t="str">
        <f t="shared" si="4"/>
        <v>$$$</v>
      </c>
      <c r="BR68" s="88" t="str">
        <f t="shared" si="5"/>
        <v>$$$</v>
      </c>
      <c r="BS68" s="29" t="e">
        <f t="shared" ref="BS68:CD80" si="285">IF($CI68,IF(BS$7&gt;0,IF(BS$4&gt;$Q68,$BF68+BS$7*(BS$5+$BG68+$BI68),LOOKUP(BS$7,$AH68:$AL68,$AM68:$AQ68)+IF($AG68="Y",SUMPRODUCT($AX68:$BB68-$AW68:$BA68,BS$7-$AR68:$AV68,N(BS$7&gt;$AR68:$AV68)),BS$7*LOOKUP(BS$7,$AR68:$AV68,$AX68:$BB68))+IF($BE68="Y",$BF68,$BC68)+BS$7*IF($BE68="Y",$BG68,$BD68))*100/BS$7,""),NA())</f>
        <v>#N/A</v>
      </c>
      <c r="BT68" s="29" t="e">
        <f t="shared" si="285"/>
        <v>#N/A</v>
      </c>
      <c r="BU68" s="29" t="e">
        <f t="shared" si="285"/>
        <v>#N/A</v>
      </c>
      <c r="BV68" s="29" t="e">
        <f t="shared" si="285"/>
        <v>#N/A</v>
      </c>
      <c r="BW68" s="29" t="e">
        <f t="shared" si="285"/>
        <v>#N/A</v>
      </c>
      <c r="BX68" s="29" t="e">
        <f t="shared" si="285"/>
        <v>#N/A</v>
      </c>
      <c r="BY68" s="29" t="e">
        <f t="shared" si="285"/>
        <v>#N/A</v>
      </c>
      <c r="BZ68" s="29" t="e">
        <f t="shared" si="285"/>
        <v>#N/A</v>
      </c>
      <c r="CA68" s="29" t="e">
        <f t="shared" si="285"/>
        <v>#N/A</v>
      </c>
      <c r="CB68" s="29" t="e">
        <f t="shared" si="285"/>
        <v>#N/A</v>
      </c>
      <c r="CC68" s="29" t="e">
        <f t="shared" si="285"/>
        <v>#N/A</v>
      </c>
      <c r="CD68" s="29" t="e">
        <f t="shared" si="285"/>
        <v>#N/A</v>
      </c>
      <c r="CE68" s="6" t="str">
        <f t="shared" si="7"/>
        <v/>
      </c>
      <c r="CF68" s="27" t="e">
        <f>IF(AND(CI68,NOT(AD68)),LOOKUP(CF$5,{0,750,1500},H68:J68),"")</f>
        <v>#N/A</v>
      </c>
      <c r="CG68" s="6" t="str">
        <f t="shared" si="8"/>
        <v/>
      </c>
      <c r="CH68" t="e">
        <f t="shared" ref="CH68:CH102" si="286">IF(CI68,IF(ISNUMBER(BO68),BO68,100000)+CV68/10000+IF(ISNUMBER(BJ68),BJ68,2)/10000-P68/100000+ROW()/10000000,"")</f>
        <v>#N/A</v>
      </c>
      <c r="CI68" t="e">
        <f t="shared" ref="CI68:CI102" si="287">PRODUCT(CJ68:CQ68)</f>
        <v>#N/A</v>
      </c>
      <c r="CJ68" s="6" t="e">
        <f t="shared" si="11"/>
        <v>#N/A</v>
      </c>
      <c r="CK68" s="6">
        <f t="shared" si="12"/>
        <v>1</v>
      </c>
      <c r="CL68" s="6">
        <f t="shared" si="26"/>
        <v>1</v>
      </c>
      <c r="CM68" s="6">
        <f t="shared" si="13"/>
        <v>1</v>
      </c>
      <c r="CN68" s="6">
        <f t="shared" si="14"/>
        <v>0</v>
      </c>
      <c r="CO68" s="6">
        <f t="shared" si="15"/>
        <v>1</v>
      </c>
      <c r="CP68" s="6">
        <f t="shared" si="16"/>
        <v>1</v>
      </c>
      <c r="CQ68" s="6">
        <f t="shared" ref="CQ68:CQ102" si="288">IF(CQ$5="Any",1,IF(AND(CQ$5="Med",AV68=0,SUM(AN68:AQ68)=0),1,IF(AND(CQ$5="Low",AV68=0,SUM(AN68:AQ68)=0,AM68=0),1,IF(AND(CQ$5="Flat",AV68=0,SUM(AN68:AQ68)=0,AM68=0,IFERROR(NOT(BE68="Y"),0)),1,0))))</f>
        <v>1</v>
      </c>
      <c r="CR68" s="81" t="str">
        <f t="shared" si="17"/>
        <v/>
      </c>
      <c r="CS68">
        <f t="shared" ref="CS68:CS102" si="289">CS$5*(12/(MIN(12,Q68))-1)</f>
        <v>18</v>
      </c>
      <c r="CT68">
        <f t="shared" si="19"/>
        <v>150</v>
      </c>
      <c r="CU68" t="str">
        <f t="shared" si="29"/>
        <v/>
      </c>
      <c r="CV68" s="81">
        <f t="shared" ref="CV68:CV102" si="290">CT68*IF(CU68="",1,Q68)</f>
        <v>150</v>
      </c>
      <c r="CW68" s="81">
        <f>(CV68/25)^1.5*(Calculator!$BU$4/10000)*CW$5</f>
        <v>7.6432310260371077</v>
      </c>
      <c r="CX68" t="str">
        <f t="shared" ref="CX68:CX102" si="291">"$"&amp;IF(LEFT(CU68,1)="r",CT68&amp;"/"&amp;CU68,CV68)</f>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81"/>
        <v>Low</v>
      </c>
      <c r="BI69" s="110">
        <f t="shared" si="282"/>
        <v>0</v>
      </c>
      <c r="BJ69" s="83">
        <f>VLOOKUP($F69,REP_Info!$D$6:$H$250,5,FALSE)</f>
        <v>1.9E-2</v>
      </c>
      <c r="BK69" s="30">
        <f t="shared" si="283"/>
        <v>14.613299999999997</v>
      </c>
      <c r="BL69" s="30">
        <f t="shared" si="283"/>
        <v>14.1233</v>
      </c>
      <c r="BM69" s="30">
        <f t="shared" si="283"/>
        <v>13.878300000000001</v>
      </c>
      <c r="BN69" s="29">
        <f t="shared" si="283"/>
        <v>13.796633333333334</v>
      </c>
      <c r="BO69" s="85" t="str">
        <f t="shared" si="2"/>
        <v>$$$</v>
      </c>
      <c r="BP69" s="88" t="str">
        <f t="shared" si="284"/>
        <v>$$$</v>
      </c>
      <c r="BQ69" s="88" t="str">
        <f t="shared" si="4"/>
        <v>$$$</v>
      </c>
      <c r="BR69" s="88" t="str">
        <f t="shared" si="5"/>
        <v>$$$</v>
      </c>
      <c r="BS69" s="29" t="e">
        <f t="shared" si="285"/>
        <v>#N/A</v>
      </c>
      <c r="BT69" s="29" t="e">
        <f t="shared" si="285"/>
        <v>#N/A</v>
      </c>
      <c r="BU69" s="29" t="e">
        <f t="shared" si="285"/>
        <v>#N/A</v>
      </c>
      <c r="BV69" s="29" t="e">
        <f t="shared" si="285"/>
        <v>#N/A</v>
      </c>
      <c r="BW69" s="29" t="e">
        <f t="shared" si="285"/>
        <v>#N/A</v>
      </c>
      <c r="BX69" s="29" t="e">
        <f t="shared" si="285"/>
        <v>#N/A</v>
      </c>
      <c r="BY69" s="29" t="e">
        <f t="shared" si="285"/>
        <v>#N/A</v>
      </c>
      <c r="BZ69" s="29" t="e">
        <f t="shared" si="285"/>
        <v>#N/A</v>
      </c>
      <c r="CA69" s="29" t="e">
        <f t="shared" si="285"/>
        <v>#N/A</v>
      </c>
      <c r="CB69" s="29" t="e">
        <f t="shared" si="285"/>
        <v>#N/A</v>
      </c>
      <c r="CC69" s="29" t="e">
        <f t="shared" si="285"/>
        <v>#N/A</v>
      </c>
      <c r="CD69" s="29" t="e">
        <f t="shared" si="285"/>
        <v>#N/A</v>
      </c>
      <c r="CE69" s="6" t="str">
        <f t="shared" si="7"/>
        <v/>
      </c>
      <c r="CF69" s="27" t="e">
        <f>IF(AND(CI69,NOT(AD69)),LOOKUP(CF$5,{0,750,1500},H69:J69),"")</f>
        <v>#N/A</v>
      </c>
      <c r="CG69" s="6" t="str">
        <f t="shared" si="8"/>
        <v/>
      </c>
      <c r="CH69" t="e">
        <f t="shared" si="286"/>
        <v>#N/A</v>
      </c>
      <c r="CI69" t="e">
        <f t="shared" si="287"/>
        <v>#N/A</v>
      </c>
      <c r="CJ69" s="6" t="e">
        <f t="shared" si="11"/>
        <v>#N/A</v>
      </c>
      <c r="CK69" s="6">
        <f t="shared" si="12"/>
        <v>1</v>
      </c>
      <c r="CL69" s="6">
        <f t="shared" si="26"/>
        <v>1</v>
      </c>
      <c r="CM69" s="6">
        <f t="shared" si="13"/>
        <v>1</v>
      </c>
      <c r="CN69" s="6">
        <f t="shared" si="14"/>
        <v>1</v>
      </c>
      <c r="CO69" s="6">
        <f t="shared" si="15"/>
        <v>1</v>
      </c>
      <c r="CP69" s="6">
        <f t="shared" si="16"/>
        <v>1</v>
      </c>
      <c r="CQ69" s="6">
        <f t="shared" si="288"/>
        <v>1</v>
      </c>
      <c r="CR69" s="81" t="str">
        <f t="shared" si="17"/>
        <v/>
      </c>
      <c r="CS69">
        <f t="shared" si="289"/>
        <v>0</v>
      </c>
      <c r="CT69">
        <f t="shared" si="19"/>
        <v>150</v>
      </c>
      <c r="CU69" t="str">
        <f t="shared" si="29"/>
        <v/>
      </c>
      <c r="CV69" s="81">
        <f t="shared" si="290"/>
        <v>150</v>
      </c>
      <c r="CW69" s="81">
        <f>(CV69/25)^1.5*(Calculator!$BU$4/10000)*CW$5</f>
        <v>7.6432310260371077</v>
      </c>
      <c r="CX69" t="str">
        <f t="shared" si="291"/>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81"/>
        <v>Low</v>
      </c>
      <c r="BI70" s="110">
        <f t="shared" si="282"/>
        <v>0</v>
      </c>
      <c r="BJ70" s="83">
        <f>VLOOKUP($F70,REP_Info!$D$6:$H$250,5,FALSE)</f>
        <v>1.9E-2</v>
      </c>
      <c r="BK70" s="30">
        <f t="shared" si="283"/>
        <v>15.013299999999997</v>
      </c>
      <c r="BL70" s="30">
        <f t="shared" si="283"/>
        <v>14.523300000000001</v>
      </c>
      <c r="BM70" s="30">
        <f t="shared" si="283"/>
        <v>14.278300000000002</v>
      </c>
      <c r="BN70" s="29">
        <f t="shared" si="283"/>
        <v>14.196633333333335</v>
      </c>
      <c r="BO70" s="85" t="str">
        <f t="shared" si="2"/>
        <v>$$$</v>
      </c>
      <c r="BP70" s="88" t="str">
        <f t="shared" si="284"/>
        <v>$$$</v>
      </c>
      <c r="BQ70" s="88" t="str">
        <f t="shared" si="4"/>
        <v>$$$</v>
      </c>
      <c r="BR70" s="88" t="str">
        <f t="shared" si="5"/>
        <v>$$$</v>
      </c>
      <c r="BS70" s="29" t="e">
        <f t="shared" si="285"/>
        <v>#N/A</v>
      </c>
      <c r="BT70" s="29" t="e">
        <f t="shared" si="285"/>
        <v>#N/A</v>
      </c>
      <c r="BU70" s="29" t="e">
        <f t="shared" si="285"/>
        <v>#N/A</v>
      </c>
      <c r="BV70" s="29" t="e">
        <f t="shared" si="285"/>
        <v>#N/A</v>
      </c>
      <c r="BW70" s="29" t="e">
        <f t="shared" si="285"/>
        <v>#N/A</v>
      </c>
      <c r="BX70" s="29" t="e">
        <f t="shared" si="285"/>
        <v>#N/A</v>
      </c>
      <c r="BY70" s="29" t="e">
        <f t="shared" si="285"/>
        <v>#N/A</v>
      </c>
      <c r="BZ70" s="29" t="e">
        <f t="shared" si="285"/>
        <v>#N/A</v>
      </c>
      <c r="CA70" s="29" t="e">
        <f t="shared" si="285"/>
        <v>#N/A</v>
      </c>
      <c r="CB70" s="29" t="e">
        <f t="shared" si="285"/>
        <v>#N/A</v>
      </c>
      <c r="CC70" s="29" t="e">
        <f t="shared" si="285"/>
        <v>#N/A</v>
      </c>
      <c r="CD70" s="29" t="e">
        <f t="shared" si="285"/>
        <v>#N/A</v>
      </c>
      <c r="CE70" s="6" t="str">
        <f t="shared" si="7"/>
        <v/>
      </c>
      <c r="CF70" s="27" t="e">
        <f>IF(AND(CI70,NOT(AD70)),LOOKUP(CF$5,{0,750,1500},H70:J70),"")</f>
        <v>#N/A</v>
      </c>
      <c r="CG70" s="6" t="str">
        <f t="shared" si="8"/>
        <v/>
      </c>
      <c r="CH70" t="e">
        <f t="shared" si="286"/>
        <v>#N/A</v>
      </c>
      <c r="CI70" t="e">
        <f t="shared" si="287"/>
        <v>#N/A</v>
      </c>
      <c r="CJ70" s="6" t="e">
        <f t="shared" si="11"/>
        <v>#N/A</v>
      </c>
      <c r="CK70" s="6">
        <f t="shared" si="12"/>
        <v>1</v>
      </c>
      <c r="CL70" s="6">
        <f t="shared" si="26"/>
        <v>1</v>
      </c>
      <c r="CM70" s="6">
        <f t="shared" si="13"/>
        <v>1</v>
      </c>
      <c r="CN70" s="6">
        <f t="shared" si="14"/>
        <v>1</v>
      </c>
      <c r="CO70" s="6">
        <f t="shared" si="15"/>
        <v>0</v>
      </c>
      <c r="CP70" s="6">
        <f t="shared" si="16"/>
        <v>1</v>
      </c>
      <c r="CQ70" s="6">
        <f t="shared" si="288"/>
        <v>1</v>
      </c>
      <c r="CR70" s="81" t="str">
        <f t="shared" si="17"/>
        <v/>
      </c>
      <c r="CS70">
        <f t="shared" si="289"/>
        <v>0</v>
      </c>
      <c r="CT70">
        <f t="shared" si="19"/>
        <v>250</v>
      </c>
      <c r="CU70" t="str">
        <f t="shared" si="29"/>
        <v/>
      </c>
      <c r="CV70" s="81">
        <f t="shared" si="290"/>
        <v>250</v>
      </c>
      <c r="CW70" s="81">
        <f>(CV70/25)^1.5*(Calculator!$BU$4/10000)*CW$5</f>
        <v>16.445614708365305</v>
      </c>
      <c r="CX70" t="str">
        <f t="shared" si="291"/>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0"/>
        <v>4.0600000000000005</v>
      </c>
      <c r="BG71" s="35">
        <f t="shared" si="0"/>
        <v>6.8672999999999998E-2</v>
      </c>
      <c r="BH71" s="35" t="str">
        <f t="shared" si="281"/>
        <v>Low</v>
      </c>
      <c r="BI71" s="110">
        <f t="shared" si="282"/>
        <v>0</v>
      </c>
      <c r="BJ71" s="83">
        <f>VLOOKUP($F71,REP_Info!$D$6:$H$250,5,FALSE)</f>
        <v>1.9E-2</v>
      </c>
      <c r="BK71" s="30">
        <f t="shared" si="283"/>
        <v>14.679300000000001</v>
      </c>
      <c r="BL71" s="30">
        <f t="shared" si="283"/>
        <v>14.273300000000001</v>
      </c>
      <c r="BM71" s="30">
        <f t="shared" si="283"/>
        <v>14.070300000000001</v>
      </c>
      <c r="BN71" s="29">
        <f t="shared" si="283"/>
        <v>14.002633333333335</v>
      </c>
      <c r="BO71" s="85" t="str">
        <f t="shared" si="2"/>
        <v>$$$</v>
      </c>
      <c r="BP71" s="88" t="str">
        <f t="shared" si="284"/>
        <v>$$$</v>
      </c>
      <c r="BQ71" s="88" t="str">
        <f t="shared" si="4"/>
        <v>$$$</v>
      </c>
      <c r="BR71" s="88" t="str">
        <f t="shared" si="5"/>
        <v>$$$</v>
      </c>
      <c r="BS71" s="29" t="e">
        <f t="shared" si="285"/>
        <v>#N/A</v>
      </c>
      <c r="BT71" s="29" t="e">
        <f t="shared" si="285"/>
        <v>#N/A</v>
      </c>
      <c r="BU71" s="29" t="e">
        <f t="shared" si="285"/>
        <v>#N/A</v>
      </c>
      <c r="BV71" s="29" t="e">
        <f t="shared" si="285"/>
        <v>#N/A</v>
      </c>
      <c r="BW71" s="29" t="e">
        <f t="shared" si="285"/>
        <v>#N/A</v>
      </c>
      <c r="BX71" s="29" t="e">
        <f t="shared" si="285"/>
        <v>#N/A</v>
      </c>
      <c r="BY71" s="29" t="e">
        <f t="shared" si="285"/>
        <v>#N/A</v>
      </c>
      <c r="BZ71" s="29" t="e">
        <f t="shared" si="285"/>
        <v>#N/A</v>
      </c>
      <c r="CA71" s="29" t="e">
        <f t="shared" si="285"/>
        <v>#N/A</v>
      </c>
      <c r="CB71" s="29" t="e">
        <f t="shared" si="285"/>
        <v>#N/A</v>
      </c>
      <c r="CC71" s="29" t="e">
        <f t="shared" si="285"/>
        <v>#N/A</v>
      </c>
      <c r="CD71" s="29" t="e">
        <f t="shared" si="285"/>
        <v>#N/A</v>
      </c>
      <c r="CE71" s="6" t="str">
        <f t="shared" si="7"/>
        <v/>
      </c>
      <c r="CF71" s="27" t="e">
        <f>IF(AND(CI71,NOT(AD71)),LOOKUP(CF$5,{0,750,1500},H71:J71),"")</f>
        <v>#N/A</v>
      </c>
      <c r="CG71" s="6" t="str">
        <f t="shared" si="8"/>
        <v/>
      </c>
      <c r="CH71" t="e">
        <f t="shared" si="286"/>
        <v>#N/A</v>
      </c>
      <c r="CI71" t="e">
        <f t="shared" si="287"/>
        <v>#N/A</v>
      </c>
      <c r="CJ71" s="6" t="e">
        <f t="shared" si="11"/>
        <v>#N/A</v>
      </c>
      <c r="CK71" s="6">
        <f t="shared" si="12"/>
        <v>1</v>
      </c>
      <c r="CL71" s="6">
        <f t="shared" si="26"/>
        <v>1</v>
      </c>
      <c r="CM71" s="6">
        <f t="shared" si="13"/>
        <v>1</v>
      </c>
      <c r="CN71" s="6">
        <f t="shared" si="14"/>
        <v>1</v>
      </c>
      <c r="CO71" s="6">
        <f t="shared" si="15"/>
        <v>1</v>
      </c>
      <c r="CP71" s="6">
        <f t="shared" si="16"/>
        <v>1</v>
      </c>
      <c r="CQ71" s="6">
        <f t="shared" si="288"/>
        <v>1</v>
      </c>
      <c r="CR71" s="81" t="str">
        <f t="shared" si="17"/>
        <v/>
      </c>
      <c r="CS71">
        <f t="shared" si="289"/>
        <v>0</v>
      </c>
      <c r="CT71">
        <f t="shared" si="19"/>
        <v>150</v>
      </c>
      <c r="CU71" t="str">
        <f t="shared" si="29"/>
        <v/>
      </c>
      <c r="CV71" s="81">
        <f t="shared" si="290"/>
        <v>150</v>
      </c>
      <c r="CW71" s="81">
        <f>(CV71/25)^1.5*(Calculator!$BU$4/10000)*CW$5</f>
        <v>7.6432310260371077</v>
      </c>
      <c r="CX71" t="str">
        <f t="shared" si="291"/>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0"/>
        <v>4.0600000000000005</v>
      </c>
      <c r="BG72" s="35">
        <f t="shared" si="0"/>
        <v>6.8672999999999998E-2</v>
      </c>
      <c r="BH72" s="35" t="str">
        <f t="shared" si="281"/>
        <v>Low</v>
      </c>
      <c r="BI72" s="110">
        <f t="shared" si="282"/>
        <v>0</v>
      </c>
      <c r="BJ72" s="83">
        <f>VLOOKUP($F72,REP_Info!$D$6:$H$250,5,FALSE)</f>
        <v>1.9E-2</v>
      </c>
      <c r="BK72" s="30">
        <f t="shared" si="283"/>
        <v>15.279300000000001</v>
      </c>
      <c r="BL72" s="30">
        <f t="shared" si="283"/>
        <v>14.8733</v>
      </c>
      <c r="BM72" s="30">
        <f t="shared" si="283"/>
        <v>14.670300000000001</v>
      </c>
      <c r="BN72" s="29">
        <f t="shared" si="283"/>
        <v>14.602633333333333</v>
      </c>
      <c r="BO72" s="85" t="str">
        <f t="shared" si="2"/>
        <v>$$$</v>
      </c>
      <c r="BP72" s="88" t="str">
        <f t="shared" si="284"/>
        <v>$$$</v>
      </c>
      <c r="BQ72" s="88" t="str">
        <f t="shared" si="4"/>
        <v>$$$</v>
      </c>
      <c r="BR72" s="88" t="str">
        <f t="shared" si="5"/>
        <v>$$$</v>
      </c>
      <c r="BS72" s="29" t="e">
        <f t="shared" si="285"/>
        <v>#N/A</v>
      </c>
      <c r="BT72" s="29" t="e">
        <f t="shared" si="285"/>
        <v>#N/A</v>
      </c>
      <c r="BU72" s="29" t="e">
        <f t="shared" si="285"/>
        <v>#N/A</v>
      </c>
      <c r="BV72" s="29" t="e">
        <f t="shared" si="285"/>
        <v>#N/A</v>
      </c>
      <c r="BW72" s="29" t="e">
        <f t="shared" si="285"/>
        <v>#N/A</v>
      </c>
      <c r="BX72" s="29" t="e">
        <f t="shared" si="285"/>
        <v>#N/A</v>
      </c>
      <c r="BY72" s="29" t="e">
        <f t="shared" si="285"/>
        <v>#N/A</v>
      </c>
      <c r="BZ72" s="29" t="e">
        <f t="shared" si="285"/>
        <v>#N/A</v>
      </c>
      <c r="CA72" s="29" t="e">
        <f t="shared" si="285"/>
        <v>#N/A</v>
      </c>
      <c r="CB72" s="29" t="e">
        <f t="shared" si="285"/>
        <v>#N/A</v>
      </c>
      <c r="CC72" s="29" t="e">
        <f t="shared" si="285"/>
        <v>#N/A</v>
      </c>
      <c r="CD72" s="29" t="e">
        <f t="shared" si="285"/>
        <v>#N/A</v>
      </c>
      <c r="CE72" s="6" t="str">
        <f t="shared" si="7"/>
        <v/>
      </c>
      <c r="CF72" s="27" t="e">
        <f>IF(AND(CI72,NOT(AD72)),LOOKUP(CF$5,{0,750,1500},H72:J72),"")</f>
        <v>#N/A</v>
      </c>
      <c r="CG72" s="6" t="str">
        <f t="shared" si="8"/>
        <v/>
      </c>
      <c r="CH72" t="e">
        <f t="shared" si="286"/>
        <v>#N/A</v>
      </c>
      <c r="CI72" t="e">
        <f t="shared" si="287"/>
        <v>#N/A</v>
      </c>
      <c r="CJ72" s="6" t="e">
        <f t="shared" si="11"/>
        <v>#N/A</v>
      </c>
      <c r="CK72" s="6">
        <f t="shared" si="12"/>
        <v>1</v>
      </c>
      <c r="CL72" s="6">
        <f t="shared" si="26"/>
        <v>1</v>
      </c>
      <c r="CM72" s="6">
        <f t="shared" si="13"/>
        <v>1</v>
      </c>
      <c r="CN72" s="6">
        <f t="shared" si="14"/>
        <v>1</v>
      </c>
      <c r="CO72" s="6">
        <f t="shared" si="15"/>
        <v>0</v>
      </c>
      <c r="CP72" s="6">
        <f t="shared" si="16"/>
        <v>1</v>
      </c>
      <c r="CQ72" s="6">
        <f t="shared" si="288"/>
        <v>1</v>
      </c>
      <c r="CR72" s="81" t="str">
        <f t="shared" si="17"/>
        <v/>
      </c>
      <c r="CS72">
        <f t="shared" si="289"/>
        <v>0</v>
      </c>
      <c r="CT72">
        <f t="shared" si="19"/>
        <v>250</v>
      </c>
      <c r="CU72" t="str">
        <f t="shared" si="29"/>
        <v/>
      </c>
      <c r="CV72" s="81">
        <f t="shared" si="290"/>
        <v>250</v>
      </c>
      <c r="CW72" s="81">
        <f>(CV72/25)^1.5*(Calculator!$BU$4/10000)*CW$5</f>
        <v>16.445614708365305</v>
      </c>
      <c r="CX72" t="str">
        <f t="shared" si="291"/>
        <v>$250</v>
      </c>
    </row>
    <row r="73" spans="2:102" x14ac:dyDescent="0.25">
      <c r="B73" s="115" t="s">
        <v>233</v>
      </c>
      <c r="C73" s="13">
        <v>46318.697916666664</v>
      </c>
      <c r="D73">
        <v>21502</v>
      </c>
      <c r="E73" s="54" t="s">
        <v>237</v>
      </c>
      <c r="F73" s="54" t="s">
        <v>382</v>
      </c>
      <c r="G73" s="54" t="s">
        <v>383</v>
      </c>
      <c r="H73" s="55">
        <v>13.8</v>
      </c>
      <c r="I73" s="55">
        <v>13.4</v>
      </c>
      <c r="J73" s="55">
        <v>13.200000000000001</v>
      </c>
      <c r="K73" s="54"/>
      <c r="L73" s="56" t="b">
        <v>0</v>
      </c>
      <c r="M73" s="56" t="b">
        <v>0</v>
      </c>
      <c r="N73" s="54">
        <v>1</v>
      </c>
      <c r="O73" s="54" t="s">
        <v>228</v>
      </c>
      <c r="P73" s="54">
        <v>100</v>
      </c>
      <c r="Q73" s="54">
        <v>36</v>
      </c>
      <c r="R73" s="54">
        <v>99</v>
      </c>
      <c r="S73" s="54" t="s">
        <v>384</v>
      </c>
      <c r="T73" s="54" t="s">
        <v>385</v>
      </c>
      <c r="U73" s="54" t="s">
        <v>2229</v>
      </c>
      <c r="V73" s="54" t="s">
        <v>2232</v>
      </c>
      <c r="W73" s="54" t="b">
        <v>0</v>
      </c>
      <c r="X73" s="54"/>
      <c r="Y73" s="57" t="s">
        <v>2233</v>
      </c>
      <c r="Z73" s="54" t="s">
        <v>386</v>
      </c>
      <c r="AA73" s="54"/>
      <c r="AB73" s="54" t="s">
        <v>387</v>
      </c>
      <c r="AC73" s="56" t="b">
        <v>0</v>
      </c>
      <c r="AD73" s="56" t="b">
        <v>0</v>
      </c>
      <c r="AE73" s="54" t="s">
        <v>302</v>
      </c>
      <c r="AF73" s="58">
        <v>46318</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6.1699999999999998E-2</v>
      </c>
      <c r="BC73" s="60">
        <v>4.0599999999999996</v>
      </c>
      <c r="BD73" s="61">
        <v>6.8672999999999998E-2</v>
      </c>
      <c r="BE73" s="62" t="s">
        <v>293</v>
      </c>
      <c r="BF73" s="35">
        <f t="shared" si="0"/>
        <v>4.0600000000000005</v>
      </c>
      <c r="BG73" s="35">
        <f t="shared" si="0"/>
        <v>6.8672999999999998E-2</v>
      </c>
      <c r="BH73" s="35" t="str">
        <f t="shared" si="281"/>
        <v>Low</v>
      </c>
      <c r="BI73" s="110">
        <f t="shared" si="282"/>
        <v>0</v>
      </c>
      <c r="BJ73" s="83">
        <f>VLOOKUP($F73,REP_Info!$D$6:$H$250,5,FALSE)</f>
        <v>3.9169999999999998</v>
      </c>
      <c r="BK73" s="30">
        <f t="shared" si="283"/>
        <v>13.849299999999999</v>
      </c>
      <c r="BL73" s="30">
        <f t="shared" si="283"/>
        <v>13.443299999999999</v>
      </c>
      <c r="BM73" s="30">
        <f t="shared" si="283"/>
        <v>13.2403</v>
      </c>
      <c r="BN73" s="29">
        <f t="shared" si="283"/>
        <v>13.172633333333332</v>
      </c>
      <c r="BO73" s="85" t="str">
        <f t="shared" si="2"/>
        <v>$$$</v>
      </c>
      <c r="BP73" s="88" t="str">
        <f t="shared" si="284"/>
        <v>$$$</v>
      </c>
      <c r="BQ73" s="88" t="str">
        <f t="shared" si="4"/>
        <v>$$$</v>
      </c>
      <c r="BR73" s="88" t="str">
        <f t="shared" si="5"/>
        <v>$$$</v>
      </c>
      <c r="BS73" s="29" t="e">
        <f t="shared" si="285"/>
        <v>#N/A</v>
      </c>
      <c r="BT73" s="29" t="e">
        <f t="shared" si="285"/>
        <v>#N/A</v>
      </c>
      <c r="BU73" s="29" t="e">
        <f t="shared" si="285"/>
        <v>#N/A</v>
      </c>
      <c r="BV73" s="29" t="e">
        <f t="shared" si="285"/>
        <v>#N/A</v>
      </c>
      <c r="BW73" s="29" t="e">
        <f t="shared" si="285"/>
        <v>#N/A</v>
      </c>
      <c r="BX73" s="29" t="e">
        <f t="shared" si="285"/>
        <v>#N/A</v>
      </c>
      <c r="BY73" s="29" t="e">
        <f t="shared" si="285"/>
        <v>#N/A</v>
      </c>
      <c r="BZ73" s="29" t="e">
        <f t="shared" si="285"/>
        <v>#N/A</v>
      </c>
      <c r="CA73" s="29" t="e">
        <f t="shared" si="285"/>
        <v>#N/A</v>
      </c>
      <c r="CB73" s="29" t="e">
        <f t="shared" si="285"/>
        <v>#N/A</v>
      </c>
      <c r="CC73" s="29" t="e">
        <f t="shared" si="285"/>
        <v>#N/A</v>
      </c>
      <c r="CD73" s="29" t="e">
        <f t="shared" si="285"/>
        <v>#N/A</v>
      </c>
      <c r="CE73" s="6" t="str">
        <f t="shared" si="7"/>
        <v/>
      </c>
      <c r="CF73" s="27" t="e">
        <f>IF(AND(CI73,NOT(AD73)),LOOKUP(CF$5,{0,750,1500},H73:J73),"")</f>
        <v>#N/A</v>
      </c>
      <c r="CG73" s="6" t="str">
        <f t="shared" si="8"/>
        <v/>
      </c>
      <c r="CH73" t="e">
        <f t="shared" si="286"/>
        <v>#N/A</v>
      </c>
      <c r="CI73" t="e">
        <f t="shared" si="287"/>
        <v>#N/A</v>
      </c>
      <c r="CJ73" s="6" t="e">
        <f t="shared" si="11"/>
        <v>#N/A</v>
      </c>
      <c r="CK73" s="6">
        <f t="shared" si="12"/>
        <v>1</v>
      </c>
      <c r="CL73" s="6">
        <f t="shared" si="26"/>
        <v>1</v>
      </c>
      <c r="CM73" s="6">
        <f t="shared" si="13"/>
        <v>1</v>
      </c>
      <c r="CN73" s="6">
        <f t="shared" si="14"/>
        <v>1</v>
      </c>
      <c r="CO73" s="6">
        <f t="shared" si="15"/>
        <v>0</v>
      </c>
      <c r="CP73" s="6">
        <f t="shared" si="16"/>
        <v>1</v>
      </c>
      <c r="CQ73" s="6">
        <f t="shared" si="288"/>
        <v>1</v>
      </c>
      <c r="CR73" s="81" t="str">
        <f t="shared" si="17"/>
        <v/>
      </c>
      <c r="CS73">
        <f t="shared" si="289"/>
        <v>0</v>
      </c>
      <c r="CT73">
        <f t="shared" si="19"/>
        <v>99</v>
      </c>
      <c r="CU73" t="str">
        <f t="shared" si="29"/>
        <v/>
      </c>
      <c r="CV73" s="81">
        <f t="shared" si="290"/>
        <v>99</v>
      </c>
      <c r="CW73" s="81">
        <f>(CV73/25)^1.5*(Calculator!$BU$4/10000)*CW$5</f>
        <v>4.0981975578080165</v>
      </c>
      <c r="CX73" t="str">
        <f t="shared" si="291"/>
        <v>$99</v>
      </c>
    </row>
    <row r="74" spans="2:102" x14ac:dyDescent="0.25">
      <c r="B74" s="115" t="s">
        <v>233</v>
      </c>
      <c r="C74" s="13">
        <v>46318.697916666664</v>
      </c>
      <c r="D74">
        <v>21694</v>
      </c>
      <c r="E74" s="54" t="s">
        <v>237</v>
      </c>
      <c r="F74" s="54" t="s">
        <v>382</v>
      </c>
      <c r="G74" s="54" t="s">
        <v>388</v>
      </c>
      <c r="H74" s="55">
        <v>13.5</v>
      </c>
      <c r="I74" s="55">
        <v>13.100000000000001</v>
      </c>
      <c r="J74" s="55">
        <v>12.9</v>
      </c>
      <c r="K74" s="54"/>
      <c r="L74" s="56" t="b">
        <v>0</v>
      </c>
      <c r="M74" s="56" t="b">
        <v>0</v>
      </c>
      <c r="N74" s="54">
        <v>1</v>
      </c>
      <c r="O74" s="54" t="s">
        <v>228</v>
      </c>
      <c r="P74" s="54">
        <v>100</v>
      </c>
      <c r="Q74" s="54">
        <v>24</v>
      </c>
      <c r="R74" s="54">
        <v>99</v>
      </c>
      <c r="S74" s="54" t="s">
        <v>384</v>
      </c>
      <c r="T74" s="54" t="s">
        <v>385</v>
      </c>
      <c r="U74" s="54" t="s">
        <v>2230</v>
      </c>
      <c r="V74" s="54" t="s">
        <v>2234</v>
      </c>
      <c r="W74" s="54" t="b">
        <v>0</v>
      </c>
      <c r="X74" s="54"/>
      <c r="Y74" s="57" t="s">
        <v>2235</v>
      </c>
      <c r="Z74" s="54" t="s">
        <v>389</v>
      </c>
      <c r="AA74" s="54"/>
      <c r="AB74" s="54" t="s">
        <v>387</v>
      </c>
      <c r="AC74" s="56" t="b">
        <v>0</v>
      </c>
      <c r="AD74" s="56" t="b">
        <v>0</v>
      </c>
      <c r="AE74" s="54" t="s">
        <v>302</v>
      </c>
      <c r="AF74" s="58">
        <v>46318</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5.8700000000000002E-2</v>
      </c>
      <c r="BC74" s="60">
        <v>4.0599999999999996</v>
      </c>
      <c r="BD74" s="61">
        <v>6.8672999999999998E-2</v>
      </c>
      <c r="BE74" s="62" t="s">
        <v>293</v>
      </c>
      <c r="BF74" s="35">
        <f t="shared" si="0"/>
        <v>4.0600000000000005</v>
      </c>
      <c r="BG74" s="35">
        <f t="shared" si="0"/>
        <v>6.8672999999999998E-2</v>
      </c>
      <c r="BH74" s="35" t="str">
        <f t="shared" si="281"/>
        <v>Low</v>
      </c>
      <c r="BI74" s="110">
        <f t="shared" si="282"/>
        <v>0</v>
      </c>
      <c r="BJ74" s="83">
        <f>VLOOKUP($F74,REP_Info!$D$6:$H$250,5,FALSE)</f>
        <v>3.9169999999999998</v>
      </c>
      <c r="BK74" s="30">
        <f t="shared" si="283"/>
        <v>13.549299999999999</v>
      </c>
      <c r="BL74" s="30">
        <f t="shared" si="283"/>
        <v>13.1433</v>
      </c>
      <c r="BM74" s="30">
        <f t="shared" si="283"/>
        <v>12.940300000000002</v>
      </c>
      <c r="BN74" s="29">
        <f t="shared" si="283"/>
        <v>12.872633333333331</v>
      </c>
      <c r="BO74" s="85" t="str">
        <f t="shared" si="2"/>
        <v>$$$</v>
      </c>
      <c r="BP74" s="88" t="str">
        <f t="shared" si="284"/>
        <v>$$$</v>
      </c>
      <c r="BQ74" s="88" t="str">
        <f t="shared" si="4"/>
        <v>$$$</v>
      </c>
      <c r="BR74" s="88" t="str">
        <f t="shared" si="5"/>
        <v>$$$</v>
      </c>
      <c r="BS74" s="29" t="e">
        <f t="shared" si="285"/>
        <v>#N/A</v>
      </c>
      <c r="BT74" s="29" t="e">
        <f t="shared" si="285"/>
        <v>#N/A</v>
      </c>
      <c r="BU74" s="29" t="e">
        <f t="shared" si="285"/>
        <v>#N/A</v>
      </c>
      <c r="BV74" s="29" t="e">
        <f t="shared" si="285"/>
        <v>#N/A</v>
      </c>
      <c r="BW74" s="29" t="e">
        <f t="shared" si="285"/>
        <v>#N/A</v>
      </c>
      <c r="BX74" s="29" t="e">
        <f t="shared" si="285"/>
        <v>#N/A</v>
      </c>
      <c r="BY74" s="29" t="e">
        <f t="shared" si="285"/>
        <v>#N/A</v>
      </c>
      <c r="BZ74" s="29" t="e">
        <f t="shared" si="285"/>
        <v>#N/A</v>
      </c>
      <c r="CA74" s="29" t="e">
        <f t="shared" si="285"/>
        <v>#N/A</v>
      </c>
      <c r="CB74" s="29" t="e">
        <f t="shared" si="285"/>
        <v>#N/A</v>
      </c>
      <c r="CC74" s="29" t="e">
        <f t="shared" si="285"/>
        <v>#N/A</v>
      </c>
      <c r="CD74" s="29" t="e">
        <f t="shared" si="285"/>
        <v>#N/A</v>
      </c>
      <c r="CE74" s="6" t="str">
        <f t="shared" si="7"/>
        <v/>
      </c>
      <c r="CF74" s="27" t="e">
        <f>IF(AND(CI74,NOT(AD74)),LOOKUP(CF$5,{0,750,1500},H74:J74),"")</f>
        <v>#N/A</v>
      </c>
      <c r="CG74" s="6" t="str">
        <f t="shared" si="8"/>
        <v/>
      </c>
      <c r="CH74" t="e">
        <f t="shared" si="286"/>
        <v>#N/A</v>
      </c>
      <c r="CI74" t="e">
        <f t="shared" si="287"/>
        <v>#N/A</v>
      </c>
      <c r="CJ74" s="6" t="e">
        <f t="shared" si="11"/>
        <v>#N/A</v>
      </c>
      <c r="CK74" s="6">
        <f t="shared" si="12"/>
        <v>1</v>
      </c>
      <c r="CL74" s="6">
        <f t="shared" si="26"/>
        <v>1</v>
      </c>
      <c r="CM74" s="6">
        <f t="shared" si="13"/>
        <v>1</v>
      </c>
      <c r="CN74" s="6">
        <f t="shared" si="14"/>
        <v>1</v>
      </c>
      <c r="CO74" s="6">
        <f t="shared" si="15"/>
        <v>0</v>
      </c>
      <c r="CP74" s="6">
        <f t="shared" si="16"/>
        <v>1</v>
      </c>
      <c r="CQ74" s="6">
        <f t="shared" si="288"/>
        <v>1</v>
      </c>
      <c r="CR74" s="81" t="str">
        <f t="shared" si="17"/>
        <v/>
      </c>
      <c r="CS74">
        <f t="shared" si="289"/>
        <v>0</v>
      </c>
      <c r="CT74">
        <f t="shared" si="19"/>
        <v>99</v>
      </c>
      <c r="CU74" t="str">
        <f t="shared" si="29"/>
        <v/>
      </c>
      <c r="CV74" s="81">
        <f t="shared" si="290"/>
        <v>99</v>
      </c>
      <c r="CW74" s="81">
        <f>(CV74/25)^1.5*(Calculator!$BU$4/10000)*CW$5</f>
        <v>4.0981975578080165</v>
      </c>
      <c r="CX74" t="str">
        <f t="shared" si="291"/>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1867</v>
      </c>
      <c r="V75" s="54" t="s">
        <v>1868</v>
      </c>
      <c r="W75" s="54" t="b">
        <v>0</v>
      </c>
      <c r="X75" s="54"/>
      <c r="Y75" s="57" t="s">
        <v>1869</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0"/>
        <v>4.9000000000000004</v>
      </c>
      <c r="BG75" s="35">
        <f t="shared" si="0"/>
        <v>6.5333000000000002E-2</v>
      </c>
      <c r="BH75" s="35" t="str">
        <f t="shared" si="281"/>
        <v>?</v>
      </c>
      <c r="BI75" s="110" t="str">
        <f t="shared" si="282"/>
        <v/>
      </c>
      <c r="BJ75" s="83">
        <f>VLOOKUP($F75,REP_Info!$D$6:$H$250,5,FALSE)</f>
        <v>3.9169999999999998</v>
      </c>
      <c r="BK75" s="30" t="e">
        <f t="shared" si="283"/>
        <v>#N/A</v>
      </c>
      <c r="BL75" s="30" t="e">
        <f t="shared" si="283"/>
        <v>#N/A</v>
      </c>
      <c r="BM75" s="30" t="e">
        <f t="shared" si="283"/>
        <v>#N/A</v>
      </c>
      <c r="BN75" s="29" t="e">
        <f t="shared" si="283"/>
        <v>#N/A</v>
      </c>
      <c r="BO75" s="85" t="str">
        <f t="shared" si="2"/>
        <v>$$$</v>
      </c>
      <c r="BP75" s="88" t="str">
        <f t="shared" si="284"/>
        <v>$$$</v>
      </c>
      <c r="BQ75" s="88" t="str">
        <f t="shared" si="4"/>
        <v>$$$</v>
      </c>
      <c r="BR75" s="88" t="str">
        <f t="shared" si="5"/>
        <v>$$$</v>
      </c>
      <c r="BS75" s="29" t="e">
        <f t="shared" si="285"/>
        <v>#N/A</v>
      </c>
      <c r="BT75" s="29" t="e">
        <f t="shared" si="285"/>
        <v>#N/A</v>
      </c>
      <c r="BU75" s="29" t="e">
        <f t="shared" si="285"/>
        <v>#N/A</v>
      </c>
      <c r="BV75" s="29" t="e">
        <f t="shared" si="285"/>
        <v>#N/A</v>
      </c>
      <c r="BW75" s="29" t="e">
        <f t="shared" si="285"/>
        <v>#N/A</v>
      </c>
      <c r="BX75" s="29" t="e">
        <f t="shared" si="285"/>
        <v>#N/A</v>
      </c>
      <c r="BY75" s="29" t="e">
        <f t="shared" si="285"/>
        <v>#N/A</v>
      </c>
      <c r="BZ75" s="29" t="e">
        <f t="shared" si="285"/>
        <v>#N/A</v>
      </c>
      <c r="CA75" s="29" t="e">
        <f t="shared" si="285"/>
        <v>#N/A</v>
      </c>
      <c r="CB75" s="29" t="e">
        <f t="shared" si="285"/>
        <v>#N/A</v>
      </c>
      <c r="CC75" s="29" t="e">
        <f t="shared" si="285"/>
        <v>#N/A</v>
      </c>
      <c r="CD75" s="29" t="e">
        <f t="shared" si="285"/>
        <v>#N/A</v>
      </c>
      <c r="CE75" s="6" t="str">
        <f t="shared" si="7"/>
        <v/>
      </c>
      <c r="CF75" s="27" t="e">
        <f>IF(AND(CI75,NOT(AD75)),LOOKUP(CF$5,{0,750,1500},H75:J75),"")</f>
        <v>#N/A</v>
      </c>
      <c r="CG75" s="6" t="str">
        <f t="shared" si="8"/>
        <v/>
      </c>
      <c r="CH75" t="e">
        <f t="shared" si="286"/>
        <v>#N/A</v>
      </c>
      <c r="CI75" t="e">
        <f t="shared" si="287"/>
        <v>#N/A</v>
      </c>
      <c r="CJ75" s="6" t="e">
        <f t="shared" si="11"/>
        <v>#N/A</v>
      </c>
      <c r="CK75" s="6">
        <f t="shared" si="12"/>
        <v>1</v>
      </c>
      <c r="CL75" s="6">
        <f t="shared" si="26"/>
        <v>1</v>
      </c>
      <c r="CM75" s="6">
        <f t="shared" si="13"/>
        <v>0</v>
      </c>
      <c r="CN75" s="6">
        <f t="shared" si="14"/>
        <v>0</v>
      </c>
      <c r="CO75" s="6">
        <f t="shared" si="15"/>
        <v>1</v>
      </c>
      <c r="CP75" s="6">
        <f t="shared" si="16"/>
        <v>1</v>
      </c>
      <c r="CQ75" s="6">
        <f t="shared" si="288"/>
        <v>1</v>
      </c>
      <c r="CR75" s="81" t="str">
        <f t="shared" si="17"/>
        <v/>
      </c>
      <c r="CS75" t="e">
        <f t="shared" si="289"/>
        <v>#DIV/0!</v>
      </c>
      <c r="CT75">
        <f t="shared" si="19"/>
        <v>0</v>
      </c>
      <c r="CU75" t="str">
        <f t="shared" si="29"/>
        <v/>
      </c>
      <c r="CV75" s="81">
        <f t="shared" si="290"/>
        <v>0</v>
      </c>
      <c r="CW75" s="81">
        <f>(CV75/25)^1.5*(Calculator!$BU$4/10000)*CW$5</f>
        <v>0</v>
      </c>
      <c r="CX75" t="str">
        <f t="shared" si="291"/>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1892</v>
      </c>
      <c r="V76" s="54" t="s">
        <v>1893</v>
      </c>
      <c r="W76" s="54" t="b">
        <v>0</v>
      </c>
      <c r="X76" s="54"/>
      <c r="Y76" s="57" t="s">
        <v>1894</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0"/>
        <v>4.0600000000000005</v>
      </c>
      <c r="BG76" s="35">
        <f t="shared" si="0"/>
        <v>6.8672999999999998E-2</v>
      </c>
      <c r="BH76" s="35" t="str">
        <f t="shared" si="281"/>
        <v>?</v>
      </c>
      <c r="BI76" s="110" t="str">
        <f t="shared" si="282"/>
        <v/>
      </c>
      <c r="BJ76" s="83">
        <f>VLOOKUP($F76,REP_Info!$D$6:$H$250,5,FALSE)</f>
        <v>3.9169999999999998</v>
      </c>
      <c r="BK76" s="30" t="e">
        <f t="shared" si="283"/>
        <v>#N/A</v>
      </c>
      <c r="BL76" s="30" t="e">
        <f t="shared" si="283"/>
        <v>#N/A</v>
      </c>
      <c r="BM76" s="30" t="e">
        <f t="shared" si="283"/>
        <v>#N/A</v>
      </c>
      <c r="BN76" s="29" t="e">
        <f t="shared" si="283"/>
        <v>#N/A</v>
      </c>
      <c r="BO76" s="85" t="str">
        <f t="shared" si="2"/>
        <v>$$$</v>
      </c>
      <c r="BP76" s="88" t="str">
        <f t="shared" si="284"/>
        <v>$$$</v>
      </c>
      <c r="BQ76" s="88" t="str">
        <f t="shared" si="4"/>
        <v>$$$</v>
      </c>
      <c r="BR76" s="88" t="str">
        <f t="shared" si="5"/>
        <v>$$$</v>
      </c>
      <c r="BS76" s="29" t="e">
        <f t="shared" si="285"/>
        <v>#N/A</v>
      </c>
      <c r="BT76" s="29" t="e">
        <f t="shared" si="285"/>
        <v>#N/A</v>
      </c>
      <c r="BU76" s="29" t="e">
        <f t="shared" si="285"/>
        <v>#N/A</v>
      </c>
      <c r="BV76" s="29" t="e">
        <f t="shared" si="285"/>
        <v>#N/A</v>
      </c>
      <c r="BW76" s="29" t="e">
        <f t="shared" si="285"/>
        <v>#N/A</v>
      </c>
      <c r="BX76" s="29" t="e">
        <f t="shared" si="285"/>
        <v>#N/A</v>
      </c>
      <c r="BY76" s="29" t="e">
        <f t="shared" si="285"/>
        <v>#N/A</v>
      </c>
      <c r="BZ76" s="29" t="e">
        <f t="shared" si="285"/>
        <v>#N/A</v>
      </c>
      <c r="CA76" s="29" t="e">
        <f t="shared" si="285"/>
        <v>#N/A</v>
      </c>
      <c r="CB76" s="29" t="e">
        <f t="shared" si="285"/>
        <v>#N/A</v>
      </c>
      <c r="CC76" s="29" t="e">
        <f t="shared" si="285"/>
        <v>#N/A</v>
      </c>
      <c r="CD76" s="29" t="e">
        <f t="shared" si="285"/>
        <v>#N/A</v>
      </c>
      <c r="CE76" s="6" t="str">
        <f t="shared" si="7"/>
        <v/>
      </c>
      <c r="CF76" s="27" t="e">
        <f>IF(AND(CI76,NOT(AD76)),LOOKUP(CF$5,{0,750,1500},H76:J76),"")</f>
        <v>#N/A</v>
      </c>
      <c r="CG76" s="6" t="str">
        <f t="shared" si="8"/>
        <v/>
      </c>
      <c r="CH76" t="e">
        <f t="shared" si="286"/>
        <v>#N/A</v>
      </c>
      <c r="CI76" t="e">
        <f t="shared" si="287"/>
        <v>#N/A</v>
      </c>
      <c r="CJ76" s="6" t="e">
        <f t="shared" si="11"/>
        <v>#N/A</v>
      </c>
      <c r="CK76" s="6">
        <f t="shared" si="12"/>
        <v>1</v>
      </c>
      <c r="CL76" s="6">
        <f t="shared" si="26"/>
        <v>1</v>
      </c>
      <c r="CM76" s="6">
        <f t="shared" si="13"/>
        <v>0</v>
      </c>
      <c r="CN76" s="6">
        <f t="shared" si="14"/>
        <v>0</v>
      </c>
      <c r="CO76" s="6">
        <f t="shared" si="15"/>
        <v>1</v>
      </c>
      <c r="CP76" s="6">
        <f t="shared" si="16"/>
        <v>1</v>
      </c>
      <c r="CQ76" s="6">
        <f t="shared" si="288"/>
        <v>1</v>
      </c>
      <c r="CR76" s="81" t="str">
        <f t="shared" si="17"/>
        <v/>
      </c>
      <c r="CS76" t="e">
        <f t="shared" si="289"/>
        <v>#DIV/0!</v>
      </c>
      <c r="CT76">
        <f t="shared" si="19"/>
        <v>0</v>
      </c>
      <c r="CU76" t="str">
        <f t="shared" si="29"/>
        <v/>
      </c>
      <c r="CV76" s="81">
        <f t="shared" si="290"/>
        <v>0</v>
      </c>
      <c r="CW76" s="81">
        <f>(CV76/25)^1.5*(Calculator!$BU$4/10000)*CW$5</f>
        <v>0</v>
      </c>
      <c r="CX76" t="str">
        <f t="shared" si="291"/>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2039</v>
      </c>
      <c r="V77" s="54" t="s">
        <v>2045</v>
      </c>
      <c r="W77" s="54" t="b">
        <v>0</v>
      </c>
      <c r="X77" s="54"/>
      <c r="Y77" s="57" t="s">
        <v>2046</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ref="BF77:BG102" si="292">IF($E77=$E$4,BF$4,IF($E77=$E$5,BF$5,""))</f>
        <v>4.9000000000000004</v>
      </c>
      <c r="BG77" s="35">
        <f t="shared" si="292"/>
        <v>6.5333000000000002E-2</v>
      </c>
      <c r="BH77" s="35" t="str">
        <f t="shared" si="281"/>
        <v>?</v>
      </c>
      <c r="BI77" s="110">
        <f t="shared" si="282"/>
        <v>0</v>
      </c>
      <c r="BJ77" s="83">
        <f>VLOOKUP($F77,REP_Info!$D$6:$H$250,5,FALSE)</f>
        <v>3.9169999999999998</v>
      </c>
      <c r="BK77" s="30" t="e">
        <f t="shared" si="283"/>
        <v>#N/A</v>
      </c>
      <c r="BL77" s="30" t="e">
        <f t="shared" si="283"/>
        <v>#N/A</v>
      </c>
      <c r="BM77" s="30" t="e">
        <f t="shared" si="283"/>
        <v>#N/A</v>
      </c>
      <c r="BN77" s="29" t="e">
        <f t="shared" si="283"/>
        <v>#N/A</v>
      </c>
      <c r="BO77" s="85" t="str">
        <f t="shared" si="2"/>
        <v>$$$</v>
      </c>
      <c r="BP77" s="88" t="str">
        <f t="shared" si="284"/>
        <v>$$$</v>
      </c>
      <c r="BQ77" s="88" t="str">
        <f t="shared" si="4"/>
        <v>$$$</v>
      </c>
      <c r="BR77" s="88" t="str">
        <f t="shared" si="5"/>
        <v>$$$</v>
      </c>
      <c r="BS77" s="29" t="e">
        <f t="shared" si="285"/>
        <v>#N/A</v>
      </c>
      <c r="BT77" s="29" t="e">
        <f t="shared" si="285"/>
        <v>#N/A</v>
      </c>
      <c r="BU77" s="29" t="e">
        <f t="shared" si="285"/>
        <v>#N/A</v>
      </c>
      <c r="BV77" s="29" t="e">
        <f t="shared" si="285"/>
        <v>#N/A</v>
      </c>
      <c r="BW77" s="29" t="e">
        <f t="shared" si="285"/>
        <v>#N/A</v>
      </c>
      <c r="BX77" s="29" t="e">
        <f t="shared" si="285"/>
        <v>#N/A</v>
      </c>
      <c r="BY77" s="29" t="e">
        <f t="shared" si="285"/>
        <v>#N/A</v>
      </c>
      <c r="BZ77" s="29" t="e">
        <f t="shared" si="285"/>
        <v>#N/A</v>
      </c>
      <c r="CA77" s="29" t="e">
        <f t="shared" si="285"/>
        <v>#N/A</v>
      </c>
      <c r="CB77" s="29" t="e">
        <f t="shared" si="285"/>
        <v>#N/A</v>
      </c>
      <c r="CC77" s="29" t="e">
        <f t="shared" si="285"/>
        <v>#N/A</v>
      </c>
      <c r="CD77" s="29" t="e">
        <f t="shared" si="285"/>
        <v>#N/A</v>
      </c>
      <c r="CE77" s="6" t="str">
        <f t="shared" si="7"/>
        <v/>
      </c>
      <c r="CF77" s="27" t="e">
        <f>IF(AND(CI77,NOT(AD77)),LOOKUP(CF$5,{0,750,1500},H77:J77),"")</f>
        <v>#N/A</v>
      </c>
      <c r="CG77" s="6" t="str">
        <f t="shared" si="8"/>
        <v/>
      </c>
      <c r="CH77" t="e">
        <f t="shared" si="286"/>
        <v>#N/A</v>
      </c>
      <c r="CI77" t="e">
        <f t="shared" si="287"/>
        <v>#N/A</v>
      </c>
      <c r="CJ77" s="6" t="e">
        <f t="shared" si="11"/>
        <v>#N/A</v>
      </c>
      <c r="CK77" s="6">
        <f t="shared" si="12"/>
        <v>1</v>
      </c>
      <c r="CL77" s="6">
        <f t="shared" si="26"/>
        <v>1</v>
      </c>
      <c r="CM77" s="6">
        <f t="shared" si="13"/>
        <v>1</v>
      </c>
      <c r="CN77" s="6">
        <f t="shared" si="14"/>
        <v>1</v>
      </c>
      <c r="CO77" s="6">
        <f t="shared" si="15"/>
        <v>1</v>
      </c>
      <c r="CP77" s="6">
        <f t="shared" si="16"/>
        <v>1</v>
      </c>
      <c r="CQ77" s="6">
        <f t="shared" si="288"/>
        <v>1</v>
      </c>
      <c r="CR77" s="81" t="str">
        <f t="shared" si="17"/>
        <v/>
      </c>
      <c r="CS77">
        <f t="shared" si="289"/>
        <v>0</v>
      </c>
      <c r="CT77">
        <f t="shared" si="19"/>
        <v>15</v>
      </c>
      <c r="CU77" t="str">
        <f t="shared" si="29"/>
        <v>rm</v>
      </c>
      <c r="CV77" s="81">
        <f t="shared" si="290"/>
        <v>180</v>
      </c>
      <c r="CW77" s="81">
        <f>(CV77/25)^1.5*(Calculator!$BU$4/10000)*CW$5</f>
        <v>10.047288108441309</v>
      </c>
      <c r="CX77" t="str">
        <f t="shared" si="291"/>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2040</v>
      </c>
      <c r="V78" s="54" t="s">
        <v>2047</v>
      </c>
      <c r="W78" s="54" t="b">
        <v>0</v>
      </c>
      <c r="X78" s="54"/>
      <c r="Y78" s="57" t="s">
        <v>2048</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92"/>
        <v>4.0600000000000005</v>
      </c>
      <c r="BG78" s="35">
        <f t="shared" si="292"/>
        <v>6.8672999999999998E-2</v>
      </c>
      <c r="BH78" s="35" t="str">
        <f t="shared" si="281"/>
        <v>?</v>
      </c>
      <c r="BI78" s="110">
        <f t="shared" si="282"/>
        <v>0</v>
      </c>
      <c r="BJ78" s="83">
        <f>VLOOKUP($F78,REP_Info!$D$6:$H$250,5,FALSE)</f>
        <v>3.9169999999999998</v>
      </c>
      <c r="BK78" s="30" t="e">
        <f t="shared" si="283"/>
        <v>#N/A</v>
      </c>
      <c r="BL78" s="30" t="e">
        <f t="shared" si="283"/>
        <v>#N/A</v>
      </c>
      <c r="BM78" s="30" t="e">
        <f t="shared" si="283"/>
        <v>#N/A</v>
      </c>
      <c r="BN78" s="29" t="e">
        <f t="shared" si="283"/>
        <v>#N/A</v>
      </c>
      <c r="BO78" s="85" t="str">
        <f t="shared" si="2"/>
        <v>$$$</v>
      </c>
      <c r="BP78" s="88" t="str">
        <f t="shared" si="284"/>
        <v>$$$</v>
      </c>
      <c r="BQ78" s="88" t="str">
        <f t="shared" si="4"/>
        <v>$$$</v>
      </c>
      <c r="BR78" s="88" t="str">
        <f t="shared" si="5"/>
        <v>$$$</v>
      </c>
      <c r="BS78" s="29" t="e">
        <f t="shared" si="285"/>
        <v>#N/A</v>
      </c>
      <c r="BT78" s="29" t="e">
        <f t="shared" si="285"/>
        <v>#N/A</v>
      </c>
      <c r="BU78" s="29" t="e">
        <f t="shared" si="285"/>
        <v>#N/A</v>
      </c>
      <c r="BV78" s="29" t="e">
        <f t="shared" si="285"/>
        <v>#N/A</v>
      </c>
      <c r="BW78" s="29" t="e">
        <f t="shared" si="285"/>
        <v>#N/A</v>
      </c>
      <c r="BX78" s="29" t="e">
        <f t="shared" si="285"/>
        <v>#N/A</v>
      </c>
      <c r="BY78" s="29" t="e">
        <f t="shared" si="285"/>
        <v>#N/A</v>
      </c>
      <c r="BZ78" s="29" t="e">
        <f t="shared" si="285"/>
        <v>#N/A</v>
      </c>
      <c r="CA78" s="29" t="e">
        <f t="shared" si="285"/>
        <v>#N/A</v>
      </c>
      <c r="CB78" s="29" t="e">
        <f t="shared" si="285"/>
        <v>#N/A</v>
      </c>
      <c r="CC78" s="29" t="e">
        <f t="shared" si="285"/>
        <v>#N/A</v>
      </c>
      <c r="CD78" s="29" t="e">
        <f t="shared" si="285"/>
        <v>#N/A</v>
      </c>
      <c r="CE78" s="6" t="str">
        <f t="shared" si="7"/>
        <v/>
      </c>
      <c r="CF78" s="27" t="e">
        <f>IF(AND(CI78,NOT(AD78)),LOOKUP(CF$5,{0,750,1500},H78:J78),"")</f>
        <v>#N/A</v>
      </c>
      <c r="CG78" s="6" t="str">
        <f t="shared" si="8"/>
        <v/>
      </c>
      <c r="CH78" t="e">
        <f t="shared" si="286"/>
        <v>#N/A</v>
      </c>
      <c r="CI78" t="e">
        <f t="shared" si="287"/>
        <v>#N/A</v>
      </c>
      <c r="CJ78" s="6" t="e">
        <f t="shared" si="11"/>
        <v>#N/A</v>
      </c>
      <c r="CK78" s="6">
        <f t="shared" si="12"/>
        <v>1</v>
      </c>
      <c r="CL78" s="6">
        <f t="shared" si="26"/>
        <v>1</v>
      </c>
      <c r="CM78" s="6">
        <f t="shared" si="13"/>
        <v>1</v>
      </c>
      <c r="CN78" s="6">
        <f t="shared" si="14"/>
        <v>1</v>
      </c>
      <c r="CO78" s="6">
        <f t="shared" si="15"/>
        <v>1</v>
      </c>
      <c r="CP78" s="6">
        <f t="shared" si="16"/>
        <v>1</v>
      </c>
      <c r="CQ78" s="6">
        <f t="shared" si="288"/>
        <v>1</v>
      </c>
      <c r="CR78" s="81" t="str">
        <f t="shared" si="17"/>
        <v/>
      </c>
      <c r="CS78">
        <f t="shared" si="289"/>
        <v>0</v>
      </c>
      <c r="CT78">
        <f t="shared" si="19"/>
        <v>15</v>
      </c>
      <c r="CU78" t="str">
        <f t="shared" si="29"/>
        <v>rm</v>
      </c>
      <c r="CV78" s="81">
        <f t="shared" si="290"/>
        <v>180</v>
      </c>
      <c r="CW78" s="81">
        <f>(CV78/25)^1.5*(Calculator!$BU$4/10000)*CW$5</f>
        <v>10.047288108441309</v>
      </c>
      <c r="CX78" t="str">
        <f t="shared" si="291"/>
        <v>$15/rm</v>
      </c>
    </row>
    <row r="79" spans="2:102" x14ac:dyDescent="0.25">
      <c r="B79" s="115" t="s">
        <v>233</v>
      </c>
      <c r="C79" s="13">
        <v>46318.697916666664</v>
      </c>
      <c r="D79">
        <v>34735</v>
      </c>
      <c r="E79" s="54" t="s">
        <v>235</v>
      </c>
      <c r="F79" s="54" t="s">
        <v>382</v>
      </c>
      <c r="G79" s="54" t="s">
        <v>399</v>
      </c>
      <c r="H79" s="55">
        <v>14.2</v>
      </c>
      <c r="I79" s="55">
        <v>12.7</v>
      </c>
      <c r="J79" s="55">
        <v>12</v>
      </c>
      <c r="K79" s="54"/>
      <c r="L79" s="56" t="b">
        <v>0</v>
      </c>
      <c r="M79" s="56" t="b">
        <v>1</v>
      </c>
      <c r="N79" s="54">
        <v>1</v>
      </c>
      <c r="O79" s="54" t="s">
        <v>228</v>
      </c>
      <c r="P79" s="54">
        <v>100</v>
      </c>
      <c r="Q79" s="54">
        <v>24</v>
      </c>
      <c r="R79" s="54" t="s">
        <v>395</v>
      </c>
      <c r="S79" s="54" t="s">
        <v>384</v>
      </c>
      <c r="T79" s="54" t="s">
        <v>396</v>
      </c>
      <c r="U79" s="54" t="s">
        <v>2231</v>
      </c>
      <c r="V79" s="54" t="s">
        <v>2236</v>
      </c>
      <c r="W79" s="54" t="b">
        <v>0</v>
      </c>
      <c r="X79" s="54"/>
      <c r="Y79" s="57" t="s">
        <v>2237</v>
      </c>
      <c r="Z79" s="54" t="s">
        <v>400</v>
      </c>
      <c r="AA79" s="54"/>
      <c r="AB79" s="54" t="s">
        <v>387</v>
      </c>
      <c r="AC79" s="56" t="b">
        <v>1</v>
      </c>
      <c r="AD79" s="56" t="b">
        <v>0</v>
      </c>
      <c r="AE79" s="54" t="s">
        <v>302</v>
      </c>
      <c r="AF79" s="58">
        <v>46318</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4.7125E-2</v>
      </c>
      <c r="BC79" s="60">
        <v>4.9000000000000004</v>
      </c>
      <c r="BD79" s="61">
        <v>6.5333000000000002E-2</v>
      </c>
      <c r="BE79" s="62" t="e">
        <v>#N/A</v>
      </c>
      <c r="BF79" s="35">
        <f t="shared" si="292"/>
        <v>4.9000000000000004</v>
      </c>
      <c r="BG79" s="35">
        <f t="shared" si="292"/>
        <v>6.5333000000000002E-2</v>
      </c>
      <c r="BH79" s="35" t="str">
        <f t="shared" si="281"/>
        <v>?</v>
      </c>
      <c r="BI79" s="110">
        <f t="shared" si="282"/>
        <v>0</v>
      </c>
      <c r="BJ79" s="83">
        <f>VLOOKUP($F79,REP_Info!$D$6:$H$250,5,FALSE)</f>
        <v>3.9169999999999998</v>
      </c>
      <c r="BK79" s="30" t="e">
        <f t="shared" si="283"/>
        <v>#N/A</v>
      </c>
      <c r="BL79" s="30" t="e">
        <f t="shared" si="283"/>
        <v>#N/A</v>
      </c>
      <c r="BM79" s="30" t="e">
        <f t="shared" si="283"/>
        <v>#N/A</v>
      </c>
      <c r="BN79" s="29" t="e">
        <f t="shared" si="283"/>
        <v>#N/A</v>
      </c>
      <c r="BO79" s="85" t="str">
        <f t="shared" si="2"/>
        <v>$$$</v>
      </c>
      <c r="BP79" s="88" t="str">
        <f t="shared" si="284"/>
        <v>$$$</v>
      </c>
      <c r="BQ79" s="88" t="str">
        <f t="shared" si="4"/>
        <v>$$$</v>
      </c>
      <c r="BR79" s="88" t="str">
        <f t="shared" si="5"/>
        <v>$$$</v>
      </c>
      <c r="BS79" s="29" t="e">
        <f t="shared" si="285"/>
        <v>#N/A</v>
      </c>
      <c r="BT79" s="29" t="e">
        <f t="shared" si="285"/>
        <v>#N/A</v>
      </c>
      <c r="BU79" s="29" t="e">
        <f t="shared" si="285"/>
        <v>#N/A</v>
      </c>
      <c r="BV79" s="29" t="e">
        <f t="shared" si="285"/>
        <v>#N/A</v>
      </c>
      <c r="BW79" s="29" t="e">
        <f t="shared" si="285"/>
        <v>#N/A</v>
      </c>
      <c r="BX79" s="29" t="e">
        <f t="shared" si="285"/>
        <v>#N/A</v>
      </c>
      <c r="BY79" s="29" t="e">
        <f t="shared" si="285"/>
        <v>#N/A</v>
      </c>
      <c r="BZ79" s="29" t="e">
        <f t="shared" si="285"/>
        <v>#N/A</v>
      </c>
      <c r="CA79" s="29" t="e">
        <f t="shared" si="285"/>
        <v>#N/A</v>
      </c>
      <c r="CB79" s="29" t="e">
        <f t="shared" si="285"/>
        <v>#N/A</v>
      </c>
      <c r="CC79" s="29" t="e">
        <f t="shared" si="285"/>
        <v>#N/A</v>
      </c>
      <c r="CD79" s="29" t="e">
        <f t="shared" si="285"/>
        <v>#N/A</v>
      </c>
      <c r="CE79" s="6" t="str">
        <f t="shared" si="7"/>
        <v/>
      </c>
      <c r="CF79" s="27" t="e">
        <f>IF(AND(CI79,NOT(AD79)),LOOKUP(CF$5,{0,750,1500},H79:J79),"")</f>
        <v>#N/A</v>
      </c>
      <c r="CG79" s="6" t="str">
        <f t="shared" si="8"/>
        <v/>
      </c>
      <c r="CH79" t="e">
        <f t="shared" si="286"/>
        <v>#N/A</v>
      </c>
      <c r="CI79" t="e">
        <f t="shared" si="287"/>
        <v>#N/A</v>
      </c>
      <c r="CJ79" s="6" t="e">
        <f t="shared" si="11"/>
        <v>#N/A</v>
      </c>
      <c r="CK79" s="6">
        <f t="shared" si="12"/>
        <v>1</v>
      </c>
      <c r="CL79" s="6">
        <f t="shared" si="26"/>
        <v>1</v>
      </c>
      <c r="CM79" s="6">
        <f t="shared" si="13"/>
        <v>1</v>
      </c>
      <c r="CN79" s="6">
        <f t="shared" si="14"/>
        <v>1</v>
      </c>
      <c r="CO79" s="6">
        <f t="shared" si="15"/>
        <v>0</v>
      </c>
      <c r="CP79" s="6">
        <f t="shared" si="16"/>
        <v>1</v>
      </c>
      <c r="CQ79" s="6">
        <f t="shared" si="288"/>
        <v>1</v>
      </c>
      <c r="CR79" s="81" t="str">
        <f t="shared" si="17"/>
        <v/>
      </c>
      <c r="CS79">
        <f t="shared" si="289"/>
        <v>0</v>
      </c>
      <c r="CT79">
        <f t="shared" si="19"/>
        <v>15</v>
      </c>
      <c r="CU79" t="str">
        <f t="shared" si="29"/>
        <v>rm</v>
      </c>
      <c r="CV79" s="81">
        <f t="shared" si="290"/>
        <v>360</v>
      </c>
      <c r="CW79" s="81">
        <f>(CV79/25)^1.5*(Calculator!$BU$4/10000)*CW$5</f>
        <v>28.418022216055231</v>
      </c>
      <c r="CX79" t="str">
        <f t="shared" si="291"/>
        <v>$15/rm</v>
      </c>
    </row>
    <row r="80" spans="2:102" x14ac:dyDescent="0.25">
      <c r="B80" s="115" t="s">
        <v>233</v>
      </c>
      <c r="C80" s="13">
        <v>46316.611111111109</v>
      </c>
      <c r="D80">
        <v>34749</v>
      </c>
      <c r="E80" s="54" t="s">
        <v>235</v>
      </c>
      <c r="F80" s="54" t="s">
        <v>382</v>
      </c>
      <c r="G80" s="54" t="s">
        <v>401</v>
      </c>
      <c r="H80" s="55">
        <v>14.6</v>
      </c>
      <c r="I80" s="55">
        <v>13.100000000000001</v>
      </c>
      <c r="J80" s="55">
        <v>12.4</v>
      </c>
      <c r="K80" s="54"/>
      <c r="L80" s="56" t="b">
        <v>0</v>
      </c>
      <c r="M80" s="56" t="b">
        <v>1</v>
      </c>
      <c r="N80" s="54">
        <v>1</v>
      </c>
      <c r="O80" s="54" t="s">
        <v>228</v>
      </c>
      <c r="P80" s="54">
        <v>100</v>
      </c>
      <c r="Q80" s="54">
        <v>36</v>
      </c>
      <c r="R80" s="54" t="s">
        <v>395</v>
      </c>
      <c r="S80" s="54" t="s">
        <v>384</v>
      </c>
      <c r="T80" s="54" t="s">
        <v>402</v>
      </c>
      <c r="U80" s="54" t="s">
        <v>2101</v>
      </c>
      <c r="V80" s="54" t="s">
        <v>2112</v>
      </c>
      <c r="W80" s="54" t="b">
        <v>0</v>
      </c>
      <c r="X80" s="54"/>
      <c r="Y80" s="57" t="s">
        <v>2113</v>
      </c>
      <c r="Z80" s="54" t="s">
        <v>403</v>
      </c>
      <c r="AA80" s="54"/>
      <c r="AB80" s="54" t="s">
        <v>387</v>
      </c>
      <c r="AC80" s="56" t="b">
        <v>1</v>
      </c>
      <c r="AD80" s="56" t="b">
        <v>0</v>
      </c>
      <c r="AE80" s="54" t="s">
        <v>302</v>
      </c>
      <c r="AF80" s="58">
        <v>46315</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5.1090000000000003E-2</v>
      </c>
      <c r="BC80" s="60">
        <v>4.9000000000000004</v>
      </c>
      <c r="BD80" s="61">
        <v>6.5333000000000002E-2</v>
      </c>
      <c r="BE80" s="62" t="e">
        <v>#N/A</v>
      </c>
      <c r="BF80" s="35">
        <f t="shared" si="292"/>
        <v>4.9000000000000004</v>
      </c>
      <c r="BG80" s="35">
        <f t="shared" si="292"/>
        <v>6.5333000000000002E-2</v>
      </c>
      <c r="BH80" s="35" t="str">
        <f t="shared" si="281"/>
        <v>?</v>
      </c>
      <c r="BI80" s="110">
        <f t="shared" si="282"/>
        <v>0</v>
      </c>
      <c r="BJ80" s="83">
        <f>VLOOKUP($F80,REP_Info!$D$6:$H$250,5,FALSE)</f>
        <v>3.9169999999999998</v>
      </c>
      <c r="BK80" s="30" t="e">
        <f t="shared" si="283"/>
        <v>#N/A</v>
      </c>
      <c r="BL80" s="30" t="e">
        <f t="shared" si="283"/>
        <v>#N/A</v>
      </c>
      <c r="BM80" s="30" t="e">
        <f t="shared" si="283"/>
        <v>#N/A</v>
      </c>
      <c r="BN80" s="29" t="e">
        <f t="shared" si="283"/>
        <v>#N/A</v>
      </c>
      <c r="BO80" s="85" t="str">
        <f t="shared" si="2"/>
        <v>$$$</v>
      </c>
      <c r="BP80" s="88" t="str">
        <f t="shared" si="284"/>
        <v>$$$</v>
      </c>
      <c r="BQ80" s="88" t="str">
        <f t="shared" ref="BQ80:BQ102" si="293">IFERROR(SUMPRODUCT($BS$7:$CD$7,$BS80:$CD80,--($BS$4:$CD$4&lt;=$Q80))/SUMPRODUCT(--($BS$4:$CD$4&lt;=$Q80),$BS$7:$CD$7),"$$$")</f>
        <v>$$$</v>
      </c>
      <c r="BR80" s="88" t="str">
        <f t="shared" ref="BR80:BR102" si="294">IFERROR($BQ80-$BF80*100*SUMPRODUCT(--($BS$4:$CD$4&lt;=$Q80))/SUMPRODUCT(--($BS$4:$CD$4&lt;=$Q80),$BS$7:$CD$7)-$BG80*100,"$$$")</f>
        <v>$$$</v>
      </c>
      <c r="BS80" s="29" t="e">
        <f t="shared" si="285"/>
        <v>#N/A</v>
      </c>
      <c r="BT80" s="29" t="e">
        <f t="shared" si="285"/>
        <v>#N/A</v>
      </c>
      <c r="BU80" s="29" t="e">
        <f t="shared" si="285"/>
        <v>#N/A</v>
      </c>
      <c r="BV80" s="29" t="e">
        <f t="shared" ref="BS80:CD101" si="295">IF($CI80,IF(BV$7&gt;0,IF(BV$4&gt;$Q80,$BF80+BV$7*(BV$5+$BG80+$BI80),LOOKUP(BV$7,$AH80:$AL80,$AM80:$AQ80)+IF($AG80="Y",SUMPRODUCT($AX80:$BB80-$AW80:$BA80,BV$7-$AR80:$AV80,N(BV$7&gt;$AR80:$AV80)),BV$7*LOOKUP(BV$7,$AR80:$AV80,$AX80:$BB80))+IF($BE80="Y",$BF80,$BC80)+BV$7*IF($BE80="Y",$BG80,$BD80))*100/BV$7,""),NA())</f>
        <v>#N/A</v>
      </c>
      <c r="BW80" s="29" t="e">
        <f t="shared" si="295"/>
        <v>#N/A</v>
      </c>
      <c r="BX80" s="29" t="e">
        <f t="shared" si="295"/>
        <v>#N/A</v>
      </c>
      <c r="BY80" s="29" t="e">
        <f t="shared" si="295"/>
        <v>#N/A</v>
      </c>
      <c r="BZ80" s="29" t="e">
        <f t="shared" si="295"/>
        <v>#N/A</v>
      </c>
      <c r="CA80" s="29" t="e">
        <f t="shared" si="295"/>
        <v>#N/A</v>
      </c>
      <c r="CB80" s="29" t="e">
        <f t="shared" si="295"/>
        <v>#N/A</v>
      </c>
      <c r="CC80" s="29" t="e">
        <f t="shared" si="295"/>
        <v>#N/A</v>
      </c>
      <c r="CD80" s="29" t="e">
        <f t="shared" si="295"/>
        <v>#N/A</v>
      </c>
      <c r="CE80" s="6" t="str">
        <f t="shared" si="7"/>
        <v/>
      </c>
      <c r="CF80" s="27" t="e">
        <f>IF(AND(CI80,NOT(AD80)),LOOKUP(CF$5,{0,750,1500},H80:J80),"")</f>
        <v>#N/A</v>
      </c>
      <c r="CG80" s="6" t="str">
        <f t="shared" si="8"/>
        <v/>
      </c>
      <c r="CH80" t="e">
        <f t="shared" si="286"/>
        <v>#N/A</v>
      </c>
      <c r="CI80" t="e">
        <f t="shared" si="287"/>
        <v>#N/A</v>
      </c>
      <c r="CJ80" s="6" t="e">
        <f t="shared" si="11"/>
        <v>#N/A</v>
      </c>
      <c r="CK80" s="6">
        <f t="shared" si="12"/>
        <v>1</v>
      </c>
      <c r="CL80" s="6">
        <f t="shared" si="26"/>
        <v>1</v>
      </c>
      <c r="CM80" s="6">
        <f t="shared" si="13"/>
        <v>1</v>
      </c>
      <c r="CN80" s="6">
        <f t="shared" si="14"/>
        <v>1</v>
      </c>
      <c r="CO80" s="6">
        <f t="shared" si="15"/>
        <v>0</v>
      </c>
      <c r="CP80" s="6">
        <f t="shared" si="16"/>
        <v>1</v>
      </c>
      <c r="CQ80" s="6">
        <f t="shared" si="288"/>
        <v>1</v>
      </c>
      <c r="CR80" s="81" t="str">
        <f t="shared" si="17"/>
        <v/>
      </c>
      <c r="CS80">
        <f t="shared" si="289"/>
        <v>0</v>
      </c>
      <c r="CT80">
        <f t="shared" si="19"/>
        <v>15</v>
      </c>
      <c r="CU80" t="str">
        <f t="shared" si="29"/>
        <v>rm</v>
      </c>
      <c r="CV80" s="81">
        <f t="shared" si="290"/>
        <v>540</v>
      </c>
      <c r="CW80" s="81">
        <f>(CV80/25)^1.5*(Calculator!$BU$4/10000)*CW$5</f>
        <v>52.20724044630883</v>
      </c>
      <c r="CX80" t="str">
        <f t="shared" si="291"/>
        <v>$15/rm</v>
      </c>
    </row>
    <row r="81" spans="2:102" x14ac:dyDescent="0.25">
      <c r="B81" s="115" t="s">
        <v>233</v>
      </c>
      <c r="C81" s="13">
        <v>46312.258333333331</v>
      </c>
      <c r="D81">
        <v>35527</v>
      </c>
      <c r="E81" s="54" t="s">
        <v>235</v>
      </c>
      <c r="F81" s="54" t="s">
        <v>382</v>
      </c>
      <c r="G81" s="54" t="s">
        <v>1790</v>
      </c>
      <c r="H81" s="55">
        <v>13.100000000000001</v>
      </c>
      <c r="I81" s="55">
        <v>11.600000000000001</v>
      </c>
      <c r="J81" s="55">
        <v>10.9</v>
      </c>
      <c r="K81" s="54"/>
      <c r="L81" s="56" t="b">
        <v>0</v>
      </c>
      <c r="M81" s="56" t="b">
        <v>1</v>
      </c>
      <c r="N81" s="54">
        <v>1</v>
      </c>
      <c r="O81" s="54" t="s">
        <v>228</v>
      </c>
      <c r="P81" s="54">
        <v>100</v>
      </c>
      <c r="Q81" s="54">
        <v>8</v>
      </c>
      <c r="R81" s="54" t="s">
        <v>395</v>
      </c>
      <c r="S81" s="54" t="s">
        <v>384</v>
      </c>
      <c r="T81" s="54" t="s">
        <v>1792</v>
      </c>
      <c r="U81" s="54" t="s">
        <v>2067</v>
      </c>
      <c r="V81" s="54" t="s">
        <v>2072</v>
      </c>
      <c r="W81" s="54" t="b">
        <v>0</v>
      </c>
      <c r="X81" s="54"/>
      <c r="Y81" s="57" t="s">
        <v>2073</v>
      </c>
      <c r="Z81" s="54" t="s">
        <v>1791</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92"/>
        <v>4.9000000000000004</v>
      </c>
      <c r="BG81" s="35">
        <f t="shared" si="292"/>
        <v>6.5333000000000002E-2</v>
      </c>
      <c r="BH81" s="35" t="str">
        <f t="shared" si="281"/>
        <v>?</v>
      </c>
      <c r="BI81" s="110">
        <f t="shared" si="282"/>
        <v>0</v>
      </c>
      <c r="BJ81" s="83">
        <f>VLOOKUP($F81,REP_Info!$D$6:$H$250,5,FALSE)</f>
        <v>3.9169999999999998</v>
      </c>
      <c r="BK81" s="30" t="e">
        <f t="shared" si="283"/>
        <v>#N/A</v>
      </c>
      <c r="BL81" s="30" t="e">
        <f t="shared" si="283"/>
        <v>#N/A</v>
      </c>
      <c r="BM81" s="30" t="e">
        <f t="shared" si="283"/>
        <v>#N/A</v>
      </c>
      <c r="BN81" s="29" t="e">
        <f t="shared" si="283"/>
        <v>#N/A</v>
      </c>
      <c r="BO81" s="85" t="str">
        <f t="shared" si="2"/>
        <v>$$$</v>
      </c>
      <c r="BP81" s="88" t="str">
        <f t="shared" si="284"/>
        <v>$$$</v>
      </c>
      <c r="BQ81" s="88" t="str">
        <f t="shared" si="293"/>
        <v>$$$</v>
      </c>
      <c r="BR81" s="88" t="str">
        <f t="shared" si="294"/>
        <v>$$$</v>
      </c>
      <c r="BS81" s="29" t="e">
        <f t="shared" si="295"/>
        <v>#N/A</v>
      </c>
      <c r="BT81" s="29" t="e">
        <f t="shared" si="295"/>
        <v>#N/A</v>
      </c>
      <c r="BU81" s="29" t="e">
        <f t="shared" si="295"/>
        <v>#N/A</v>
      </c>
      <c r="BV81" s="29" t="e">
        <f t="shared" si="295"/>
        <v>#N/A</v>
      </c>
      <c r="BW81" s="29" t="e">
        <f t="shared" si="295"/>
        <v>#N/A</v>
      </c>
      <c r="BX81" s="29" t="e">
        <f t="shared" si="295"/>
        <v>#N/A</v>
      </c>
      <c r="BY81" s="29" t="e">
        <f t="shared" si="295"/>
        <v>#N/A</v>
      </c>
      <c r="BZ81" s="29" t="e">
        <f t="shared" si="295"/>
        <v>#N/A</v>
      </c>
      <c r="CA81" s="29" t="e">
        <f t="shared" si="295"/>
        <v>#N/A</v>
      </c>
      <c r="CB81" s="29" t="e">
        <f t="shared" si="295"/>
        <v>#N/A</v>
      </c>
      <c r="CC81" s="29" t="e">
        <f t="shared" si="295"/>
        <v>#N/A</v>
      </c>
      <c r="CD81" s="29" t="e">
        <f t="shared" si="295"/>
        <v>#N/A</v>
      </c>
      <c r="CE81" s="6" t="str">
        <f t="shared" ref="CE81:CE144" si="296">IF(ISNUMBER(CF81),RANK($CF81,$CF$8:$CF$360,1),"")</f>
        <v/>
      </c>
      <c r="CF81" s="27" t="e">
        <f>IF(AND(CI81,NOT(AD81)),LOOKUP(CF$5,{0,750,1500},H81:J81),"")</f>
        <v>#N/A</v>
      </c>
      <c r="CG81" s="6" t="str">
        <f t="shared" ref="CG81:CG144" si="297">IF(ISNUMBER(CH81),RANK($CH81,$CH$8:$CH$360,1),"")</f>
        <v/>
      </c>
      <c r="CH81" t="e">
        <f t="shared" si="286"/>
        <v>#N/A</v>
      </c>
      <c r="CI81" t="e">
        <f t="shared" si="287"/>
        <v>#N/A</v>
      </c>
      <c r="CJ81" s="6" t="e">
        <f t="shared" si="11"/>
        <v>#N/A</v>
      </c>
      <c r="CK81" s="6">
        <f t="shared" si="12"/>
        <v>1</v>
      </c>
      <c r="CL81" s="6">
        <f t="shared" si="26"/>
        <v>1</v>
      </c>
      <c r="CM81" s="6">
        <f t="shared" si="13"/>
        <v>1</v>
      </c>
      <c r="CN81" s="6">
        <f t="shared" si="14"/>
        <v>0</v>
      </c>
      <c r="CO81" s="6">
        <f t="shared" si="15"/>
        <v>1</v>
      </c>
      <c r="CP81" s="6">
        <f t="shared" si="16"/>
        <v>1</v>
      </c>
      <c r="CQ81" s="6">
        <f t="shared" si="288"/>
        <v>1</v>
      </c>
      <c r="CR81" s="81" t="str">
        <f t="shared" si="17"/>
        <v/>
      </c>
      <c r="CS81">
        <f t="shared" si="289"/>
        <v>9</v>
      </c>
      <c r="CT81">
        <f t="shared" si="19"/>
        <v>15</v>
      </c>
      <c r="CU81" t="str">
        <f t="shared" si="29"/>
        <v>rm</v>
      </c>
      <c r="CV81" s="81">
        <f t="shared" si="290"/>
        <v>120</v>
      </c>
      <c r="CW81" s="81">
        <f>(CV81/25)^1.5*(Calculator!$BU$4/10000)*CW$5</f>
        <v>5.4690509254254183</v>
      </c>
      <c r="CX81" t="str">
        <f t="shared" si="291"/>
        <v>$15/rm</v>
      </c>
    </row>
    <row r="82" spans="2:102" x14ac:dyDescent="0.25">
      <c r="B82" s="115" t="s">
        <v>233</v>
      </c>
      <c r="C82" s="13">
        <v>46312.258333333331</v>
      </c>
      <c r="D82">
        <v>35529</v>
      </c>
      <c r="E82" s="54" t="s">
        <v>237</v>
      </c>
      <c r="F82" s="54" t="s">
        <v>382</v>
      </c>
      <c r="G82" s="54" t="s">
        <v>1790</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2068</v>
      </c>
      <c r="V82" s="54" t="s">
        <v>2074</v>
      </c>
      <c r="W82" s="54" t="b">
        <v>0</v>
      </c>
      <c r="X82" s="54"/>
      <c r="Y82" s="57" t="s">
        <v>2075</v>
      </c>
      <c r="Z82" s="54" t="s">
        <v>1793</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92"/>
        <v>4.0600000000000005</v>
      </c>
      <c r="BG82" s="35">
        <f t="shared" si="292"/>
        <v>6.8672999999999998E-2</v>
      </c>
      <c r="BH82" s="35" t="str">
        <f t="shared" si="281"/>
        <v>?</v>
      </c>
      <c r="BI82" s="110">
        <f t="shared" si="282"/>
        <v>0</v>
      </c>
      <c r="BJ82" s="83">
        <f>VLOOKUP($F82,REP_Info!$D$6:$H$250,5,FALSE)</f>
        <v>3.9169999999999998</v>
      </c>
      <c r="BK82" s="30" t="e">
        <f t="shared" si="283"/>
        <v>#N/A</v>
      </c>
      <c r="BL82" s="30" t="e">
        <f t="shared" si="283"/>
        <v>#N/A</v>
      </c>
      <c r="BM82" s="30" t="e">
        <f t="shared" si="283"/>
        <v>#N/A</v>
      </c>
      <c r="BN82" s="29" t="e">
        <f t="shared" si="283"/>
        <v>#N/A</v>
      </c>
      <c r="BO82" s="85" t="str">
        <f t="shared" si="2"/>
        <v>$$$</v>
      </c>
      <c r="BP82" s="88" t="str">
        <f t="shared" si="284"/>
        <v>$$$</v>
      </c>
      <c r="BQ82" s="88" t="str">
        <f t="shared" si="293"/>
        <v>$$$</v>
      </c>
      <c r="BR82" s="88" t="str">
        <f t="shared" si="294"/>
        <v>$$$</v>
      </c>
      <c r="BS82" s="29" t="e">
        <f t="shared" si="295"/>
        <v>#N/A</v>
      </c>
      <c r="BT82" s="29" t="e">
        <f t="shared" si="295"/>
        <v>#N/A</v>
      </c>
      <c r="BU82" s="29" t="e">
        <f t="shared" si="295"/>
        <v>#N/A</v>
      </c>
      <c r="BV82" s="29" t="e">
        <f t="shared" si="295"/>
        <v>#N/A</v>
      </c>
      <c r="BW82" s="29" t="e">
        <f t="shared" si="295"/>
        <v>#N/A</v>
      </c>
      <c r="BX82" s="29" t="e">
        <f t="shared" si="295"/>
        <v>#N/A</v>
      </c>
      <c r="BY82" s="29" t="e">
        <f t="shared" si="295"/>
        <v>#N/A</v>
      </c>
      <c r="BZ82" s="29" t="e">
        <f t="shared" si="295"/>
        <v>#N/A</v>
      </c>
      <c r="CA82" s="29" t="e">
        <f t="shared" si="295"/>
        <v>#N/A</v>
      </c>
      <c r="CB82" s="29" t="e">
        <f t="shared" si="295"/>
        <v>#N/A</v>
      </c>
      <c r="CC82" s="29" t="e">
        <f t="shared" si="295"/>
        <v>#N/A</v>
      </c>
      <c r="CD82" s="29" t="e">
        <f t="shared" si="295"/>
        <v>#N/A</v>
      </c>
      <c r="CE82" s="6" t="str">
        <f t="shared" si="296"/>
        <v/>
      </c>
      <c r="CF82" s="27" t="e">
        <f>IF(AND(CI82,NOT(AD82)),LOOKUP(CF$5,{0,750,1500},H82:J82),"")</f>
        <v>#N/A</v>
      </c>
      <c r="CG82" s="6" t="str">
        <f t="shared" si="297"/>
        <v/>
      </c>
      <c r="CH82" t="e">
        <f t="shared" si="286"/>
        <v>#N/A</v>
      </c>
      <c r="CI82" t="e">
        <f t="shared" si="287"/>
        <v>#N/A</v>
      </c>
      <c r="CJ82" s="6" t="e">
        <f t="shared" si="11"/>
        <v>#N/A</v>
      </c>
      <c r="CK82" s="6">
        <f t="shared" si="12"/>
        <v>1</v>
      </c>
      <c r="CL82" s="6">
        <f t="shared" si="26"/>
        <v>1</v>
      </c>
      <c r="CM82" s="6">
        <f t="shared" si="13"/>
        <v>1</v>
      </c>
      <c r="CN82" s="6">
        <f t="shared" si="14"/>
        <v>0</v>
      </c>
      <c r="CO82" s="6">
        <f t="shared" si="15"/>
        <v>1</v>
      </c>
      <c r="CP82" s="6">
        <f t="shared" si="16"/>
        <v>1</v>
      </c>
      <c r="CQ82" s="6">
        <f t="shared" si="288"/>
        <v>1</v>
      </c>
      <c r="CR82" s="81" t="str">
        <f t="shared" si="17"/>
        <v/>
      </c>
      <c r="CS82">
        <f t="shared" si="289"/>
        <v>9</v>
      </c>
      <c r="CT82">
        <f t="shared" si="19"/>
        <v>15</v>
      </c>
      <c r="CU82" t="str">
        <f t="shared" si="29"/>
        <v>rm</v>
      </c>
      <c r="CV82" s="81">
        <f t="shared" si="290"/>
        <v>120</v>
      </c>
      <c r="CW82" s="81">
        <f>(CV82/25)^1.5*(Calculator!$BU$4/10000)*CW$5</f>
        <v>5.4690509254254183</v>
      </c>
      <c r="CX82" t="str">
        <f t="shared" si="291"/>
        <v>$15/rm</v>
      </c>
    </row>
    <row r="83" spans="2:102" x14ac:dyDescent="0.25">
      <c r="B83" s="115" t="s">
        <v>233</v>
      </c>
      <c r="C83" s="13">
        <v>46316.611111111109</v>
      </c>
      <c r="D83">
        <v>36117</v>
      </c>
      <c r="E83" s="54" t="s">
        <v>235</v>
      </c>
      <c r="F83" s="54" t="s">
        <v>382</v>
      </c>
      <c r="G83" s="54" t="s">
        <v>1795</v>
      </c>
      <c r="H83" s="55">
        <v>19.900000000000002</v>
      </c>
      <c r="I83" s="55">
        <v>6.9</v>
      </c>
      <c r="J83" s="55">
        <v>12.9</v>
      </c>
      <c r="K83" s="54" t="s">
        <v>1796</v>
      </c>
      <c r="L83" s="56" t="b">
        <v>0</v>
      </c>
      <c r="M83" s="56" t="b">
        <v>0</v>
      </c>
      <c r="N83" s="54">
        <v>1</v>
      </c>
      <c r="O83" s="54" t="s">
        <v>228</v>
      </c>
      <c r="P83" s="54">
        <v>100</v>
      </c>
      <c r="Q83" s="54">
        <v>12</v>
      </c>
      <c r="R83" s="54" t="s">
        <v>395</v>
      </c>
      <c r="S83" s="54" t="s">
        <v>384</v>
      </c>
      <c r="T83" s="54" t="s">
        <v>391</v>
      </c>
      <c r="U83" s="54" t="s">
        <v>2102</v>
      </c>
      <c r="V83" s="54" t="s">
        <v>2114</v>
      </c>
      <c r="W83" s="54" t="b">
        <v>0</v>
      </c>
      <c r="X83" s="54"/>
      <c r="Y83" s="57" t="s">
        <v>2115</v>
      </c>
      <c r="Z83" s="54" t="s">
        <v>1797</v>
      </c>
      <c r="AA83" s="54"/>
      <c r="AB83" s="54" t="s">
        <v>387</v>
      </c>
      <c r="AC83" s="56" t="b">
        <v>1</v>
      </c>
      <c r="AD83" s="56" t="b">
        <v>1</v>
      </c>
      <c r="AE83" s="54" t="s">
        <v>302</v>
      </c>
      <c r="AF83" s="58">
        <v>46315</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0.1242</v>
      </c>
      <c r="BC83" s="60">
        <v>4.9000000000000004</v>
      </c>
      <c r="BD83" s="61">
        <v>6.5333000000000002E-2</v>
      </c>
      <c r="BE83" s="62" t="s">
        <v>293</v>
      </c>
      <c r="BF83" s="35">
        <f t="shared" si="292"/>
        <v>4.9000000000000004</v>
      </c>
      <c r="BG83" s="35">
        <f t="shared" si="292"/>
        <v>6.5333000000000002E-2</v>
      </c>
      <c r="BH83" s="35" t="str">
        <f t="shared" si="281"/>
        <v>High</v>
      </c>
      <c r="BI83" s="110">
        <f t="shared" si="282"/>
        <v>0</v>
      </c>
      <c r="BJ83" s="83">
        <f>VLOOKUP($F83,REP_Info!$D$6:$H$250,5,FALSE)</f>
        <v>3.9169999999999998</v>
      </c>
      <c r="BK83" s="30">
        <f t="shared" si="283"/>
        <v>19.933299999999999</v>
      </c>
      <c r="BL83" s="30">
        <f t="shared" si="283"/>
        <v>6.9433000000000007</v>
      </c>
      <c r="BM83" s="30">
        <f t="shared" si="283"/>
        <v>12.948300000000001</v>
      </c>
      <c r="BN83" s="29">
        <f t="shared" si="283"/>
        <v>14.949966666666667</v>
      </c>
      <c r="BO83" s="85" t="str">
        <f t="shared" si="2"/>
        <v>$$$</v>
      </c>
      <c r="BP83" s="88" t="str">
        <f t="shared" si="284"/>
        <v>$$$</v>
      </c>
      <c r="BQ83" s="88" t="str">
        <f t="shared" si="293"/>
        <v>$$$</v>
      </c>
      <c r="BR83" s="88" t="str">
        <f t="shared" si="294"/>
        <v>$$$</v>
      </c>
      <c r="BS83" s="29" t="e">
        <f t="shared" si="295"/>
        <v>#N/A</v>
      </c>
      <c r="BT83" s="29" t="e">
        <f t="shared" si="295"/>
        <v>#N/A</v>
      </c>
      <c r="BU83" s="29" t="e">
        <f t="shared" si="295"/>
        <v>#N/A</v>
      </c>
      <c r="BV83" s="29" t="e">
        <f t="shared" si="295"/>
        <v>#N/A</v>
      </c>
      <c r="BW83" s="29" t="e">
        <f t="shared" si="295"/>
        <v>#N/A</v>
      </c>
      <c r="BX83" s="29" t="e">
        <f t="shared" si="295"/>
        <v>#N/A</v>
      </c>
      <c r="BY83" s="29" t="e">
        <f t="shared" si="295"/>
        <v>#N/A</v>
      </c>
      <c r="BZ83" s="29" t="e">
        <f t="shared" si="295"/>
        <v>#N/A</v>
      </c>
      <c r="CA83" s="29" t="e">
        <f t="shared" si="295"/>
        <v>#N/A</v>
      </c>
      <c r="CB83" s="29" t="e">
        <f t="shared" si="295"/>
        <v>#N/A</v>
      </c>
      <c r="CC83" s="29" t="e">
        <f t="shared" si="295"/>
        <v>#N/A</v>
      </c>
      <c r="CD83" s="29" t="e">
        <f t="shared" si="295"/>
        <v>#N/A</v>
      </c>
      <c r="CE83" s="6" t="str">
        <f t="shared" si="296"/>
        <v/>
      </c>
      <c r="CF83" s="27" t="e">
        <f>IF(AND(CI83,NOT(AD83)),LOOKUP(CF$5,{0,750,1500},H83:J83),"")</f>
        <v>#N/A</v>
      </c>
      <c r="CG83" s="6" t="str">
        <f t="shared" si="297"/>
        <v/>
      </c>
      <c r="CH83" t="e">
        <f t="shared" si="286"/>
        <v>#N/A</v>
      </c>
      <c r="CI83" t="e">
        <f t="shared" si="287"/>
        <v>#N/A</v>
      </c>
      <c r="CJ83" s="6" t="e">
        <f t="shared" si="11"/>
        <v>#N/A</v>
      </c>
      <c r="CK83" s="6">
        <f t="shared" si="12"/>
        <v>1</v>
      </c>
      <c r="CL83" s="6">
        <f t="shared" si="26"/>
        <v>1</v>
      </c>
      <c r="CM83" s="6">
        <f t="shared" si="13"/>
        <v>1</v>
      </c>
      <c r="CN83" s="6">
        <f t="shared" si="14"/>
        <v>1</v>
      </c>
      <c r="CO83" s="6">
        <f t="shared" si="15"/>
        <v>1</v>
      </c>
      <c r="CP83" s="6">
        <f t="shared" si="16"/>
        <v>1</v>
      </c>
      <c r="CQ83" s="6">
        <f t="shared" si="288"/>
        <v>1</v>
      </c>
      <c r="CR83" s="81" t="str">
        <f t="shared" si="17"/>
        <v/>
      </c>
      <c r="CS83">
        <f t="shared" si="289"/>
        <v>0</v>
      </c>
      <c r="CT83">
        <f t="shared" si="19"/>
        <v>15</v>
      </c>
      <c r="CU83" t="str">
        <f t="shared" si="29"/>
        <v>rm</v>
      </c>
      <c r="CV83" s="81">
        <f t="shared" si="290"/>
        <v>180</v>
      </c>
      <c r="CW83" s="81">
        <f>(CV83/25)^1.5*(Calculator!$BU$4/10000)*CW$5</f>
        <v>10.047288108441309</v>
      </c>
      <c r="CX83" t="str">
        <f t="shared" si="291"/>
        <v>$15/rm</v>
      </c>
    </row>
    <row r="84" spans="2:102" x14ac:dyDescent="0.25">
      <c r="B84" s="115" t="s">
        <v>233</v>
      </c>
      <c r="C84" s="13">
        <v>46316.611111111109</v>
      </c>
      <c r="D84">
        <v>36119</v>
      </c>
      <c r="E84" s="54" t="s">
        <v>237</v>
      </c>
      <c r="F84" s="54" t="s">
        <v>382</v>
      </c>
      <c r="G84" s="54" t="s">
        <v>1795</v>
      </c>
      <c r="H84" s="55">
        <v>19.900000000000002</v>
      </c>
      <c r="I84" s="55">
        <v>7.0000000000000009</v>
      </c>
      <c r="J84" s="55">
        <v>13.100000000000001</v>
      </c>
      <c r="K84" s="54" t="s">
        <v>1796</v>
      </c>
      <c r="L84" s="56" t="b">
        <v>0</v>
      </c>
      <c r="M84" s="56" t="b">
        <v>0</v>
      </c>
      <c r="N84" s="54">
        <v>1</v>
      </c>
      <c r="O84" s="54" t="s">
        <v>228</v>
      </c>
      <c r="P84" s="54">
        <v>100</v>
      </c>
      <c r="Q84" s="54">
        <v>12</v>
      </c>
      <c r="R84" s="54" t="s">
        <v>395</v>
      </c>
      <c r="S84" s="54" t="s">
        <v>384</v>
      </c>
      <c r="T84" s="54" t="s">
        <v>391</v>
      </c>
      <c r="U84" s="54" t="s">
        <v>2103</v>
      </c>
      <c r="V84" s="54" t="s">
        <v>2116</v>
      </c>
      <c r="W84" s="54" t="b">
        <v>0</v>
      </c>
      <c r="X84" s="54"/>
      <c r="Y84" s="57" t="s">
        <v>2117</v>
      </c>
      <c r="Z84" s="54" t="s">
        <v>1798</v>
      </c>
      <c r="AA84" s="54"/>
      <c r="AB84" s="54" t="s">
        <v>387</v>
      </c>
      <c r="AC84" s="56" t="b">
        <v>1</v>
      </c>
      <c r="AD84" s="56" t="b">
        <v>1</v>
      </c>
      <c r="AE84" s="54" t="s">
        <v>302</v>
      </c>
      <c r="AF84" s="58">
        <v>46315</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0.1227</v>
      </c>
      <c r="BC84" s="60">
        <v>4.0599999999999996</v>
      </c>
      <c r="BD84" s="61">
        <v>6.8672999999999998E-2</v>
      </c>
      <c r="BE84" s="62" t="s">
        <v>293</v>
      </c>
      <c r="BF84" s="35">
        <f t="shared" si="292"/>
        <v>4.0600000000000005</v>
      </c>
      <c r="BG84" s="35">
        <f t="shared" si="292"/>
        <v>6.8672999999999998E-2</v>
      </c>
      <c r="BH84" s="35" t="str">
        <f t="shared" si="281"/>
        <v>High</v>
      </c>
      <c r="BI84" s="110">
        <f t="shared" si="282"/>
        <v>0</v>
      </c>
      <c r="BJ84" s="83">
        <f>VLOOKUP($F84,REP_Info!$D$6:$H$250,5,FALSE)</f>
        <v>3.9169999999999998</v>
      </c>
      <c r="BK84" s="30">
        <f t="shared" si="283"/>
        <v>19.949300000000001</v>
      </c>
      <c r="BL84" s="30">
        <f t="shared" si="283"/>
        <v>7.0433000000000012</v>
      </c>
      <c r="BM84" s="30">
        <f t="shared" si="283"/>
        <v>13.090300000000003</v>
      </c>
      <c r="BN84" s="29">
        <f t="shared" si="283"/>
        <v>15.105966666666667</v>
      </c>
      <c r="BO84" s="85" t="str">
        <f t="shared" si="2"/>
        <v>$$$</v>
      </c>
      <c r="BP84" s="88" t="str">
        <f t="shared" si="284"/>
        <v>$$$</v>
      </c>
      <c r="BQ84" s="88" t="str">
        <f t="shared" si="293"/>
        <v>$$$</v>
      </c>
      <c r="BR84" s="88" t="str">
        <f t="shared" si="294"/>
        <v>$$$</v>
      </c>
      <c r="BS84" s="29" t="e">
        <f t="shared" si="295"/>
        <v>#N/A</v>
      </c>
      <c r="BT84" s="29" t="e">
        <f t="shared" si="295"/>
        <v>#N/A</v>
      </c>
      <c r="BU84" s="29" t="e">
        <f t="shared" si="295"/>
        <v>#N/A</v>
      </c>
      <c r="BV84" s="29" t="e">
        <f t="shared" si="295"/>
        <v>#N/A</v>
      </c>
      <c r="BW84" s="29" t="e">
        <f t="shared" si="295"/>
        <v>#N/A</v>
      </c>
      <c r="BX84" s="29" t="e">
        <f t="shared" si="295"/>
        <v>#N/A</v>
      </c>
      <c r="BY84" s="29" t="e">
        <f t="shared" si="295"/>
        <v>#N/A</v>
      </c>
      <c r="BZ84" s="29" t="e">
        <f t="shared" si="295"/>
        <v>#N/A</v>
      </c>
      <c r="CA84" s="29" t="e">
        <f t="shared" si="295"/>
        <v>#N/A</v>
      </c>
      <c r="CB84" s="29" t="e">
        <f t="shared" si="295"/>
        <v>#N/A</v>
      </c>
      <c r="CC84" s="29" t="e">
        <f t="shared" si="295"/>
        <v>#N/A</v>
      </c>
      <c r="CD84" s="29" t="e">
        <f t="shared" si="295"/>
        <v>#N/A</v>
      </c>
      <c r="CE84" s="6" t="str">
        <f t="shared" si="296"/>
        <v/>
      </c>
      <c r="CF84" s="27" t="e">
        <f>IF(AND(CI84,NOT(AD84)),LOOKUP(CF$5,{0,750,1500},H84:J84),"")</f>
        <v>#N/A</v>
      </c>
      <c r="CG84" s="6" t="str">
        <f t="shared" si="297"/>
        <v/>
      </c>
      <c r="CH84" t="e">
        <f t="shared" si="286"/>
        <v>#N/A</v>
      </c>
      <c r="CI84" t="e">
        <f t="shared" si="287"/>
        <v>#N/A</v>
      </c>
      <c r="CJ84" s="6" t="e">
        <f t="shared" si="11"/>
        <v>#N/A</v>
      </c>
      <c r="CK84" s="6">
        <f t="shared" si="12"/>
        <v>1</v>
      </c>
      <c r="CL84" s="6">
        <f t="shared" si="26"/>
        <v>1</v>
      </c>
      <c r="CM84" s="6">
        <f t="shared" si="13"/>
        <v>1</v>
      </c>
      <c r="CN84" s="6">
        <f t="shared" si="14"/>
        <v>1</v>
      </c>
      <c r="CO84" s="6">
        <f t="shared" si="15"/>
        <v>1</v>
      </c>
      <c r="CP84" s="6">
        <f t="shared" si="16"/>
        <v>1</v>
      </c>
      <c r="CQ84" s="6">
        <f t="shared" si="288"/>
        <v>1</v>
      </c>
      <c r="CR84" s="81" t="str">
        <f t="shared" si="17"/>
        <v/>
      </c>
      <c r="CS84">
        <f t="shared" si="289"/>
        <v>0</v>
      </c>
      <c r="CT84">
        <f t="shared" si="19"/>
        <v>15</v>
      </c>
      <c r="CU84" t="str">
        <f t="shared" si="29"/>
        <v>rm</v>
      </c>
      <c r="CV84" s="81">
        <f t="shared" si="290"/>
        <v>180</v>
      </c>
      <c r="CW84" s="81">
        <f>(CV84/25)^1.5*(Calculator!$BU$4/10000)*CW$5</f>
        <v>10.047288108441309</v>
      </c>
      <c r="CX84" t="str">
        <f t="shared" si="291"/>
        <v>$15/rm</v>
      </c>
    </row>
    <row r="85" spans="2:102" x14ac:dyDescent="0.25">
      <c r="B85" s="115" t="s">
        <v>233</v>
      </c>
      <c r="C85" s="13">
        <v>46316.611111111109</v>
      </c>
      <c r="D85">
        <v>11675</v>
      </c>
      <c r="E85" s="54" t="s">
        <v>235</v>
      </c>
      <c r="F85" s="54" t="s">
        <v>404</v>
      </c>
      <c r="G85" s="54" t="s">
        <v>2076</v>
      </c>
      <c r="H85" s="55">
        <v>14.000000000000002</v>
      </c>
      <c r="I85" s="55">
        <v>13.5</v>
      </c>
      <c r="J85" s="55">
        <v>13.200000000000001</v>
      </c>
      <c r="K85" s="54"/>
      <c r="L85" s="56" t="b">
        <v>0</v>
      </c>
      <c r="M85" s="56" t="b">
        <v>0</v>
      </c>
      <c r="N85" s="54">
        <v>1</v>
      </c>
      <c r="O85" s="54" t="s">
        <v>228</v>
      </c>
      <c r="P85" s="54">
        <v>22</v>
      </c>
      <c r="Q85" s="54">
        <v>36</v>
      </c>
      <c r="R85" s="54">
        <v>395</v>
      </c>
      <c r="S85" s="54" t="s">
        <v>405</v>
      </c>
      <c r="T85" s="54" t="s">
        <v>1588</v>
      </c>
      <c r="U85" s="54" t="s">
        <v>406</v>
      </c>
      <c r="V85" s="54" t="s">
        <v>2118</v>
      </c>
      <c r="W85" s="54" t="b">
        <v>0</v>
      </c>
      <c r="X85" s="54"/>
      <c r="Y85" s="57" t="s">
        <v>2119</v>
      </c>
      <c r="Z85" s="54" t="s">
        <v>1651</v>
      </c>
      <c r="AA85" s="54"/>
      <c r="AB85" s="54" t="s">
        <v>407</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92"/>
        <v>4.9000000000000004</v>
      </c>
      <c r="BG85" s="35">
        <f t="shared" si="292"/>
        <v>6.5333000000000002E-2</v>
      </c>
      <c r="BH85" s="35" t="str">
        <f t="shared" si="281"/>
        <v>Low</v>
      </c>
      <c r="BI85" s="110">
        <f t="shared" si="282"/>
        <v>0</v>
      </c>
      <c r="BJ85" s="83">
        <f>VLOOKUP($F85,REP_Info!$D$6:$H$250,5,FALSE)</f>
        <v>1.8160000000000001</v>
      </c>
      <c r="BK85" s="30">
        <f t="shared" si="283"/>
        <v>13.9849</v>
      </c>
      <c r="BL85" s="30">
        <f t="shared" si="283"/>
        <v>13.494900000000001</v>
      </c>
      <c r="BM85" s="30">
        <f t="shared" si="283"/>
        <v>13.2499</v>
      </c>
      <c r="BN85" s="29">
        <f t="shared" si="283"/>
        <v>13.168233333333335</v>
      </c>
      <c r="BO85" s="85" t="str">
        <f t="shared" ref="BO85:BO102" si="298">IFERROR(SUMPRODUCT($BS$7:$CD$7,$BS85:$CD85)/100,"$$$")</f>
        <v>$$$</v>
      </c>
      <c r="BP85" s="88" t="str">
        <f t="shared" si="284"/>
        <v>$$$</v>
      </c>
      <c r="BQ85" s="88" t="str">
        <f t="shared" si="293"/>
        <v>$$$</v>
      </c>
      <c r="BR85" s="88" t="str">
        <f t="shared" si="294"/>
        <v>$$$</v>
      </c>
      <c r="BS85" s="29" t="e">
        <f t="shared" si="295"/>
        <v>#N/A</v>
      </c>
      <c r="BT85" s="29" t="e">
        <f t="shared" si="295"/>
        <v>#N/A</v>
      </c>
      <c r="BU85" s="29" t="e">
        <f t="shared" si="295"/>
        <v>#N/A</v>
      </c>
      <c r="BV85" s="29" t="e">
        <f t="shared" si="295"/>
        <v>#N/A</v>
      </c>
      <c r="BW85" s="29" t="e">
        <f t="shared" si="295"/>
        <v>#N/A</v>
      </c>
      <c r="BX85" s="29" t="e">
        <f t="shared" si="295"/>
        <v>#N/A</v>
      </c>
      <c r="BY85" s="29" t="e">
        <f t="shared" si="295"/>
        <v>#N/A</v>
      </c>
      <c r="BZ85" s="29" t="e">
        <f t="shared" si="295"/>
        <v>#N/A</v>
      </c>
      <c r="CA85" s="29" t="e">
        <f t="shared" si="295"/>
        <v>#N/A</v>
      </c>
      <c r="CB85" s="29" t="e">
        <f t="shared" si="295"/>
        <v>#N/A</v>
      </c>
      <c r="CC85" s="29" t="e">
        <f t="shared" si="295"/>
        <v>#N/A</v>
      </c>
      <c r="CD85" s="29" t="e">
        <f t="shared" si="295"/>
        <v>#N/A</v>
      </c>
      <c r="CE85" s="6" t="str">
        <f t="shared" si="296"/>
        <v/>
      </c>
      <c r="CF85" s="27" t="e">
        <f>IF(AND(CI85,NOT(AD85)),LOOKUP(CF$5,{0,750,1500},H85:J85),"")</f>
        <v>#N/A</v>
      </c>
      <c r="CG85" s="6" t="str">
        <f t="shared" si="297"/>
        <v/>
      </c>
      <c r="CH85" t="e">
        <f t="shared" si="286"/>
        <v>#N/A</v>
      </c>
      <c r="CI85" t="e">
        <f t="shared" si="287"/>
        <v>#N/A</v>
      </c>
      <c r="CJ85" s="6" t="e">
        <f t="shared" ref="CJ85:CJ102" si="299">IF($E85=CJ$5,1,0)</f>
        <v>#N/A</v>
      </c>
      <c r="CK85" s="6">
        <f t="shared" ref="CK85:CK102" si="300">IF(CK$5="[Any]",1,IF($F85=CK$5,1,0))</f>
        <v>1</v>
      </c>
      <c r="CL85" s="6">
        <f t="shared" ref="CL85:CL102" si="301">IFERROR(--OR(ISBLANK(CL$5),$BJ85="",AND(ISNUMBER($BJ85),$BJ85&lt;=CL$5)),1)</f>
        <v>1</v>
      </c>
      <c r="CM85" s="6">
        <f t="shared" ref="CM85:CM102" si="302">IF($O85="Fixed",1,0)</f>
        <v>1</v>
      </c>
      <c r="CN85" s="6">
        <f t="shared" ref="CN85:CN102" si="303">IF($Q85&gt;=CN$5,1,0)</f>
        <v>1</v>
      </c>
      <c r="CO85" s="6">
        <f t="shared" ref="CO85:CO102" si="304">IF($Q85&lt;=CO$5,1,0)</f>
        <v>0</v>
      </c>
      <c r="CP85" s="6">
        <f t="shared" ref="CP85:CP102" si="305">IF($P85&gt;=CP$5,1,0)</f>
        <v>1</v>
      </c>
      <c r="CQ85" s="6">
        <f t="shared" si="288"/>
        <v>1</v>
      </c>
      <c r="CR85" s="81" t="str">
        <f t="shared" ref="CR85:CR102" si="306">IF(ISNUMBER($CH85),$CH85+$CS85+$CW85,"")</f>
        <v/>
      </c>
      <c r="CS85">
        <f t="shared" si="289"/>
        <v>0</v>
      </c>
      <c r="CT85">
        <f t="shared" si="19"/>
        <v>395</v>
      </c>
      <c r="CU85" t="str">
        <f t="shared" ref="CU85:CU102" si="307">IF(AND(ISERR(FIND("remain",$R85)),ISERR(FIND("left",$R85))),"","r")&amp;IF(ISERR(FIND("mon",$R85)),"","m")</f>
        <v/>
      </c>
      <c r="CV85" s="81">
        <f t="shared" si="290"/>
        <v>395</v>
      </c>
      <c r="CW85" s="81">
        <f>(CV85/25)^1.5*(Calculator!$BU$4/10000)*CW$5</f>
        <v>32.661471092102488</v>
      </c>
      <c r="CX85" t="str">
        <f t="shared" si="291"/>
        <v>$395</v>
      </c>
    </row>
    <row r="86" spans="2:102" x14ac:dyDescent="0.25">
      <c r="B86" s="115" t="s">
        <v>233</v>
      </c>
      <c r="C86" s="13">
        <v>46316.611111111109</v>
      </c>
      <c r="D86">
        <v>11676</v>
      </c>
      <c r="E86" s="54" t="s">
        <v>237</v>
      </c>
      <c r="F86" s="54" t="s">
        <v>404</v>
      </c>
      <c r="G86" s="54" t="s">
        <v>2076</v>
      </c>
      <c r="H86" s="55">
        <v>14.499999999999998</v>
      </c>
      <c r="I86" s="55">
        <v>14.099999999999998</v>
      </c>
      <c r="J86" s="55">
        <v>13.8</v>
      </c>
      <c r="K86" s="54"/>
      <c r="L86" s="56" t="b">
        <v>0</v>
      </c>
      <c r="M86" s="56" t="b">
        <v>0</v>
      </c>
      <c r="N86" s="54">
        <v>1</v>
      </c>
      <c r="O86" s="54" t="s">
        <v>228</v>
      </c>
      <c r="P86" s="54">
        <v>22</v>
      </c>
      <c r="Q86" s="54">
        <v>36</v>
      </c>
      <c r="R86" s="54">
        <v>395</v>
      </c>
      <c r="S86" s="54" t="s">
        <v>405</v>
      </c>
      <c r="T86" s="54" t="s">
        <v>1588</v>
      </c>
      <c r="U86" s="54" t="s">
        <v>406</v>
      </c>
      <c r="V86" s="54" t="s">
        <v>2118</v>
      </c>
      <c r="W86" s="54" t="b">
        <v>0</v>
      </c>
      <c r="X86" s="54"/>
      <c r="Y86" s="57" t="s">
        <v>2120</v>
      </c>
      <c r="Z86" s="54" t="s">
        <v>1589</v>
      </c>
      <c r="AA86" s="54"/>
      <c r="AB86" s="54" t="s">
        <v>407</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92"/>
        <v>4.0600000000000005</v>
      </c>
      <c r="BG86" s="35">
        <f t="shared" si="292"/>
        <v>6.8672999999999998E-2</v>
      </c>
      <c r="BH86" s="35" t="str">
        <f t="shared" si="281"/>
        <v>Low</v>
      </c>
      <c r="BI86" s="110">
        <f t="shared" si="282"/>
        <v>0</v>
      </c>
      <c r="BJ86" s="83">
        <f>VLOOKUP($F86,REP_Info!$D$6:$H$250,5,FALSE)</f>
        <v>1.8160000000000001</v>
      </c>
      <c r="BK86" s="30">
        <f t="shared" si="283"/>
        <v>14.4589</v>
      </c>
      <c r="BL86" s="30">
        <f t="shared" si="283"/>
        <v>14.052899999999999</v>
      </c>
      <c r="BM86" s="30">
        <f t="shared" si="283"/>
        <v>13.8499</v>
      </c>
      <c r="BN86" s="29">
        <f t="shared" si="283"/>
        <v>13.782233333333332</v>
      </c>
      <c r="BO86" s="85" t="str">
        <f t="shared" si="298"/>
        <v>$$$</v>
      </c>
      <c r="BP86" s="88" t="str">
        <f t="shared" si="284"/>
        <v>$$$</v>
      </c>
      <c r="BQ86" s="88" t="str">
        <f t="shared" si="293"/>
        <v>$$$</v>
      </c>
      <c r="BR86" s="88" t="str">
        <f t="shared" si="294"/>
        <v>$$$</v>
      </c>
      <c r="BS86" s="29" t="e">
        <f t="shared" si="295"/>
        <v>#N/A</v>
      </c>
      <c r="BT86" s="29" t="e">
        <f t="shared" si="295"/>
        <v>#N/A</v>
      </c>
      <c r="BU86" s="29" t="e">
        <f t="shared" si="295"/>
        <v>#N/A</v>
      </c>
      <c r="BV86" s="29" t="e">
        <f t="shared" si="295"/>
        <v>#N/A</v>
      </c>
      <c r="BW86" s="29" t="e">
        <f t="shared" si="295"/>
        <v>#N/A</v>
      </c>
      <c r="BX86" s="29" t="e">
        <f t="shared" si="295"/>
        <v>#N/A</v>
      </c>
      <c r="BY86" s="29" t="e">
        <f t="shared" si="295"/>
        <v>#N/A</v>
      </c>
      <c r="BZ86" s="29" t="e">
        <f t="shared" si="295"/>
        <v>#N/A</v>
      </c>
      <c r="CA86" s="29" t="e">
        <f t="shared" si="295"/>
        <v>#N/A</v>
      </c>
      <c r="CB86" s="29" t="e">
        <f t="shared" si="295"/>
        <v>#N/A</v>
      </c>
      <c r="CC86" s="29" t="e">
        <f t="shared" si="295"/>
        <v>#N/A</v>
      </c>
      <c r="CD86" s="29" t="e">
        <f t="shared" si="295"/>
        <v>#N/A</v>
      </c>
      <c r="CE86" s="6" t="str">
        <f t="shared" si="296"/>
        <v/>
      </c>
      <c r="CF86" s="27" t="e">
        <f>IF(AND(CI86,NOT(AD86)),LOOKUP(CF$5,{0,750,1500},H86:J86),"")</f>
        <v>#N/A</v>
      </c>
      <c r="CG86" s="6" t="str">
        <f t="shared" si="297"/>
        <v/>
      </c>
      <c r="CH86" t="e">
        <f t="shared" si="286"/>
        <v>#N/A</v>
      </c>
      <c r="CI86" t="e">
        <f t="shared" si="287"/>
        <v>#N/A</v>
      </c>
      <c r="CJ86" s="6" t="e">
        <f t="shared" si="299"/>
        <v>#N/A</v>
      </c>
      <c r="CK86" s="6">
        <f t="shared" si="300"/>
        <v>1</v>
      </c>
      <c r="CL86" s="6">
        <f t="shared" si="301"/>
        <v>1</v>
      </c>
      <c r="CM86" s="6">
        <f t="shared" si="302"/>
        <v>1</v>
      </c>
      <c r="CN86" s="6">
        <f t="shared" si="303"/>
        <v>1</v>
      </c>
      <c r="CO86" s="6">
        <f t="shared" si="304"/>
        <v>0</v>
      </c>
      <c r="CP86" s="6">
        <f t="shared" si="305"/>
        <v>1</v>
      </c>
      <c r="CQ86" s="6">
        <f t="shared" si="288"/>
        <v>1</v>
      </c>
      <c r="CR86" s="81" t="str">
        <f t="shared" si="306"/>
        <v/>
      </c>
      <c r="CS86">
        <f t="shared" si="289"/>
        <v>0</v>
      </c>
      <c r="CT86">
        <f t="shared" si="19"/>
        <v>395</v>
      </c>
      <c r="CU86" t="str">
        <f t="shared" si="307"/>
        <v/>
      </c>
      <c r="CV86" s="81">
        <f t="shared" si="290"/>
        <v>395</v>
      </c>
      <c r="CW86" s="81">
        <f>(CV86/25)^1.5*(Calculator!$BU$4/10000)*CW$5</f>
        <v>32.661471092102488</v>
      </c>
      <c r="CX86" t="str">
        <f t="shared" si="291"/>
        <v>$395</v>
      </c>
    </row>
    <row r="87" spans="2:102" x14ac:dyDescent="0.25">
      <c r="B87" s="115" t="s">
        <v>233</v>
      </c>
      <c r="C87" s="13">
        <v>46316.611111111109</v>
      </c>
      <c r="D87">
        <v>11680</v>
      </c>
      <c r="E87" s="54" t="s">
        <v>235</v>
      </c>
      <c r="F87" s="54" t="s">
        <v>404</v>
      </c>
      <c r="G87" s="54" t="s">
        <v>1587</v>
      </c>
      <c r="H87" s="55">
        <v>13.600000000000001</v>
      </c>
      <c r="I87" s="55">
        <v>13.100000000000001</v>
      </c>
      <c r="J87" s="55">
        <v>12.8</v>
      </c>
      <c r="K87" s="54"/>
      <c r="L87" s="56" t="b">
        <v>0</v>
      </c>
      <c r="M87" s="56" t="b">
        <v>0</v>
      </c>
      <c r="N87" s="54">
        <v>1</v>
      </c>
      <c r="O87" s="54" t="s">
        <v>228</v>
      </c>
      <c r="P87" s="54">
        <v>22</v>
      </c>
      <c r="Q87" s="54">
        <v>12</v>
      </c>
      <c r="R87" s="54">
        <v>150</v>
      </c>
      <c r="S87" s="54" t="s">
        <v>405</v>
      </c>
      <c r="T87" s="54" t="s">
        <v>1588</v>
      </c>
      <c r="U87" s="54" t="s">
        <v>406</v>
      </c>
      <c r="V87" s="54" t="s">
        <v>2118</v>
      </c>
      <c r="W87" s="54" t="b">
        <v>0</v>
      </c>
      <c r="X87" s="54"/>
      <c r="Y87" s="57" t="s">
        <v>2121</v>
      </c>
      <c r="Z87" s="54" t="s">
        <v>1651</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92"/>
        <v>4.9000000000000004</v>
      </c>
      <c r="BG87" s="35">
        <f t="shared" si="292"/>
        <v>6.5333000000000002E-2</v>
      </c>
      <c r="BH87" s="35" t="str">
        <f t="shared" si="281"/>
        <v>Low</v>
      </c>
      <c r="BI87" s="110">
        <f t="shared" si="282"/>
        <v>0</v>
      </c>
      <c r="BJ87" s="83">
        <f>VLOOKUP($F87,REP_Info!$D$6:$H$250,5,FALSE)</f>
        <v>1.8160000000000001</v>
      </c>
      <c r="BK87" s="30">
        <f t="shared" si="283"/>
        <v>13.584899999999999</v>
      </c>
      <c r="BL87" s="30">
        <f t="shared" si="283"/>
        <v>13.094900000000001</v>
      </c>
      <c r="BM87" s="30">
        <f t="shared" si="283"/>
        <v>12.8499</v>
      </c>
      <c r="BN87" s="29">
        <f t="shared" si="283"/>
        <v>12.768233333333335</v>
      </c>
      <c r="BO87" s="85" t="str">
        <f t="shared" si="298"/>
        <v>$$$</v>
      </c>
      <c r="BP87" s="88" t="str">
        <f t="shared" si="284"/>
        <v>$$$</v>
      </c>
      <c r="BQ87" s="88" t="str">
        <f t="shared" si="293"/>
        <v>$$$</v>
      </c>
      <c r="BR87" s="88" t="str">
        <f t="shared" si="294"/>
        <v>$$$</v>
      </c>
      <c r="BS87" s="29" t="e">
        <f t="shared" si="295"/>
        <v>#N/A</v>
      </c>
      <c r="BT87" s="29" t="e">
        <f t="shared" si="295"/>
        <v>#N/A</v>
      </c>
      <c r="BU87" s="29" t="e">
        <f t="shared" si="295"/>
        <v>#N/A</v>
      </c>
      <c r="BV87" s="29" t="e">
        <f t="shared" si="295"/>
        <v>#N/A</v>
      </c>
      <c r="BW87" s="29" t="e">
        <f t="shared" si="295"/>
        <v>#N/A</v>
      </c>
      <c r="BX87" s="29" t="e">
        <f t="shared" si="295"/>
        <v>#N/A</v>
      </c>
      <c r="BY87" s="29" t="e">
        <f t="shared" si="295"/>
        <v>#N/A</v>
      </c>
      <c r="BZ87" s="29" t="e">
        <f t="shared" si="295"/>
        <v>#N/A</v>
      </c>
      <c r="CA87" s="29" t="e">
        <f t="shared" si="295"/>
        <v>#N/A</v>
      </c>
      <c r="CB87" s="29" t="e">
        <f t="shared" si="295"/>
        <v>#N/A</v>
      </c>
      <c r="CC87" s="29" t="e">
        <f t="shared" si="295"/>
        <v>#N/A</v>
      </c>
      <c r="CD87" s="29" t="e">
        <f t="shared" si="295"/>
        <v>#N/A</v>
      </c>
      <c r="CE87" s="6" t="str">
        <f t="shared" si="296"/>
        <v/>
      </c>
      <c r="CF87" s="27" t="e">
        <f>IF(AND(CI87,NOT(AD87)),LOOKUP(CF$5,{0,750,1500},H87:J87),"")</f>
        <v>#N/A</v>
      </c>
      <c r="CG87" s="6" t="str">
        <f t="shared" si="297"/>
        <v/>
      </c>
      <c r="CH87" t="e">
        <f t="shared" si="286"/>
        <v>#N/A</v>
      </c>
      <c r="CI87" t="e">
        <f t="shared" si="287"/>
        <v>#N/A</v>
      </c>
      <c r="CJ87" s="6" t="e">
        <f t="shared" si="299"/>
        <v>#N/A</v>
      </c>
      <c r="CK87" s="6">
        <f t="shared" si="300"/>
        <v>1</v>
      </c>
      <c r="CL87" s="6">
        <f t="shared" si="301"/>
        <v>1</v>
      </c>
      <c r="CM87" s="6">
        <f t="shared" si="302"/>
        <v>1</v>
      </c>
      <c r="CN87" s="6">
        <f t="shared" si="303"/>
        <v>1</v>
      </c>
      <c r="CO87" s="6">
        <f t="shared" si="304"/>
        <v>1</v>
      </c>
      <c r="CP87" s="6">
        <f t="shared" si="305"/>
        <v>1</v>
      </c>
      <c r="CQ87" s="6">
        <f t="shared" si="288"/>
        <v>1</v>
      </c>
      <c r="CR87" s="81" t="str">
        <f t="shared" si="306"/>
        <v/>
      </c>
      <c r="CS87">
        <f t="shared" si="289"/>
        <v>0</v>
      </c>
      <c r="CT87">
        <f t="shared" si="19"/>
        <v>150</v>
      </c>
      <c r="CU87" t="str">
        <f t="shared" si="307"/>
        <v/>
      </c>
      <c r="CV87" s="81">
        <f t="shared" si="290"/>
        <v>150</v>
      </c>
      <c r="CW87" s="81">
        <f>(CV87/25)^1.5*(Calculator!$BU$4/10000)*CW$5</f>
        <v>7.6432310260371077</v>
      </c>
      <c r="CX87" t="str">
        <f t="shared" si="291"/>
        <v>$150</v>
      </c>
    </row>
    <row r="88" spans="2:102" x14ac:dyDescent="0.25">
      <c r="B88" s="115" t="s">
        <v>233</v>
      </c>
      <c r="C88" s="13">
        <v>46316.611111111109</v>
      </c>
      <c r="D88">
        <v>18366</v>
      </c>
      <c r="E88" s="54" t="s">
        <v>237</v>
      </c>
      <c r="F88" s="54" t="s">
        <v>404</v>
      </c>
      <c r="G88" s="54" t="s">
        <v>1590</v>
      </c>
      <c r="H88" s="55">
        <v>14.2</v>
      </c>
      <c r="I88" s="55">
        <v>13.8</v>
      </c>
      <c r="J88" s="55">
        <v>13.5</v>
      </c>
      <c r="K88" s="54"/>
      <c r="L88" s="56" t="b">
        <v>0</v>
      </c>
      <c r="M88" s="56" t="b">
        <v>0</v>
      </c>
      <c r="N88" s="54">
        <v>1</v>
      </c>
      <c r="O88" s="54" t="s">
        <v>228</v>
      </c>
      <c r="P88" s="54">
        <v>22</v>
      </c>
      <c r="Q88" s="54">
        <v>24</v>
      </c>
      <c r="R88" s="54">
        <v>295</v>
      </c>
      <c r="S88" s="54" t="s">
        <v>405</v>
      </c>
      <c r="T88" s="54" t="s">
        <v>1588</v>
      </c>
      <c r="U88" s="54" t="s">
        <v>406</v>
      </c>
      <c r="V88" s="54" t="s">
        <v>2118</v>
      </c>
      <c r="W88" s="54" t="b">
        <v>0</v>
      </c>
      <c r="X88" s="54"/>
      <c r="Y88" s="57" t="s">
        <v>2122</v>
      </c>
      <c r="Z88" s="54" t="s">
        <v>1589</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92"/>
        <v>4.0600000000000005</v>
      </c>
      <c r="BG88" s="35">
        <f t="shared" si="292"/>
        <v>6.8672999999999998E-2</v>
      </c>
      <c r="BH88" s="35" t="str">
        <f t="shared" si="281"/>
        <v>Low</v>
      </c>
      <c r="BI88" s="110">
        <f t="shared" si="282"/>
        <v>0</v>
      </c>
      <c r="BJ88" s="83">
        <f>VLOOKUP($F88,REP_Info!$D$6:$H$250,5,FALSE)</f>
        <v>1.8160000000000001</v>
      </c>
      <c r="BK88" s="30">
        <f t="shared" si="283"/>
        <v>14.158899999999999</v>
      </c>
      <c r="BL88" s="30">
        <f t="shared" si="283"/>
        <v>13.7529</v>
      </c>
      <c r="BM88" s="30">
        <f t="shared" si="283"/>
        <v>13.549900000000001</v>
      </c>
      <c r="BN88" s="29">
        <f t="shared" si="283"/>
        <v>13.482233333333332</v>
      </c>
      <c r="BO88" s="85" t="str">
        <f t="shared" si="298"/>
        <v>$$$</v>
      </c>
      <c r="BP88" s="88" t="str">
        <f t="shared" si="284"/>
        <v>$$$</v>
      </c>
      <c r="BQ88" s="88" t="str">
        <f t="shared" si="293"/>
        <v>$$$</v>
      </c>
      <c r="BR88" s="88" t="str">
        <f t="shared" si="294"/>
        <v>$$$</v>
      </c>
      <c r="BS88" s="29" t="e">
        <f t="shared" si="295"/>
        <v>#N/A</v>
      </c>
      <c r="BT88" s="29" t="e">
        <f t="shared" si="295"/>
        <v>#N/A</v>
      </c>
      <c r="BU88" s="29" t="e">
        <f t="shared" si="295"/>
        <v>#N/A</v>
      </c>
      <c r="BV88" s="29" t="e">
        <f t="shared" si="295"/>
        <v>#N/A</v>
      </c>
      <c r="BW88" s="29" t="e">
        <f t="shared" si="295"/>
        <v>#N/A</v>
      </c>
      <c r="BX88" s="29" t="e">
        <f t="shared" si="295"/>
        <v>#N/A</v>
      </c>
      <c r="BY88" s="29" t="e">
        <f t="shared" si="295"/>
        <v>#N/A</v>
      </c>
      <c r="BZ88" s="29" t="e">
        <f t="shared" si="295"/>
        <v>#N/A</v>
      </c>
      <c r="CA88" s="29" t="e">
        <f t="shared" si="295"/>
        <v>#N/A</v>
      </c>
      <c r="CB88" s="29" t="e">
        <f t="shared" si="295"/>
        <v>#N/A</v>
      </c>
      <c r="CC88" s="29" t="e">
        <f t="shared" si="295"/>
        <v>#N/A</v>
      </c>
      <c r="CD88" s="29" t="e">
        <f t="shared" si="295"/>
        <v>#N/A</v>
      </c>
      <c r="CE88" s="6" t="str">
        <f t="shared" si="296"/>
        <v/>
      </c>
      <c r="CF88" s="27" t="e">
        <f>IF(AND(CI88,NOT(AD88)),LOOKUP(CF$5,{0,750,1500},H88:J88),"")</f>
        <v>#N/A</v>
      </c>
      <c r="CG88" s="6" t="str">
        <f t="shared" si="297"/>
        <v/>
      </c>
      <c r="CH88" t="e">
        <f t="shared" si="286"/>
        <v>#N/A</v>
      </c>
      <c r="CI88" t="e">
        <f t="shared" si="287"/>
        <v>#N/A</v>
      </c>
      <c r="CJ88" s="6" t="e">
        <f t="shared" si="299"/>
        <v>#N/A</v>
      </c>
      <c r="CK88" s="6">
        <f t="shared" si="300"/>
        <v>1</v>
      </c>
      <c r="CL88" s="6">
        <f t="shared" si="301"/>
        <v>1</v>
      </c>
      <c r="CM88" s="6">
        <f t="shared" si="302"/>
        <v>1</v>
      </c>
      <c r="CN88" s="6">
        <f t="shared" si="303"/>
        <v>1</v>
      </c>
      <c r="CO88" s="6">
        <f t="shared" si="304"/>
        <v>0</v>
      </c>
      <c r="CP88" s="6">
        <f t="shared" si="305"/>
        <v>1</v>
      </c>
      <c r="CQ88" s="6">
        <f t="shared" si="288"/>
        <v>1</v>
      </c>
      <c r="CR88" s="81" t="str">
        <f t="shared" si="306"/>
        <v/>
      </c>
      <c r="CS88">
        <f t="shared" si="289"/>
        <v>0</v>
      </c>
      <c r="CT88">
        <f t="shared" si="19"/>
        <v>295</v>
      </c>
      <c r="CU88" t="str">
        <f t="shared" si="307"/>
        <v/>
      </c>
      <c r="CV88" s="81">
        <f t="shared" si="290"/>
        <v>295</v>
      </c>
      <c r="CW88" s="81">
        <f>(CV88/25)^1.5*(Calculator!$BU$4/10000)*CW$5</f>
        <v>21.080122109139459</v>
      </c>
      <c r="CX88" t="str">
        <f t="shared" si="291"/>
        <v>$295</v>
      </c>
    </row>
    <row r="89" spans="2:102" x14ac:dyDescent="0.25">
      <c r="B89" s="115" t="s">
        <v>233</v>
      </c>
      <c r="C89" s="13">
        <v>46316.611111111109</v>
      </c>
      <c r="D89">
        <v>18367</v>
      </c>
      <c r="E89" s="54" t="s">
        <v>237</v>
      </c>
      <c r="F89" s="54" t="s">
        <v>404</v>
      </c>
      <c r="G89" s="54" t="s">
        <v>1587</v>
      </c>
      <c r="H89" s="55">
        <v>13.8</v>
      </c>
      <c r="I89" s="55">
        <v>13.4</v>
      </c>
      <c r="J89" s="55">
        <v>13.100000000000001</v>
      </c>
      <c r="K89" s="54"/>
      <c r="L89" s="56" t="b">
        <v>0</v>
      </c>
      <c r="M89" s="56" t="b">
        <v>0</v>
      </c>
      <c r="N89" s="54">
        <v>1</v>
      </c>
      <c r="O89" s="54" t="s">
        <v>228</v>
      </c>
      <c r="P89" s="54">
        <v>22</v>
      </c>
      <c r="Q89" s="54">
        <v>12</v>
      </c>
      <c r="R89" s="54">
        <v>150</v>
      </c>
      <c r="S89" s="54" t="s">
        <v>405</v>
      </c>
      <c r="T89" s="54" t="s">
        <v>1588</v>
      </c>
      <c r="U89" s="54" t="s">
        <v>406</v>
      </c>
      <c r="V89" s="54" t="s">
        <v>2118</v>
      </c>
      <c r="W89" s="54" t="b">
        <v>0</v>
      </c>
      <c r="X89" s="54"/>
      <c r="Y89" s="57" t="s">
        <v>2123</v>
      </c>
      <c r="Z89" s="54" t="s">
        <v>1589</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92"/>
        <v>4.0600000000000005</v>
      </c>
      <c r="BG89" s="35">
        <f t="shared" si="292"/>
        <v>6.8672999999999998E-2</v>
      </c>
      <c r="BH89" s="35" t="str">
        <f t="shared" si="281"/>
        <v>Low</v>
      </c>
      <c r="BI89" s="110">
        <f t="shared" si="282"/>
        <v>0</v>
      </c>
      <c r="BJ89" s="83">
        <f>VLOOKUP($F89,REP_Info!$D$6:$H$250,5,FALSE)</f>
        <v>1.8160000000000001</v>
      </c>
      <c r="BK89" s="30">
        <f t="shared" si="283"/>
        <v>13.758899999999999</v>
      </c>
      <c r="BL89" s="30">
        <f t="shared" si="283"/>
        <v>13.3529</v>
      </c>
      <c r="BM89" s="30">
        <f t="shared" si="283"/>
        <v>13.149899999999999</v>
      </c>
      <c r="BN89" s="29">
        <f t="shared" si="283"/>
        <v>13.082233333333333</v>
      </c>
      <c r="BO89" s="85" t="str">
        <f t="shared" si="298"/>
        <v>$$$</v>
      </c>
      <c r="BP89" s="88" t="str">
        <f t="shared" si="284"/>
        <v>$$$</v>
      </c>
      <c r="BQ89" s="88" t="str">
        <f t="shared" si="293"/>
        <v>$$$</v>
      </c>
      <c r="BR89" s="88" t="str">
        <f t="shared" si="294"/>
        <v>$$$</v>
      </c>
      <c r="BS89" s="29" t="e">
        <f t="shared" si="295"/>
        <v>#N/A</v>
      </c>
      <c r="BT89" s="29" t="e">
        <f t="shared" si="295"/>
        <v>#N/A</v>
      </c>
      <c r="BU89" s="29" t="e">
        <f t="shared" si="295"/>
        <v>#N/A</v>
      </c>
      <c r="BV89" s="29" t="e">
        <f t="shared" si="295"/>
        <v>#N/A</v>
      </c>
      <c r="BW89" s="29" t="e">
        <f t="shared" si="295"/>
        <v>#N/A</v>
      </c>
      <c r="BX89" s="29" t="e">
        <f t="shared" si="295"/>
        <v>#N/A</v>
      </c>
      <c r="BY89" s="29" t="e">
        <f t="shared" si="295"/>
        <v>#N/A</v>
      </c>
      <c r="BZ89" s="29" t="e">
        <f t="shared" si="295"/>
        <v>#N/A</v>
      </c>
      <c r="CA89" s="29" t="e">
        <f t="shared" si="295"/>
        <v>#N/A</v>
      </c>
      <c r="CB89" s="29" t="e">
        <f t="shared" si="295"/>
        <v>#N/A</v>
      </c>
      <c r="CC89" s="29" t="e">
        <f t="shared" si="295"/>
        <v>#N/A</v>
      </c>
      <c r="CD89" s="29" t="e">
        <f t="shared" si="295"/>
        <v>#N/A</v>
      </c>
      <c r="CE89" s="6" t="str">
        <f t="shared" si="296"/>
        <v/>
      </c>
      <c r="CF89" s="27" t="e">
        <f>IF(AND(CI89,NOT(AD89)),LOOKUP(CF$5,{0,750,1500},H89:J89),"")</f>
        <v>#N/A</v>
      </c>
      <c r="CG89" s="6" t="str">
        <f t="shared" si="297"/>
        <v/>
      </c>
      <c r="CH89" t="e">
        <f t="shared" si="286"/>
        <v>#N/A</v>
      </c>
      <c r="CI89" t="e">
        <f t="shared" si="287"/>
        <v>#N/A</v>
      </c>
      <c r="CJ89" s="6" t="e">
        <f t="shared" si="299"/>
        <v>#N/A</v>
      </c>
      <c r="CK89" s="6">
        <f t="shared" si="300"/>
        <v>1</v>
      </c>
      <c r="CL89" s="6">
        <f t="shared" si="301"/>
        <v>1</v>
      </c>
      <c r="CM89" s="6">
        <f t="shared" si="302"/>
        <v>1</v>
      </c>
      <c r="CN89" s="6">
        <f t="shared" si="303"/>
        <v>1</v>
      </c>
      <c r="CO89" s="6">
        <f t="shared" si="304"/>
        <v>1</v>
      </c>
      <c r="CP89" s="6">
        <f t="shared" si="305"/>
        <v>1</v>
      </c>
      <c r="CQ89" s="6">
        <f t="shared" si="288"/>
        <v>1</v>
      </c>
      <c r="CR89" s="81" t="str">
        <f t="shared" si="306"/>
        <v/>
      </c>
      <c r="CS89">
        <f t="shared" si="289"/>
        <v>0</v>
      </c>
      <c r="CT89">
        <f t="shared" si="19"/>
        <v>150</v>
      </c>
      <c r="CU89" t="str">
        <f t="shared" si="307"/>
        <v/>
      </c>
      <c r="CV89" s="81">
        <f t="shared" si="290"/>
        <v>150</v>
      </c>
      <c r="CW89" s="81">
        <f>(CV89/25)^1.5*(Calculator!$BU$4/10000)*CW$5</f>
        <v>7.6432310260371077</v>
      </c>
      <c r="CX89" t="str">
        <f t="shared" si="291"/>
        <v>$150</v>
      </c>
    </row>
    <row r="90" spans="2:102" x14ac:dyDescent="0.25">
      <c r="B90" s="115" t="s">
        <v>233</v>
      </c>
      <c r="C90" s="13">
        <v>46316.611111111109</v>
      </c>
      <c r="D90">
        <v>18368</v>
      </c>
      <c r="E90" s="54" t="s">
        <v>235</v>
      </c>
      <c r="F90" s="54" t="s">
        <v>404</v>
      </c>
      <c r="G90" s="54" t="s">
        <v>1590</v>
      </c>
      <c r="H90" s="55">
        <v>14.000000000000002</v>
      </c>
      <c r="I90" s="55">
        <v>13.5</v>
      </c>
      <c r="J90" s="55">
        <v>13.200000000000001</v>
      </c>
      <c r="K90" s="54"/>
      <c r="L90" s="56" t="b">
        <v>0</v>
      </c>
      <c r="M90" s="56" t="b">
        <v>0</v>
      </c>
      <c r="N90" s="54">
        <v>1</v>
      </c>
      <c r="O90" s="54" t="s">
        <v>228</v>
      </c>
      <c r="P90" s="54">
        <v>22</v>
      </c>
      <c r="Q90" s="54">
        <v>24</v>
      </c>
      <c r="R90" s="54">
        <v>295</v>
      </c>
      <c r="S90" s="54" t="s">
        <v>405</v>
      </c>
      <c r="T90" s="54" t="s">
        <v>1588</v>
      </c>
      <c r="U90" s="54" t="s">
        <v>406</v>
      </c>
      <c r="V90" s="54" t="s">
        <v>2118</v>
      </c>
      <c r="W90" s="54" t="b">
        <v>0</v>
      </c>
      <c r="X90" s="54"/>
      <c r="Y90" s="57" t="s">
        <v>2124</v>
      </c>
      <c r="Z90" s="54" t="s">
        <v>1651</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92"/>
        <v>4.9000000000000004</v>
      </c>
      <c r="BG90" s="35">
        <f t="shared" si="292"/>
        <v>6.5333000000000002E-2</v>
      </c>
      <c r="BH90" s="35" t="str">
        <f t="shared" si="281"/>
        <v>Low</v>
      </c>
      <c r="BI90" s="110">
        <f t="shared" si="282"/>
        <v>0</v>
      </c>
      <c r="BJ90" s="83">
        <f>VLOOKUP($F90,REP_Info!$D$6:$H$250,5,FALSE)</f>
        <v>1.8160000000000001</v>
      </c>
      <c r="BK90" s="30">
        <f t="shared" si="283"/>
        <v>13.9849</v>
      </c>
      <c r="BL90" s="30">
        <f t="shared" si="283"/>
        <v>13.494900000000001</v>
      </c>
      <c r="BM90" s="30">
        <f t="shared" si="283"/>
        <v>13.2499</v>
      </c>
      <c r="BN90" s="29">
        <f t="shared" si="283"/>
        <v>13.168233333333335</v>
      </c>
      <c r="BO90" s="85" t="str">
        <f t="shared" si="298"/>
        <v>$$$</v>
      </c>
      <c r="BP90" s="88" t="str">
        <f t="shared" si="284"/>
        <v>$$$</v>
      </c>
      <c r="BQ90" s="88" t="str">
        <f t="shared" si="293"/>
        <v>$$$</v>
      </c>
      <c r="BR90" s="88" t="str">
        <f t="shared" si="294"/>
        <v>$$$</v>
      </c>
      <c r="BS90" s="29" t="e">
        <f t="shared" si="295"/>
        <v>#N/A</v>
      </c>
      <c r="BT90" s="29" t="e">
        <f t="shared" si="295"/>
        <v>#N/A</v>
      </c>
      <c r="BU90" s="29" t="e">
        <f t="shared" si="295"/>
        <v>#N/A</v>
      </c>
      <c r="BV90" s="29" t="e">
        <f t="shared" si="295"/>
        <v>#N/A</v>
      </c>
      <c r="BW90" s="29" t="e">
        <f t="shared" si="295"/>
        <v>#N/A</v>
      </c>
      <c r="BX90" s="29" t="e">
        <f t="shared" si="295"/>
        <v>#N/A</v>
      </c>
      <c r="BY90" s="29" t="e">
        <f t="shared" si="295"/>
        <v>#N/A</v>
      </c>
      <c r="BZ90" s="29" t="e">
        <f t="shared" si="295"/>
        <v>#N/A</v>
      </c>
      <c r="CA90" s="29" t="e">
        <f t="shared" si="295"/>
        <v>#N/A</v>
      </c>
      <c r="CB90" s="29" t="e">
        <f t="shared" si="295"/>
        <v>#N/A</v>
      </c>
      <c r="CC90" s="29" t="e">
        <f t="shared" si="295"/>
        <v>#N/A</v>
      </c>
      <c r="CD90" s="29" t="e">
        <f t="shared" si="295"/>
        <v>#N/A</v>
      </c>
      <c r="CE90" s="6" t="str">
        <f t="shared" si="296"/>
        <v/>
      </c>
      <c r="CF90" s="27" t="e">
        <f>IF(AND(CI90,NOT(AD90)),LOOKUP(CF$5,{0,750,1500},H90:J90),"")</f>
        <v>#N/A</v>
      </c>
      <c r="CG90" s="6" t="str">
        <f t="shared" si="297"/>
        <v/>
      </c>
      <c r="CH90" t="e">
        <f t="shared" si="286"/>
        <v>#N/A</v>
      </c>
      <c r="CI90" t="e">
        <f t="shared" si="287"/>
        <v>#N/A</v>
      </c>
      <c r="CJ90" s="6" t="e">
        <f t="shared" si="299"/>
        <v>#N/A</v>
      </c>
      <c r="CK90" s="6">
        <f t="shared" si="300"/>
        <v>1</v>
      </c>
      <c r="CL90" s="6">
        <f t="shared" si="301"/>
        <v>1</v>
      </c>
      <c r="CM90" s="6">
        <f t="shared" si="302"/>
        <v>1</v>
      </c>
      <c r="CN90" s="6">
        <f t="shared" si="303"/>
        <v>1</v>
      </c>
      <c r="CO90" s="6">
        <f t="shared" si="304"/>
        <v>0</v>
      </c>
      <c r="CP90" s="6">
        <f t="shared" si="305"/>
        <v>1</v>
      </c>
      <c r="CQ90" s="6">
        <f t="shared" si="288"/>
        <v>1</v>
      </c>
      <c r="CR90" s="81" t="str">
        <f t="shared" si="306"/>
        <v/>
      </c>
      <c r="CS90">
        <f t="shared" si="289"/>
        <v>0</v>
      </c>
      <c r="CT90">
        <f t="shared" si="19"/>
        <v>295</v>
      </c>
      <c r="CU90" t="str">
        <f t="shared" si="307"/>
        <v/>
      </c>
      <c r="CV90" s="81">
        <f t="shared" si="290"/>
        <v>295</v>
      </c>
      <c r="CW90" s="81">
        <f>(CV90/25)^1.5*(Calculator!$BU$4/10000)*CW$5</f>
        <v>21.080122109139459</v>
      </c>
      <c r="CX90" t="str">
        <f t="shared" si="291"/>
        <v>$295</v>
      </c>
    </row>
    <row r="91" spans="2:102" x14ac:dyDescent="0.25">
      <c r="B91" s="115" t="s">
        <v>233</v>
      </c>
      <c r="C91" s="13">
        <v>46316.611111111109</v>
      </c>
      <c r="D91">
        <v>31751</v>
      </c>
      <c r="E91" s="54" t="s">
        <v>235</v>
      </c>
      <c r="F91" s="54" t="s">
        <v>404</v>
      </c>
      <c r="G91" s="54" t="s">
        <v>2095</v>
      </c>
      <c r="H91" s="55">
        <v>12.9</v>
      </c>
      <c r="I91" s="55">
        <v>12.4</v>
      </c>
      <c r="J91" s="55">
        <v>12.1</v>
      </c>
      <c r="K91" s="54"/>
      <c r="L91" s="56" t="b">
        <v>0</v>
      </c>
      <c r="M91" s="56" t="b">
        <v>0</v>
      </c>
      <c r="N91" s="54">
        <v>1</v>
      </c>
      <c r="O91" s="54" t="s">
        <v>228</v>
      </c>
      <c r="P91" s="54">
        <v>22</v>
      </c>
      <c r="Q91" s="54">
        <v>8</v>
      </c>
      <c r="R91" s="54">
        <v>75</v>
      </c>
      <c r="S91" s="54" t="s">
        <v>405</v>
      </c>
      <c r="T91" s="54" t="s">
        <v>1588</v>
      </c>
      <c r="U91" s="54" t="s">
        <v>406</v>
      </c>
      <c r="V91" s="54" t="s">
        <v>2118</v>
      </c>
      <c r="W91" s="54" t="b">
        <v>0</v>
      </c>
      <c r="X91" s="54"/>
      <c r="Y91" s="57" t="s">
        <v>2125</v>
      </c>
      <c r="Z91" s="54" t="s">
        <v>1651</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5.3716E-2</v>
      </c>
      <c r="BC91" s="60"/>
      <c r="BD91" s="61"/>
      <c r="BE91" s="62" t="s">
        <v>293</v>
      </c>
      <c r="BF91" s="35">
        <f t="shared" si="292"/>
        <v>4.9000000000000004</v>
      </c>
      <c r="BG91" s="35">
        <f t="shared" si="292"/>
        <v>6.5333000000000002E-2</v>
      </c>
      <c r="BH91" s="35" t="str">
        <f t="shared" si="281"/>
        <v>Low</v>
      </c>
      <c r="BI91" s="110">
        <f t="shared" si="282"/>
        <v>0</v>
      </c>
      <c r="BJ91" s="83">
        <f>VLOOKUP($F91,REP_Info!$D$6:$H$250,5,FALSE)</f>
        <v>1.8160000000000001</v>
      </c>
      <c r="BK91" s="30">
        <f t="shared" si="283"/>
        <v>12.8849</v>
      </c>
      <c r="BL91" s="30">
        <f t="shared" si="283"/>
        <v>12.3949</v>
      </c>
      <c r="BM91" s="30">
        <f t="shared" si="283"/>
        <v>12.149899999999999</v>
      </c>
      <c r="BN91" s="29">
        <f t="shared" si="283"/>
        <v>12.068233333333335</v>
      </c>
      <c r="BO91" s="85" t="str">
        <f t="shared" si="298"/>
        <v>$$$</v>
      </c>
      <c r="BP91" s="88" t="str">
        <f t="shared" si="284"/>
        <v>$$$</v>
      </c>
      <c r="BQ91" s="88" t="str">
        <f t="shared" si="293"/>
        <v>$$$</v>
      </c>
      <c r="BR91" s="88" t="str">
        <f t="shared" si="294"/>
        <v>$$$</v>
      </c>
      <c r="BS91" s="29" t="e">
        <f t="shared" si="295"/>
        <v>#N/A</v>
      </c>
      <c r="BT91" s="29" t="e">
        <f t="shared" si="295"/>
        <v>#N/A</v>
      </c>
      <c r="BU91" s="29" t="e">
        <f t="shared" si="295"/>
        <v>#N/A</v>
      </c>
      <c r="BV91" s="29" t="e">
        <f t="shared" si="295"/>
        <v>#N/A</v>
      </c>
      <c r="BW91" s="29" t="e">
        <f t="shared" si="295"/>
        <v>#N/A</v>
      </c>
      <c r="BX91" s="29" t="e">
        <f t="shared" si="295"/>
        <v>#N/A</v>
      </c>
      <c r="BY91" s="29" t="e">
        <f t="shared" si="295"/>
        <v>#N/A</v>
      </c>
      <c r="BZ91" s="29" t="e">
        <f t="shared" si="295"/>
        <v>#N/A</v>
      </c>
      <c r="CA91" s="29" t="e">
        <f t="shared" si="295"/>
        <v>#N/A</v>
      </c>
      <c r="CB91" s="29" t="e">
        <f t="shared" si="295"/>
        <v>#N/A</v>
      </c>
      <c r="CC91" s="29" t="e">
        <f t="shared" si="295"/>
        <v>#N/A</v>
      </c>
      <c r="CD91" s="29" t="e">
        <f t="shared" si="295"/>
        <v>#N/A</v>
      </c>
      <c r="CE91" s="6" t="str">
        <f t="shared" si="296"/>
        <v/>
      </c>
      <c r="CF91" s="27" t="e">
        <f>IF(AND(CI91,NOT(AD91)),LOOKUP(CF$5,{0,750,1500},H91:J91),"")</f>
        <v>#N/A</v>
      </c>
      <c r="CG91" s="6" t="str">
        <f t="shared" si="297"/>
        <v/>
      </c>
      <c r="CH91" t="e">
        <f t="shared" si="286"/>
        <v>#N/A</v>
      </c>
      <c r="CI91" t="e">
        <f t="shared" si="287"/>
        <v>#N/A</v>
      </c>
      <c r="CJ91" s="6" t="e">
        <f t="shared" si="299"/>
        <v>#N/A</v>
      </c>
      <c r="CK91" s="6">
        <f t="shared" si="300"/>
        <v>1</v>
      </c>
      <c r="CL91" s="6">
        <f t="shared" si="301"/>
        <v>1</v>
      </c>
      <c r="CM91" s="6">
        <f t="shared" si="302"/>
        <v>1</v>
      </c>
      <c r="CN91" s="6">
        <f t="shared" si="303"/>
        <v>0</v>
      </c>
      <c r="CO91" s="6">
        <f t="shared" si="304"/>
        <v>1</v>
      </c>
      <c r="CP91" s="6">
        <f t="shared" si="305"/>
        <v>1</v>
      </c>
      <c r="CQ91" s="6">
        <f t="shared" si="288"/>
        <v>1</v>
      </c>
      <c r="CR91" s="81" t="str">
        <f t="shared" si="306"/>
        <v/>
      </c>
      <c r="CS91">
        <f t="shared" si="289"/>
        <v>9</v>
      </c>
      <c r="CT91">
        <f t="shared" si="19"/>
        <v>75</v>
      </c>
      <c r="CU91" t="str">
        <f t="shared" si="307"/>
        <v/>
      </c>
      <c r="CV91" s="81">
        <f t="shared" si="290"/>
        <v>75</v>
      </c>
      <c r="CW91" s="81">
        <f>(CV91/25)^1.5*(Calculator!$BU$4/10000)*CW$5</f>
        <v>2.7022902443431254</v>
      </c>
      <c r="CX91" t="str">
        <f t="shared" si="291"/>
        <v>$75</v>
      </c>
    </row>
    <row r="92" spans="2:102" x14ac:dyDescent="0.25">
      <c r="B92" s="115" t="s">
        <v>233</v>
      </c>
      <c r="C92" s="13">
        <v>46316.611111111109</v>
      </c>
      <c r="D92">
        <v>31752</v>
      </c>
      <c r="E92" s="54" t="s">
        <v>237</v>
      </c>
      <c r="F92" s="54" t="s">
        <v>404</v>
      </c>
      <c r="G92" s="54" t="s">
        <v>2095</v>
      </c>
      <c r="H92" s="55">
        <v>13.200000000000001</v>
      </c>
      <c r="I92" s="55">
        <v>12.8</v>
      </c>
      <c r="J92" s="55">
        <v>12.5</v>
      </c>
      <c r="K92" s="54"/>
      <c r="L92" s="56" t="b">
        <v>0</v>
      </c>
      <c r="M92" s="56" t="b">
        <v>0</v>
      </c>
      <c r="N92" s="54">
        <v>1</v>
      </c>
      <c r="O92" s="54" t="s">
        <v>228</v>
      </c>
      <c r="P92" s="54">
        <v>22</v>
      </c>
      <c r="Q92" s="54">
        <v>8</v>
      </c>
      <c r="R92" s="54">
        <v>75</v>
      </c>
      <c r="S92" s="54" t="s">
        <v>405</v>
      </c>
      <c r="T92" s="54" t="s">
        <v>1588</v>
      </c>
      <c r="U92" s="54" t="s">
        <v>406</v>
      </c>
      <c r="V92" s="54" t="s">
        <v>2118</v>
      </c>
      <c r="W92" s="54" t="b">
        <v>0</v>
      </c>
      <c r="X92" s="54"/>
      <c r="Y92" s="57" t="s">
        <v>2126</v>
      </c>
      <c r="Z92" s="54" t="s">
        <v>1589</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5.4795999999999997E-2</v>
      </c>
      <c r="BC92" s="60"/>
      <c r="BD92" s="61"/>
      <c r="BE92" s="62" t="s">
        <v>293</v>
      </c>
      <c r="BF92" s="35">
        <f t="shared" si="292"/>
        <v>4.0600000000000005</v>
      </c>
      <c r="BG92" s="35">
        <f t="shared" si="292"/>
        <v>6.8672999999999998E-2</v>
      </c>
      <c r="BH92" s="35" t="str">
        <f t="shared" si="281"/>
        <v>Low</v>
      </c>
      <c r="BI92" s="110">
        <f t="shared" si="282"/>
        <v>0</v>
      </c>
      <c r="BJ92" s="83">
        <f>VLOOKUP($F92,REP_Info!$D$6:$H$250,5,FALSE)</f>
        <v>1.8160000000000001</v>
      </c>
      <c r="BK92" s="30">
        <f t="shared" si="283"/>
        <v>13.158899999999999</v>
      </c>
      <c r="BL92" s="30">
        <f t="shared" si="283"/>
        <v>12.7529</v>
      </c>
      <c r="BM92" s="30">
        <f t="shared" si="283"/>
        <v>12.549899999999999</v>
      </c>
      <c r="BN92" s="29">
        <f t="shared" si="283"/>
        <v>12.482233333333332</v>
      </c>
      <c r="BO92" s="85" t="str">
        <f t="shared" si="298"/>
        <v>$$$</v>
      </c>
      <c r="BP92" s="88" t="str">
        <f t="shared" si="284"/>
        <v>$$$</v>
      </c>
      <c r="BQ92" s="88" t="str">
        <f t="shared" si="293"/>
        <v>$$$</v>
      </c>
      <c r="BR92" s="88" t="str">
        <f t="shared" si="294"/>
        <v>$$$</v>
      </c>
      <c r="BS92" s="29" t="e">
        <f t="shared" si="295"/>
        <v>#N/A</v>
      </c>
      <c r="BT92" s="29" t="e">
        <f t="shared" si="295"/>
        <v>#N/A</v>
      </c>
      <c r="BU92" s="29" t="e">
        <f t="shared" si="295"/>
        <v>#N/A</v>
      </c>
      <c r="BV92" s="29" t="e">
        <f t="shared" si="295"/>
        <v>#N/A</v>
      </c>
      <c r="BW92" s="29" t="e">
        <f t="shared" si="295"/>
        <v>#N/A</v>
      </c>
      <c r="BX92" s="29" t="e">
        <f t="shared" si="295"/>
        <v>#N/A</v>
      </c>
      <c r="BY92" s="29" t="e">
        <f t="shared" si="295"/>
        <v>#N/A</v>
      </c>
      <c r="BZ92" s="29" t="e">
        <f t="shared" si="295"/>
        <v>#N/A</v>
      </c>
      <c r="CA92" s="29" t="e">
        <f t="shared" si="295"/>
        <v>#N/A</v>
      </c>
      <c r="CB92" s="29" t="e">
        <f t="shared" si="295"/>
        <v>#N/A</v>
      </c>
      <c r="CC92" s="29" t="e">
        <f t="shared" si="295"/>
        <v>#N/A</v>
      </c>
      <c r="CD92" s="29" t="e">
        <f t="shared" si="295"/>
        <v>#N/A</v>
      </c>
      <c r="CE92" s="6" t="str">
        <f t="shared" si="296"/>
        <v/>
      </c>
      <c r="CF92" s="27" t="e">
        <f>IF(AND(CI92,NOT(AD92)),LOOKUP(CF$5,{0,750,1500},H92:J92),"")</f>
        <v>#N/A</v>
      </c>
      <c r="CG92" s="6" t="str">
        <f t="shared" si="297"/>
        <v/>
      </c>
      <c r="CH92" t="e">
        <f t="shared" si="286"/>
        <v>#N/A</v>
      </c>
      <c r="CI92" t="e">
        <f t="shared" si="287"/>
        <v>#N/A</v>
      </c>
      <c r="CJ92" s="6" t="e">
        <f t="shared" si="299"/>
        <v>#N/A</v>
      </c>
      <c r="CK92" s="6">
        <f t="shared" si="300"/>
        <v>1</v>
      </c>
      <c r="CL92" s="6">
        <f t="shared" si="301"/>
        <v>1</v>
      </c>
      <c r="CM92" s="6">
        <f t="shared" si="302"/>
        <v>1</v>
      </c>
      <c r="CN92" s="6">
        <f t="shared" si="303"/>
        <v>0</v>
      </c>
      <c r="CO92" s="6">
        <f t="shared" si="304"/>
        <v>1</v>
      </c>
      <c r="CP92" s="6">
        <f t="shared" si="305"/>
        <v>1</v>
      </c>
      <c r="CQ92" s="6">
        <f t="shared" si="288"/>
        <v>1</v>
      </c>
      <c r="CR92" s="81" t="str">
        <f t="shared" si="306"/>
        <v/>
      </c>
      <c r="CS92">
        <f t="shared" si="289"/>
        <v>9</v>
      </c>
      <c r="CT92">
        <f t="shared" si="19"/>
        <v>75</v>
      </c>
      <c r="CU92" t="str">
        <f t="shared" si="307"/>
        <v/>
      </c>
      <c r="CV92" s="81">
        <f t="shared" si="290"/>
        <v>75</v>
      </c>
      <c r="CW92" s="81">
        <f>(CV92/25)^1.5*(Calculator!$BU$4/10000)*CW$5</f>
        <v>2.7022902443431254</v>
      </c>
      <c r="CX92" t="str">
        <f t="shared" si="291"/>
        <v>$75</v>
      </c>
    </row>
    <row r="93" spans="2:102" x14ac:dyDescent="0.25">
      <c r="B93" s="115" t="s">
        <v>233</v>
      </c>
      <c r="C93" s="13">
        <v>46316.611111111109</v>
      </c>
      <c r="D93">
        <v>34521</v>
      </c>
      <c r="E93" s="54" t="s">
        <v>235</v>
      </c>
      <c r="F93" s="54" t="s">
        <v>404</v>
      </c>
      <c r="G93" s="54" t="s">
        <v>1591</v>
      </c>
      <c r="H93" s="55">
        <v>13.8</v>
      </c>
      <c r="I93" s="55">
        <v>13.3</v>
      </c>
      <c r="J93" s="55">
        <v>13</v>
      </c>
      <c r="K93" s="54"/>
      <c r="L93" s="56" t="b">
        <v>0</v>
      </c>
      <c r="M93" s="56" t="b">
        <v>0</v>
      </c>
      <c r="N93" s="54">
        <v>1</v>
      </c>
      <c r="O93" s="54" t="s">
        <v>228</v>
      </c>
      <c r="P93" s="54">
        <v>22</v>
      </c>
      <c r="Q93" s="54">
        <v>10</v>
      </c>
      <c r="R93" s="54">
        <v>95</v>
      </c>
      <c r="S93" s="54" t="s">
        <v>405</v>
      </c>
      <c r="T93" s="54"/>
      <c r="U93" s="54" t="s">
        <v>406</v>
      </c>
      <c r="V93" s="54" t="s">
        <v>2118</v>
      </c>
      <c r="W93" s="54" t="b">
        <v>0</v>
      </c>
      <c r="X93" s="54"/>
      <c r="Y93" s="57" t="s">
        <v>2127</v>
      </c>
      <c r="Z93" s="54" t="s">
        <v>1592</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6.2715999999999994E-2</v>
      </c>
      <c r="BC93" s="60"/>
      <c r="BD93" s="61"/>
      <c r="BE93" s="62" t="s">
        <v>293</v>
      </c>
      <c r="BF93" s="35">
        <f t="shared" si="292"/>
        <v>4.9000000000000004</v>
      </c>
      <c r="BG93" s="35">
        <f t="shared" si="292"/>
        <v>6.5333000000000002E-2</v>
      </c>
      <c r="BH93" s="35" t="str">
        <f t="shared" si="281"/>
        <v>Low</v>
      </c>
      <c r="BI93" s="110">
        <f t="shared" si="282"/>
        <v>0</v>
      </c>
      <c r="BJ93" s="83">
        <f>VLOOKUP($F93,REP_Info!$D$6:$H$250,5,FALSE)</f>
        <v>1.8160000000000001</v>
      </c>
      <c r="BK93" s="30">
        <f t="shared" si="283"/>
        <v>13.7849</v>
      </c>
      <c r="BL93" s="30">
        <f t="shared" si="283"/>
        <v>13.294900000000002</v>
      </c>
      <c r="BM93" s="30">
        <f t="shared" si="283"/>
        <v>13.049899999999999</v>
      </c>
      <c r="BN93" s="29">
        <f t="shared" si="283"/>
        <v>12.968233333333332</v>
      </c>
      <c r="BO93" s="85" t="str">
        <f t="shared" si="298"/>
        <v>$$$</v>
      </c>
      <c r="BP93" s="88" t="str">
        <f t="shared" si="284"/>
        <v>$$$</v>
      </c>
      <c r="BQ93" s="88" t="str">
        <f t="shared" si="293"/>
        <v>$$$</v>
      </c>
      <c r="BR93" s="88" t="str">
        <f t="shared" si="294"/>
        <v>$$$</v>
      </c>
      <c r="BS93" s="29" t="e">
        <f t="shared" si="295"/>
        <v>#N/A</v>
      </c>
      <c r="BT93" s="29" t="e">
        <f t="shared" si="295"/>
        <v>#N/A</v>
      </c>
      <c r="BU93" s="29" t="e">
        <f t="shared" si="295"/>
        <v>#N/A</v>
      </c>
      <c r="BV93" s="29" t="e">
        <f t="shared" si="295"/>
        <v>#N/A</v>
      </c>
      <c r="BW93" s="29" t="e">
        <f t="shared" si="295"/>
        <v>#N/A</v>
      </c>
      <c r="BX93" s="29" t="e">
        <f t="shared" si="295"/>
        <v>#N/A</v>
      </c>
      <c r="BY93" s="29" t="e">
        <f t="shared" si="295"/>
        <v>#N/A</v>
      </c>
      <c r="BZ93" s="29" t="e">
        <f t="shared" si="295"/>
        <v>#N/A</v>
      </c>
      <c r="CA93" s="29" t="e">
        <f t="shared" si="295"/>
        <v>#N/A</v>
      </c>
      <c r="CB93" s="29" t="e">
        <f t="shared" si="295"/>
        <v>#N/A</v>
      </c>
      <c r="CC93" s="29" t="e">
        <f t="shared" si="295"/>
        <v>#N/A</v>
      </c>
      <c r="CD93" s="29" t="e">
        <f t="shared" si="295"/>
        <v>#N/A</v>
      </c>
      <c r="CE93" s="6" t="str">
        <f t="shared" si="296"/>
        <v/>
      </c>
      <c r="CF93" s="27" t="e">
        <f>IF(AND(CI93,NOT(AD93)),LOOKUP(CF$5,{0,750,1500},H93:J93),"")</f>
        <v>#N/A</v>
      </c>
      <c r="CG93" s="6" t="str">
        <f t="shared" si="297"/>
        <v/>
      </c>
      <c r="CH93" t="e">
        <f t="shared" si="286"/>
        <v>#N/A</v>
      </c>
      <c r="CI93" t="e">
        <f t="shared" si="287"/>
        <v>#N/A</v>
      </c>
      <c r="CJ93" s="6" t="e">
        <f t="shared" si="299"/>
        <v>#N/A</v>
      </c>
      <c r="CK93" s="6">
        <f t="shared" si="300"/>
        <v>1</v>
      </c>
      <c r="CL93" s="6">
        <f t="shared" si="301"/>
        <v>1</v>
      </c>
      <c r="CM93" s="6">
        <f t="shared" si="302"/>
        <v>1</v>
      </c>
      <c r="CN93" s="6">
        <f t="shared" si="303"/>
        <v>0</v>
      </c>
      <c r="CO93" s="6">
        <f t="shared" si="304"/>
        <v>1</v>
      </c>
      <c r="CP93" s="6">
        <f t="shared" si="305"/>
        <v>1</v>
      </c>
      <c r="CQ93" s="6">
        <f t="shared" si="288"/>
        <v>1</v>
      </c>
      <c r="CR93" s="81" t="str">
        <f t="shared" si="306"/>
        <v/>
      </c>
      <c r="CS93">
        <f t="shared" si="289"/>
        <v>3.5999999999999992</v>
      </c>
      <c r="CT93">
        <f t="shared" si="19"/>
        <v>95</v>
      </c>
      <c r="CU93" t="str">
        <f t="shared" si="307"/>
        <v/>
      </c>
      <c r="CV93" s="81">
        <f t="shared" si="290"/>
        <v>95</v>
      </c>
      <c r="CW93" s="81">
        <f>(CV93/25)^1.5*(Calculator!$BU$4/10000)*CW$5</f>
        <v>3.8523479486358254</v>
      </c>
      <c r="CX93" t="str">
        <f t="shared" si="291"/>
        <v>$95</v>
      </c>
    </row>
    <row r="94" spans="2:102" x14ac:dyDescent="0.25">
      <c r="B94" s="115" t="s">
        <v>233</v>
      </c>
      <c r="C94" s="13">
        <v>46316.611111111109</v>
      </c>
      <c r="D94">
        <v>34523</v>
      </c>
      <c r="E94" s="54" t="s">
        <v>237</v>
      </c>
      <c r="F94" s="54" t="s">
        <v>404</v>
      </c>
      <c r="G94" s="54" t="s">
        <v>1591</v>
      </c>
      <c r="H94" s="55">
        <v>14.000000000000002</v>
      </c>
      <c r="I94" s="55">
        <v>13.600000000000001</v>
      </c>
      <c r="J94" s="55">
        <v>13.3</v>
      </c>
      <c r="K94" s="54"/>
      <c r="L94" s="56" t="b">
        <v>0</v>
      </c>
      <c r="M94" s="56" t="b">
        <v>0</v>
      </c>
      <c r="N94" s="54">
        <v>1</v>
      </c>
      <c r="O94" s="54" t="s">
        <v>228</v>
      </c>
      <c r="P94" s="54">
        <v>22</v>
      </c>
      <c r="Q94" s="54">
        <v>10</v>
      </c>
      <c r="R94" s="54">
        <v>95</v>
      </c>
      <c r="S94" s="54" t="s">
        <v>405</v>
      </c>
      <c r="T94" s="54"/>
      <c r="U94" s="54" t="s">
        <v>406</v>
      </c>
      <c r="V94" s="54" t="s">
        <v>2118</v>
      </c>
      <c r="W94" s="54" t="b">
        <v>0</v>
      </c>
      <c r="X94" s="54"/>
      <c r="Y94" s="57" t="s">
        <v>2128</v>
      </c>
      <c r="Z94" s="54" t="s">
        <v>1592</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6.2796000000000005E-2</v>
      </c>
      <c r="BC94" s="60"/>
      <c r="BD94" s="61"/>
      <c r="BE94" s="62" t="s">
        <v>293</v>
      </c>
      <c r="BF94" s="35">
        <f t="shared" si="292"/>
        <v>4.0600000000000005</v>
      </c>
      <c r="BG94" s="35">
        <f t="shared" si="292"/>
        <v>6.8672999999999998E-2</v>
      </c>
      <c r="BH94" s="35" t="str">
        <f t="shared" si="281"/>
        <v>Low</v>
      </c>
      <c r="BI94" s="110">
        <f t="shared" si="282"/>
        <v>0</v>
      </c>
      <c r="BJ94" s="83">
        <f>VLOOKUP($F94,REP_Info!$D$6:$H$250,5,FALSE)</f>
        <v>1.8160000000000001</v>
      </c>
      <c r="BK94" s="30">
        <f t="shared" si="283"/>
        <v>13.9589</v>
      </c>
      <c r="BL94" s="30">
        <f t="shared" si="283"/>
        <v>13.552899999999999</v>
      </c>
      <c r="BM94" s="30">
        <f t="shared" si="283"/>
        <v>13.349900000000002</v>
      </c>
      <c r="BN94" s="29">
        <f t="shared" si="283"/>
        <v>13.282233333333332</v>
      </c>
      <c r="BO94" s="85" t="str">
        <f t="shared" si="298"/>
        <v>$$$</v>
      </c>
      <c r="BP94" s="88" t="str">
        <f t="shared" si="284"/>
        <v>$$$</v>
      </c>
      <c r="BQ94" s="88" t="str">
        <f t="shared" si="293"/>
        <v>$$$</v>
      </c>
      <c r="BR94" s="88" t="str">
        <f t="shared" si="294"/>
        <v>$$$</v>
      </c>
      <c r="BS94" s="29" t="e">
        <f t="shared" si="295"/>
        <v>#N/A</v>
      </c>
      <c r="BT94" s="29" t="e">
        <f t="shared" si="295"/>
        <v>#N/A</v>
      </c>
      <c r="BU94" s="29" t="e">
        <f t="shared" si="295"/>
        <v>#N/A</v>
      </c>
      <c r="BV94" s="29" t="e">
        <f t="shared" si="295"/>
        <v>#N/A</v>
      </c>
      <c r="BW94" s="29" t="e">
        <f t="shared" si="295"/>
        <v>#N/A</v>
      </c>
      <c r="BX94" s="29" t="e">
        <f t="shared" si="295"/>
        <v>#N/A</v>
      </c>
      <c r="BY94" s="29" t="e">
        <f t="shared" si="295"/>
        <v>#N/A</v>
      </c>
      <c r="BZ94" s="29" t="e">
        <f t="shared" si="295"/>
        <v>#N/A</v>
      </c>
      <c r="CA94" s="29" t="e">
        <f t="shared" si="295"/>
        <v>#N/A</v>
      </c>
      <c r="CB94" s="29" t="e">
        <f t="shared" si="295"/>
        <v>#N/A</v>
      </c>
      <c r="CC94" s="29" t="e">
        <f t="shared" si="295"/>
        <v>#N/A</v>
      </c>
      <c r="CD94" s="29" t="e">
        <f t="shared" si="295"/>
        <v>#N/A</v>
      </c>
      <c r="CE94" s="6" t="str">
        <f t="shared" si="296"/>
        <v/>
      </c>
      <c r="CF94" s="27" t="e">
        <f>IF(AND(CI94,NOT(AD94)),LOOKUP(CF$5,{0,750,1500},H94:J94),"")</f>
        <v>#N/A</v>
      </c>
      <c r="CG94" s="6" t="str">
        <f t="shared" si="297"/>
        <v/>
      </c>
      <c r="CH94" t="e">
        <f t="shared" si="286"/>
        <v>#N/A</v>
      </c>
      <c r="CI94" t="e">
        <f t="shared" si="287"/>
        <v>#N/A</v>
      </c>
      <c r="CJ94" s="6" t="e">
        <f t="shared" si="299"/>
        <v>#N/A</v>
      </c>
      <c r="CK94" s="6">
        <f t="shared" si="300"/>
        <v>1</v>
      </c>
      <c r="CL94" s="6">
        <f t="shared" si="301"/>
        <v>1</v>
      </c>
      <c r="CM94" s="6">
        <f t="shared" si="302"/>
        <v>1</v>
      </c>
      <c r="CN94" s="6">
        <f t="shared" si="303"/>
        <v>0</v>
      </c>
      <c r="CO94" s="6">
        <f t="shared" si="304"/>
        <v>1</v>
      </c>
      <c r="CP94" s="6">
        <f t="shared" si="305"/>
        <v>1</v>
      </c>
      <c r="CQ94" s="6">
        <f t="shared" si="288"/>
        <v>1</v>
      </c>
      <c r="CR94" s="81" t="str">
        <f t="shared" si="306"/>
        <v/>
      </c>
      <c r="CS94">
        <f t="shared" si="289"/>
        <v>3.5999999999999992</v>
      </c>
      <c r="CT94">
        <f t="shared" si="19"/>
        <v>95</v>
      </c>
      <c r="CU94" t="str">
        <f t="shared" si="307"/>
        <v/>
      </c>
      <c r="CV94" s="81">
        <f t="shared" si="290"/>
        <v>95</v>
      </c>
      <c r="CW94" s="81">
        <f>(CV94/25)^1.5*(Calculator!$BU$4/10000)*CW$5</f>
        <v>3.8523479486358254</v>
      </c>
      <c r="CX94" t="str">
        <f t="shared" si="291"/>
        <v>$95</v>
      </c>
    </row>
    <row r="95" spans="2:102" x14ac:dyDescent="0.25">
      <c r="B95" s="115" t="s">
        <v>233</v>
      </c>
      <c r="C95" s="13">
        <v>46318.697916666664</v>
      </c>
      <c r="D95">
        <v>27821</v>
      </c>
      <c r="E95" s="54" t="s">
        <v>235</v>
      </c>
      <c r="F95" s="54" t="s">
        <v>408</v>
      </c>
      <c r="G95" s="54" t="s">
        <v>409</v>
      </c>
      <c r="H95" s="55">
        <v>13.8</v>
      </c>
      <c r="I95" s="55">
        <v>13.3</v>
      </c>
      <c r="J95" s="55">
        <v>13</v>
      </c>
      <c r="K95" s="54"/>
      <c r="L95" s="56" t="b">
        <v>0</v>
      </c>
      <c r="M95" s="56" t="b">
        <v>0</v>
      </c>
      <c r="N95" s="54">
        <v>1</v>
      </c>
      <c r="O95" s="54" t="s">
        <v>228</v>
      </c>
      <c r="P95" s="54">
        <v>100</v>
      </c>
      <c r="Q95" s="54">
        <v>12</v>
      </c>
      <c r="R95" s="54">
        <v>75</v>
      </c>
      <c r="S95" s="54" t="s">
        <v>410</v>
      </c>
      <c r="T95" s="54" t="s">
        <v>411</v>
      </c>
      <c r="U95" s="54" t="s">
        <v>1882</v>
      </c>
      <c r="V95" s="54" t="s">
        <v>1895</v>
      </c>
      <c r="W95" s="54" t="b">
        <v>1</v>
      </c>
      <c r="X95" s="54"/>
      <c r="Y95" s="57" t="s">
        <v>1896</v>
      </c>
      <c r="Z95" s="54" t="s">
        <v>1897</v>
      </c>
      <c r="AA95" s="54"/>
      <c r="AB95" s="54" t="s">
        <v>412</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6.5333000000000002E-2</v>
      </c>
      <c r="BE95" s="62" t="s">
        <v>293</v>
      </c>
      <c r="BF95" s="35">
        <f t="shared" si="292"/>
        <v>4.9000000000000004</v>
      </c>
      <c r="BG95" s="35">
        <f t="shared" si="292"/>
        <v>6.5333000000000002E-2</v>
      </c>
      <c r="BH95" s="35" t="str">
        <f t="shared" si="281"/>
        <v>Low</v>
      </c>
      <c r="BI95" s="110">
        <f t="shared" si="282"/>
        <v>0</v>
      </c>
      <c r="BJ95" s="83">
        <f>VLOOKUP($F95,REP_Info!$D$6:$H$250,5,FALSE)</f>
        <v>0.73699999999999999</v>
      </c>
      <c r="BK95" s="30">
        <f t="shared" si="283"/>
        <v>13.773300000000001</v>
      </c>
      <c r="BL95" s="30">
        <f t="shared" si="283"/>
        <v>13.283299999999999</v>
      </c>
      <c r="BM95" s="30">
        <f t="shared" si="283"/>
        <v>13.038299999999998</v>
      </c>
      <c r="BN95" s="29">
        <f t="shared" si="283"/>
        <v>12.956633333333334</v>
      </c>
      <c r="BO95" s="85" t="str">
        <f t="shared" si="298"/>
        <v>$$$</v>
      </c>
      <c r="BP95" s="88" t="str">
        <f t="shared" si="284"/>
        <v>$$$</v>
      </c>
      <c r="BQ95" s="88" t="str">
        <f t="shared" si="293"/>
        <v>$$$</v>
      </c>
      <c r="BR95" s="88" t="str">
        <f t="shared" si="294"/>
        <v>$$$</v>
      </c>
      <c r="BS95" s="29" t="e">
        <f t="shared" si="295"/>
        <v>#N/A</v>
      </c>
      <c r="BT95" s="29" t="e">
        <f t="shared" si="295"/>
        <v>#N/A</v>
      </c>
      <c r="BU95" s="29" t="e">
        <f t="shared" si="295"/>
        <v>#N/A</v>
      </c>
      <c r="BV95" s="29" t="e">
        <f t="shared" si="295"/>
        <v>#N/A</v>
      </c>
      <c r="BW95" s="29" t="e">
        <f t="shared" si="295"/>
        <v>#N/A</v>
      </c>
      <c r="BX95" s="29" t="e">
        <f t="shared" si="295"/>
        <v>#N/A</v>
      </c>
      <c r="BY95" s="29" t="e">
        <f t="shared" si="295"/>
        <v>#N/A</v>
      </c>
      <c r="BZ95" s="29" t="e">
        <f t="shared" si="295"/>
        <v>#N/A</v>
      </c>
      <c r="CA95" s="29" t="e">
        <f t="shared" si="295"/>
        <v>#N/A</v>
      </c>
      <c r="CB95" s="29" t="e">
        <f t="shared" si="295"/>
        <v>#N/A</v>
      </c>
      <c r="CC95" s="29" t="e">
        <f t="shared" si="295"/>
        <v>#N/A</v>
      </c>
      <c r="CD95" s="29" t="e">
        <f t="shared" si="295"/>
        <v>#N/A</v>
      </c>
      <c r="CE95" s="6" t="str">
        <f t="shared" si="296"/>
        <v/>
      </c>
      <c r="CF95" s="27" t="e">
        <f>IF(AND(CI95,NOT(AD95)),LOOKUP(CF$5,{0,750,1500},H95:J95),"")</f>
        <v>#N/A</v>
      </c>
      <c r="CG95" s="6" t="str">
        <f t="shared" si="297"/>
        <v/>
      </c>
      <c r="CH95" t="e">
        <f t="shared" si="286"/>
        <v>#N/A</v>
      </c>
      <c r="CI95" t="e">
        <f t="shared" si="287"/>
        <v>#N/A</v>
      </c>
      <c r="CJ95" s="6" t="e">
        <f t="shared" si="299"/>
        <v>#N/A</v>
      </c>
      <c r="CK95" s="6">
        <f t="shared" si="300"/>
        <v>1</v>
      </c>
      <c r="CL95" s="6">
        <f t="shared" si="301"/>
        <v>1</v>
      </c>
      <c r="CM95" s="6">
        <f t="shared" si="302"/>
        <v>1</v>
      </c>
      <c r="CN95" s="6">
        <f t="shared" si="303"/>
        <v>1</v>
      </c>
      <c r="CO95" s="6">
        <f t="shared" si="304"/>
        <v>1</v>
      </c>
      <c r="CP95" s="6">
        <f t="shared" si="305"/>
        <v>1</v>
      </c>
      <c r="CQ95" s="6">
        <f t="shared" si="288"/>
        <v>1</v>
      </c>
      <c r="CR95" s="81" t="str">
        <f t="shared" si="306"/>
        <v/>
      </c>
      <c r="CS95">
        <f t="shared" si="289"/>
        <v>0</v>
      </c>
      <c r="CT95">
        <f t="shared" si="19"/>
        <v>75</v>
      </c>
      <c r="CU95" t="str">
        <f t="shared" si="307"/>
        <v/>
      </c>
      <c r="CV95" s="81">
        <f t="shared" si="290"/>
        <v>75</v>
      </c>
      <c r="CW95" s="81">
        <f>(CV95/25)^1.5*(Calculator!$BU$4/10000)*CW$5</f>
        <v>2.7022902443431254</v>
      </c>
      <c r="CX95" t="str">
        <f t="shared" si="291"/>
        <v>$75</v>
      </c>
    </row>
    <row r="96" spans="2:102" x14ac:dyDescent="0.25">
      <c r="B96" s="115" t="s">
        <v>233</v>
      </c>
      <c r="C96" s="13">
        <v>46318.697916666664</v>
      </c>
      <c r="D96">
        <v>27823</v>
      </c>
      <c r="E96" s="54" t="s">
        <v>235</v>
      </c>
      <c r="F96" s="54" t="s">
        <v>408</v>
      </c>
      <c r="G96" s="54" t="s">
        <v>413</v>
      </c>
      <c r="H96" s="55">
        <v>14.000000000000002</v>
      </c>
      <c r="I96" s="55">
        <v>13.600000000000001</v>
      </c>
      <c r="J96" s="55">
        <v>13.3</v>
      </c>
      <c r="K96" s="54"/>
      <c r="L96" s="56" t="b">
        <v>0</v>
      </c>
      <c r="M96" s="56" t="b">
        <v>0</v>
      </c>
      <c r="N96" s="54">
        <v>1</v>
      </c>
      <c r="O96" s="54" t="s">
        <v>228</v>
      </c>
      <c r="P96" s="54">
        <v>100</v>
      </c>
      <c r="Q96" s="54">
        <v>24</v>
      </c>
      <c r="R96" s="54">
        <v>150</v>
      </c>
      <c r="S96" s="54" t="s">
        <v>410</v>
      </c>
      <c r="T96" s="54" t="s">
        <v>411</v>
      </c>
      <c r="U96" s="54" t="s">
        <v>1883</v>
      </c>
      <c r="V96" s="54" t="s">
        <v>1898</v>
      </c>
      <c r="W96" s="54" t="b">
        <v>1</v>
      </c>
      <c r="X96" s="54"/>
      <c r="Y96" s="57" t="s">
        <v>1899</v>
      </c>
      <c r="Z96" s="54" t="s">
        <v>1900</v>
      </c>
      <c r="AA96" s="54"/>
      <c r="AB96" s="54" t="s">
        <v>412</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6.5333000000000002E-2</v>
      </c>
      <c r="BE96" s="62" t="s">
        <v>293</v>
      </c>
      <c r="BF96" s="35">
        <f t="shared" si="292"/>
        <v>4.9000000000000004</v>
      </c>
      <c r="BG96" s="35">
        <f t="shared" si="292"/>
        <v>6.5333000000000002E-2</v>
      </c>
      <c r="BH96" s="35" t="str">
        <f t="shared" si="281"/>
        <v>Low</v>
      </c>
      <c r="BI96" s="110">
        <f t="shared" si="282"/>
        <v>0</v>
      </c>
      <c r="BJ96" s="83">
        <f>VLOOKUP($F96,REP_Info!$D$6:$H$250,5,FALSE)</f>
        <v>0.73699999999999999</v>
      </c>
      <c r="BK96" s="30">
        <f t="shared" si="283"/>
        <v>14.043299999999999</v>
      </c>
      <c r="BL96" s="30">
        <f t="shared" si="283"/>
        <v>13.553300000000002</v>
      </c>
      <c r="BM96" s="30">
        <f t="shared" si="283"/>
        <v>13.308299999999999</v>
      </c>
      <c r="BN96" s="29">
        <f t="shared" si="283"/>
        <v>13.226633333333332</v>
      </c>
      <c r="BO96" s="85" t="str">
        <f t="shared" si="298"/>
        <v>$$$</v>
      </c>
      <c r="BP96" s="88" t="str">
        <f t="shared" si="284"/>
        <v>$$$</v>
      </c>
      <c r="BQ96" s="88" t="str">
        <f t="shared" si="293"/>
        <v>$$$</v>
      </c>
      <c r="BR96" s="88" t="str">
        <f t="shared" si="294"/>
        <v>$$$</v>
      </c>
      <c r="BS96" s="29" t="e">
        <f t="shared" si="295"/>
        <v>#N/A</v>
      </c>
      <c r="BT96" s="29" t="e">
        <f t="shared" si="295"/>
        <v>#N/A</v>
      </c>
      <c r="BU96" s="29" t="e">
        <f t="shared" si="295"/>
        <v>#N/A</v>
      </c>
      <c r="BV96" s="29" t="e">
        <f t="shared" si="295"/>
        <v>#N/A</v>
      </c>
      <c r="BW96" s="29" t="e">
        <f t="shared" si="295"/>
        <v>#N/A</v>
      </c>
      <c r="BX96" s="29" t="e">
        <f t="shared" si="295"/>
        <v>#N/A</v>
      </c>
      <c r="BY96" s="29" t="e">
        <f t="shared" si="295"/>
        <v>#N/A</v>
      </c>
      <c r="BZ96" s="29" t="e">
        <f t="shared" si="295"/>
        <v>#N/A</v>
      </c>
      <c r="CA96" s="29" t="e">
        <f t="shared" si="295"/>
        <v>#N/A</v>
      </c>
      <c r="CB96" s="29" t="e">
        <f t="shared" si="295"/>
        <v>#N/A</v>
      </c>
      <c r="CC96" s="29" t="e">
        <f t="shared" si="295"/>
        <v>#N/A</v>
      </c>
      <c r="CD96" s="29" t="e">
        <f t="shared" si="295"/>
        <v>#N/A</v>
      </c>
      <c r="CE96" s="6" t="str">
        <f t="shared" si="296"/>
        <v/>
      </c>
      <c r="CF96" s="27" t="e">
        <f>IF(AND(CI96,NOT(AD96)),LOOKUP(CF$5,{0,750,1500},H96:J96),"")</f>
        <v>#N/A</v>
      </c>
      <c r="CG96" s="6" t="str">
        <f t="shared" si="297"/>
        <v/>
      </c>
      <c r="CH96" t="e">
        <f t="shared" si="286"/>
        <v>#N/A</v>
      </c>
      <c r="CI96" t="e">
        <f t="shared" si="287"/>
        <v>#N/A</v>
      </c>
      <c r="CJ96" s="6" t="e">
        <f t="shared" si="299"/>
        <v>#N/A</v>
      </c>
      <c r="CK96" s="6">
        <f t="shared" si="300"/>
        <v>1</v>
      </c>
      <c r="CL96" s="6">
        <f t="shared" si="301"/>
        <v>1</v>
      </c>
      <c r="CM96" s="6">
        <f t="shared" si="302"/>
        <v>1</v>
      </c>
      <c r="CN96" s="6">
        <f t="shared" si="303"/>
        <v>1</v>
      </c>
      <c r="CO96" s="6">
        <f t="shared" si="304"/>
        <v>0</v>
      </c>
      <c r="CP96" s="6">
        <f t="shared" si="305"/>
        <v>1</v>
      </c>
      <c r="CQ96" s="6">
        <f t="shared" si="288"/>
        <v>1</v>
      </c>
      <c r="CR96" s="81" t="str">
        <f t="shared" si="306"/>
        <v/>
      </c>
      <c r="CS96">
        <f t="shared" si="289"/>
        <v>0</v>
      </c>
      <c r="CT96">
        <f t="shared" si="19"/>
        <v>150</v>
      </c>
      <c r="CU96" t="str">
        <f t="shared" si="307"/>
        <v/>
      </c>
      <c r="CV96" s="81">
        <f t="shared" si="290"/>
        <v>150</v>
      </c>
      <c r="CW96" s="81">
        <f>(CV96/25)^1.5*(Calculator!$BU$4/10000)*CW$5</f>
        <v>7.6432310260371077</v>
      </c>
      <c r="CX96" t="str">
        <f t="shared" si="291"/>
        <v>$150</v>
      </c>
    </row>
    <row r="97" spans="2:102" x14ac:dyDescent="0.25">
      <c r="B97" s="115" t="s">
        <v>233</v>
      </c>
      <c r="C97" s="13">
        <v>46318.697916666664</v>
      </c>
      <c r="D97">
        <v>27829</v>
      </c>
      <c r="E97" s="54" t="s">
        <v>237</v>
      </c>
      <c r="F97" s="54" t="s">
        <v>408</v>
      </c>
      <c r="G97" s="54" t="s">
        <v>409</v>
      </c>
      <c r="H97" s="55">
        <v>14.000000000000002</v>
      </c>
      <c r="I97" s="55">
        <v>13.600000000000001</v>
      </c>
      <c r="J97" s="55">
        <v>13.4</v>
      </c>
      <c r="K97" s="54"/>
      <c r="L97" s="56" t="b">
        <v>0</v>
      </c>
      <c r="M97" s="56" t="b">
        <v>0</v>
      </c>
      <c r="N97" s="54">
        <v>1</v>
      </c>
      <c r="O97" s="54" t="s">
        <v>228</v>
      </c>
      <c r="P97" s="54">
        <v>100</v>
      </c>
      <c r="Q97" s="54">
        <v>12</v>
      </c>
      <c r="R97" s="54">
        <v>75</v>
      </c>
      <c r="S97" s="54" t="s">
        <v>410</v>
      </c>
      <c r="T97" s="54" t="s">
        <v>411</v>
      </c>
      <c r="U97" s="54" t="s">
        <v>1884</v>
      </c>
      <c r="V97" s="54" t="s">
        <v>1901</v>
      </c>
      <c r="W97" s="54" t="b">
        <v>1</v>
      </c>
      <c r="X97" s="54"/>
      <c r="Y97" s="57" t="s">
        <v>1902</v>
      </c>
      <c r="Z97" s="54" t="s">
        <v>1903</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6.9970000000000004E-2</v>
      </c>
      <c r="BE97" s="62" t="s">
        <v>293</v>
      </c>
      <c r="BF97" s="35">
        <f t="shared" si="292"/>
        <v>4.0600000000000005</v>
      </c>
      <c r="BG97" s="35">
        <f t="shared" si="292"/>
        <v>6.8672999999999998E-2</v>
      </c>
      <c r="BH97" s="35" t="str">
        <f t="shared" si="281"/>
        <v>Low</v>
      </c>
      <c r="BI97" s="110">
        <f t="shared" si="282"/>
        <v>0</v>
      </c>
      <c r="BJ97" s="83">
        <f>VLOOKUP($F97,REP_Info!$D$6:$H$250,5,FALSE)</f>
        <v>0.73699999999999999</v>
      </c>
      <c r="BK97" s="30">
        <f t="shared" si="283"/>
        <v>13.8393</v>
      </c>
      <c r="BL97" s="30">
        <f t="shared" si="283"/>
        <v>13.433299999999999</v>
      </c>
      <c r="BM97" s="30">
        <f t="shared" si="283"/>
        <v>13.2303</v>
      </c>
      <c r="BN97" s="29">
        <f t="shared" si="283"/>
        <v>13.162633333333334</v>
      </c>
      <c r="BO97" s="85" t="str">
        <f t="shared" si="298"/>
        <v>$$$</v>
      </c>
      <c r="BP97" s="88" t="str">
        <f t="shared" si="284"/>
        <v>$$$</v>
      </c>
      <c r="BQ97" s="88" t="str">
        <f t="shared" si="293"/>
        <v>$$$</v>
      </c>
      <c r="BR97" s="88" t="str">
        <f t="shared" si="294"/>
        <v>$$$</v>
      </c>
      <c r="BS97" s="29" t="e">
        <f t="shared" si="295"/>
        <v>#N/A</v>
      </c>
      <c r="BT97" s="29" t="e">
        <f t="shared" si="295"/>
        <v>#N/A</v>
      </c>
      <c r="BU97" s="29" t="e">
        <f t="shared" si="295"/>
        <v>#N/A</v>
      </c>
      <c r="BV97" s="29" t="e">
        <f t="shared" si="295"/>
        <v>#N/A</v>
      </c>
      <c r="BW97" s="29" t="e">
        <f t="shared" si="295"/>
        <v>#N/A</v>
      </c>
      <c r="BX97" s="29" t="e">
        <f t="shared" si="295"/>
        <v>#N/A</v>
      </c>
      <c r="BY97" s="29" t="e">
        <f t="shared" si="295"/>
        <v>#N/A</v>
      </c>
      <c r="BZ97" s="29" t="e">
        <f t="shared" si="295"/>
        <v>#N/A</v>
      </c>
      <c r="CA97" s="29" t="e">
        <f t="shared" si="295"/>
        <v>#N/A</v>
      </c>
      <c r="CB97" s="29" t="e">
        <f t="shared" si="295"/>
        <v>#N/A</v>
      </c>
      <c r="CC97" s="29" t="e">
        <f t="shared" si="295"/>
        <v>#N/A</v>
      </c>
      <c r="CD97" s="29" t="e">
        <f t="shared" si="295"/>
        <v>#N/A</v>
      </c>
      <c r="CE97" s="6" t="str">
        <f t="shared" si="296"/>
        <v/>
      </c>
      <c r="CF97" s="27" t="e">
        <f>IF(AND(CI97,NOT(AD97)),LOOKUP(CF$5,{0,750,1500},H97:J97),"")</f>
        <v>#N/A</v>
      </c>
      <c r="CG97" s="6" t="str">
        <f t="shared" si="297"/>
        <v/>
      </c>
      <c r="CH97" t="e">
        <f t="shared" si="286"/>
        <v>#N/A</v>
      </c>
      <c r="CI97" t="e">
        <f t="shared" si="287"/>
        <v>#N/A</v>
      </c>
      <c r="CJ97" s="6" t="e">
        <f t="shared" si="299"/>
        <v>#N/A</v>
      </c>
      <c r="CK97" s="6">
        <f t="shared" si="300"/>
        <v>1</v>
      </c>
      <c r="CL97" s="6">
        <f t="shared" si="301"/>
        <v>1</v>
      </c>
      <c r="CM97" s="6">
        <f t="shared" si="302"/>
        <v>1</v>
      </c>
      <c r="CN97" s="6">
        <f t="shared" si="303"/>
        <v>1</v>
      </c>
      <c r="CO97" s="6">
        <f t="shared" si="304"/>
        <v>1</v>
      </c>
      <c r="CP97" s="6">
        <f t="shared" si="305"/>
        <v>1</v>
      </c>
      <c r="CQ97" s="6">
        <f t="shared" si="288"/>
        <v>1</v>
      </c>
      <c r="CR97" s="81" t="str">
        <f t="shared" si="306"/>
        <v/>
      </c>
      <c r="CS97">
        <f t="shared" si="289"/>
        <v>0</v>
      </c>
      <c r="CT97">
        <f t="shared" si="19"/>
        <v>75</v>
      </c>
      <c r="CU97" t="str">
        <f t="shared" si="307"/>
        <v/>
      </c>
      <c r="CV97" s="81">
        <f t="shared" si="290"/>
        <v>75</v>
      </c>
      <c r="CW97" s="81">
        <f>(CV97/25)^1.5*(Calculator!$BU$4/10000)*CW$5</f>
        <v>2.7022902443431254</v>
      </c>
      <c r="CX97" t="str">
        <f t="shared" si="291"/>
        <v>$75</v>
      </c>
    </row>
    <row r="98" spans="2:102" x14ac:dyDescent="0.25">
      <c r="B98" s="115" t="s">
        <v>233</v>
      </c>
      <c r="C98" s="13">
        <v>46318.697916666664</v>
      </c>
      <c r="D98">
        <v>27831</v>
      </c>
      <c r="E98" s="54" t="s">
        <v>237</v>
      </c>
      <c r="F98" s="54" t="s">
        <v>408</v>
      </c>
      <c r="G98" s="54" t="s">
        <v>413</v>
      </c>
      <c r="H98" s="55">
        <v>14.299999999999999</v>
      </c>
      <c r="I98" s="55">
        <v>13.900000000000002</v>
      </c>
      <c r="J98" s="55">
        <v>13.700000000000001</v>
      </c>
      <c r="K98" s="54"/>
      <c r="L98" s="56" t="b">
        <v>0</v>
      </c>
      <c r="M98" s="56" t="b">
        <v>0</v>
      </c>
      <c r="N98" s="54">
        <v>1</v>
      </c>
      <c r="O98" s="54" t="s">
        <v>228</v>
      </c>
      <c r="P98" s="54">
        <v>100</v>
      </c>
      <c r="Q98" s="54">
        <v>24</v>
      </c>
      <c r="R98" s="54">
        <v>150</v>
      </c>
      <c r="S98" s="54" t="s">
        <v>410</v>
      </c>
      <c r="T98" s="54" t="s">
        <v>411</v>
      </c>
      <c r="U98" s="54" t="s">
        <v>1885</v>
      </c>
      <c r="V98" s="54" t="s">
        <v>1904</v>
      </c>
      <c r="W98" s="54" t="b">
        <v>1</v>
      </c>
      <c r="X98" s="54"/>
      <c r="Y98" s="57" t="s">
        <v>1905</v>
      </c>
      <c r="Z98" s="54" t="s">
        <v>1906</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6.9970000000000004E-2</v>
      </c>
      <c r="BE98" s="62" t="s">
        <v>293</v>
      </c>
      <c r="BF98" s="35">
        <f t="shared" si="292"/>
        <v>4.0600000000000005</v>
      </c>
      <c r="BG98" s="35">
        <f t="shared" si="292"/>
        <v>6.8672999999999998E-2</v>
      </c>
      <c r="BH98" s="35" t="str">
        <f t="shared" si="281"/>
        <v>Low</v>
      </c>
      <c r="BI98" s="110">
        <f t="shared" si="282"/>
        <v>0</v>
      </c>
      <c r="BJ98" s="83">
        <f>VLOOKUP($F98,REP_Info!$D$6:$H$250,5,FALSE)</f>
        <v>0.73699999999999999</v>
      </c>
      <c r="BK98" s="30">
        <f t="shared" si="283"/>
        <v>14.189300000000003</v>
      </c>
      <c r="BL98" s="30">
        <f t="shared" si="283"/>
        <v>13.783300000000002</v>
      </c>
      <c r="BM98" s="30">
        <f t="shared" si="283"/>
        <v>13.580299999999999</v>
      </c>
      <c r="BN98" s="29">
        <f t="shared" si="283"/>
        <v>13.512633333333333</v>
      </c>
      <c r="BO98" s="85" t="str">
        <f t="shared" si="298"/>
        <v>$$$</v>
      </c>
      <c r="BP98" s="88" t="str">
        <f t="shared" si="284"/>
        <v>$$$</v>
      </c>
      <c r="BQ98" s="88" t="str">
        <f t="shared" si="293"/>
        <v>$$$</v>
      </c>
      <c r="BR98" s="88" t="str">
        <f t="shared" si="294"/>
        <v>$$$</v>
      </c>
      <c r="BS98" s="29" t="e">
        <f t="shared" si="295"/>
        <v>#N/A</v>
      </c>
      <c r="BT98" s="29" t="e">
        <f t="shared" si="295"/>
        <v>#N/A</v>
      </c>
      <c r="BU98" s="29" t="e">
        <f t="shared" si="295"/>
        <v>#N/A</v>
      </c>
      <c r="BV98" s="29" t="e">
        <f t="shared" si="295"/>
        <v>#N/A</v>
      </c>
      <c r="BW98" s="29" t="e">
        <f t="shared" si="295"/>
        <v>#N/A</v>
      </c>
      <c r="BX98" s="29" t="e">
        <f t="shared" si="295"/>
        <v>#N/A</v>
      </c>
      <c r="BY98" s="29" t="e">
        <f t="shared" si="295"/>
        <v>#N/A</v>
      </c>
      <c r="BZ98" s="29" t="e">
        <f t="shared" si="295"/>
        <v>#N/A</v>
      </c>
      <c r="CA98" s="29" t="e">
        <f t="shared" si="295"/>
        <v>#N/A</v>
      </c>
      <c r="CB98" s="29" t="e">
        <f t="shared" si="295"/>
        <v>#N/A</v>
      </c>
      <c r="CC98" s="29" t="e">
        <f t="shared" si="295"/>
        <v>#N/A</v>
      </c>
      <c r="CD98" s="29" t="e">
        <f t="shared" si="295"/>
        <v>#N/A</v>
      </c>
      <c r="CE98" s="6" t="str">
        <f t="shared" si="296"/>
        <v/>
      </c>
      <c r="CF98" s="27" t="e">
        <f>IF(AND(CI98,NOT(AD98)),LOOKUP(CF$5,{0,750,1500},H98:J98),"")</f>
        <v>#N/A</v>
      </c>
      <c r="CG98" s="6" t="str">
        <f t="shared" si="297"/>
        <v/>
      </c>
      <c r="CH98" t="e">
        <f t="shared" si="286"/>
        <v>#N/A</v>
      </c>
      <c r="CI98" t="e">
        <f t="shared" si="287"/>
        <v>#N/A</v>
      </c>
      <c r="CJ98" s="6" t="e">
        <f t="shared" si="299"/>
        <v>#N/A</v>
      </c>
      <c r="CK98" s="6">
        <f t="shared" si="300"/>
        <v>1</v>
      </c>
      <c r="CL98" s="6">
        <f t="shared" si="301"/>
        <v>1</v>
      </c>
      <c r="CM98" s="6">
        <f t="shared" si="302"/>
        <v>1</v>
      </c>
      <c r="CN98" s="6">
        <f t="shared" si="303"/>
        <v>1</v>
      </c>
      <c r="CO98" s="6">
        <f t="shared" si="304"/>
        <v>0</v>
      </c>
      <c r="CP98" s="6">
        <f t="shared" si="305"/>
        <v>1</v>
      </c>
      <c r="CQ98" s="6">
        <f t="shared" si="288"/>
        <v>1</v>
      </c>
      <c r="CR98" s="81" t="str">
        <f t="shared" si="306"/>
        <v/>
      </c>
      <c r="CS98">
        <f t="shared" si="289"/>
        <v>0</v>
      </c>
      <c r="CT98">
        <f t="shared" si="19"/>
        <v>150</v>
      </c>
      <c r="CU98" t="str">
        <f t="shared" si="307"/>
        <v/>
      </c>
      <c r="CV98" s="81">
        <f t="shared" si="290"/>
        <v>150</v>
      </c>
      <c r="CW98" s="81">
        <f>(CV98/25)^1.5*(Calculator!$BU$4/10000)*CW$5</f>
        <v>7.6432310260371077</v>
      </c>
      <c r="CX98" t="str">
        <f t="shared" si="291"/>
        <v>$150</v>
      </c>
    </row>
    <row r="99" spans="2:102" x14ac:dyDescent="0.25">
      <c r="B99" s="115" t="s">
        <v>233</v>
      </c>
      <c r="C99" s="13">
        <v>46318.697916666664</v>
      </c>
      <c r="D99">
        <v>38163</v>
      </c>
      <c r="E99" s="54" t="s">
        <v>235</v>
      </c>
      <c r="F99" s="54" t="s">
        <v>408</v>
      </c>
      <c r="G99" s="54" t="s">
        <v>1907</v>
      </c>
      <c r="H99" s="55">
        <v>12.8</v>
      </c>
      <c r="I99" s="55">
        <v>12.3</v>
      </c>
      <c r="J99" s="55">
        <v>12.1</v>
      </c>
      <c r="K99" s="54"/>
      <c r="L99" s="56" t="b">
        <v>0</v>
      </c>
      <c r="M99" s="56" t="b">
        <v>0</v>
      </c>
      <c r="N99" s="54">
        <v>1</v>
      </c>
      <c r="O99" s="54" t="s">
        <v>228</v>
      </c>
      <c r="P99" s="54">
        <v>100</v>
      </c>
      <c r="Q99" s="54">
        <v>6</v>
      </c>
      <c r="R99" s="54">
        <v>50</v>
      </c>
      <c r="S99" s="54" t="s">
        <v>410</v>
      </c>
      <c r="T99" s="54" t="s">
        <v>411</v>
      </c>
      <c r="U99" s="54" t="s">
        <v>1886</v>
      </c>
      <c r="V99" s="54" t="s">
        <v>1908</v>
      </c>
      <c r="W99" s="54" t="b">
        <v>1</v>
      </c>
      <c r="X99" s="54"/>
      <c r="Y99" s="57" t="s">
        <v>1909</v>
      </c>
      <c r="Z99" s="54" t="s">
        <v>1910</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6.5333000000000002E-2</v>
      </c>
      <c r="BE99" s="62" t="s">
        <v>293</v>
      </c>
      <c r="BF99" s="35">
        <f t="shared" si="292"/>
        <v>4.9000000000000004</v>
      </c>
      <c r="BG99" s="35">
        <f t="shared" si="292"/>
        <v>6.5333000000000002E-2</v>
      </c>
      <c r="BH99" s="35" t="str">
        <f t="shared" si="281"/>
        <v>Low</v>
      </c>
      <c r="BI99" s="110">
        <f t="shared" si="282"/>
        <v>0</v>
      </c>
      <c r="BJ99" s="83">
        <f>VLOOKUP($F99,REP_Info!$D$6:$H$250,5,FALSE)</f>
        <v>0.73699999999999999</v>
      </c>
      <c r="BK99" s="30">
        <f t="shared" si="283"/>
        <v>12.833299999999999</v>
      </c>
      <c r="BL99" s="30">
        <f t="shared" si="283"/>
        <v>12.343299999999999</v>
      </c>
      <c r="BM99" s="30">
        <f t="shared" si="283"/>
        <v>12.098300000000002</v>
      </c>
      <c r="BN99" s="29">
        <f t="shared" si="283"/>
        <v>12.016633333333333</v>
      </c>
      <c r="BO99" s="85" t="str">
        <f t="shared" si="298"/>
        <v>$$$</v>
      </c>
      <c r="BP99" s="88" t="str">
        <f t="shared" si="284"/>
        <v>$$$</v>
      </c>
      <c r="BQ99" s="88" t="str">
        <f t="shared" si="293"/>
        <v>$$$</v>
      </c>
      <c r="BR99" s="88" t="str">
        <f t="shared" si="294"/>
        <v>$$$</v>
      </c>
      <c r="BS99" s="29" t="e">
        <f t="shared" si="295"/>
        <v>#N/A</v>
      </c>
      <c r="BT99" s="29" t="e">
        <f t="shared" si="295"/>
        <v>#N/A</v>
      </c>
      <c r="BU99" s="29" t="e">
        <f t="shared" si="295"/>
        <v>#N/A</v>
      </c>
      <c r="BV99" s="29" t="e">
        <f t="shared" si="295"/>
        <v>#N/A</v>
      </c>
      <c r="BW99" s="29" t="e">
        <f t="shared" si="295"/>
        <v>#N/A</v>
      </c>
      <c r="BX99" s="29" t="e">
        <f t="shared" si="295"/>
        <v>#N/A</v>
      </c>
      <c r="BY99" s="29" t="e">
        <f t="shared" si="295"/>
        <v>#N/A</v>
      </c>
      <c r="BZ99" s="29" t="e">
        <f t="shared" si="295"/>
        <v>#N/A</v>
      </c>
      <c r="CA99" s="29" t="e">
        <f t="shared" si="295"/>
        <v>#N/A</v>
      </c>
      <c r="CB99" s="29" t="e">
        <f t="shared" si="295"/>
        <v>#N/A</v>
      </c>
      <c r="CC99" s="29" t="e">
        <f t="shared" si="295"/>
        <v>#N/A</v>
      </c>
      <c r="CD99" s="29" t="e">
        <f t="shared" si="295"/>
        <v>#N/A</v>
      </c>
      <c r="CE99" s="6" t="str">
        <f t="shared" si="296"/>
        <v/>
      </c>
      <c r="CF99" s="27" t="e">
        <f>IF(AND(CI99,NOT(AD99)),LOOKUP(CF$5,{0,750,1500},H99:J99),"")</f>
        <v>#N/A</v>
      </c>
      <c r="CG99" s="6" t="str">
        <f t="shared" si="297"/>
        <v/>
      </c>
      <c r="CH99" t="e">
        <f t="shared" si="286"/>
        <v>#N/A</v>
      </c>
      <c r="CI99" t="e">
        <f t="shared" si="287"/>
        <v>#N/A</v>
      </c>
      <c r="CJ99" s="6" t="e">
        <f t="shared" si="299"/>
        <v>#N/A</v>
      </c>
      <c r="CK99" s="6">
        <f t="shared" si="300"/>
        <v>1</v>
      </c>
      <c r="CL99" s="6">
        <f t="shared" si="301"/>
        <v>1</v>
      </c>
      <c r="CM99" s="6">
        <f t="shared" si="302"/>
        <v>1</v>
      </c>
      <c r="CN99" s="6">
        <f t="shared" si="303"/>
        <v>0</v>
      </c>
      <c r="CO99" s="6">
        <f t="shared" si="304"/>
        <v>1</v>
      </c>
      <c r="CP99" s="6">
        <f t="shared" si="305"/>
        <v>1</v>
      </c>
      <c r="CQ99" s="6">
        <f t="shared" si="288"/>
        <v>1</v>
      </c>
      <c r="CR99" s="81" t="str">
        <f t="shared" si="306"/>
        <v/>
      </c>
      <c r="CS99">
        <f t="shared" si="289"/>
        <v>18</v>
      </c>
      <c r="CT99">
        <f t="shared" si="19"/>
        <v>50</v>
      </c>
      <c r="CU99" t="str">
        <f t="shared" si="307"/>
        <v/>
      </c>
      <c r="CV99" s="81">
        <f t="shared" si="290"/>
        <v>50</v>
      </c>
      <c r="CW99" s="81">
        <f>(CV99/25)^1.5*(Calculator!$BU$4/10000)*CW$5</f>
        <v>1.4709404967870074</v>
      </c>
      <c r="CX99" t="str">
        <f t="shared" si="291"/>
        <v>$50</v>
      </c>
    </row>
    <row r="100" spans="2:102" x14ac:dyDescent="0.25">
      <c r="B100" s="115" t="s">
        <v>233</v>
      </c>
      <c r="C100" s="13">
        <v>46318.697916666664</v>
      </c>
      <c r="D100">
        <v>38164</v>
      </c>
      <c r="E100" s="54" t="s">
        <v>237</v>
      </c>
      <c r="F100" s="54" t="s">
        <v>408</v>
      </c>
      <c r="G100" s="54" t="s">
        <v>1907</v>
      </c>
      <c r="H100" s="55">
        <v>13.200000000000001</v>
      </c>
      <c r="I100" s="55">
        <v>12.8</v>
      </c>
      <c r="J100" s="55">
        <v>12.6</v>
      </c>
      <c r="K100" s="54"/>
      <c r="L100" s="56" t="b">
        <v>0</v>
      </c>
      <c r="M100" s="56" t="b">
        <v>0</v>
      </c>
      <c r="N100" s="54">
        <v>1</v>
      </c>
      <c r="O100" s="54" t="s">
        <v>228</v>
      </c>
      <c r="P100" s="54">
        <v>100</v>
      </c>
      <c r="Q100" s="54">
        <v>6</v>
      </c>
      <c r="R100" s="54">
        <v>50</v>
      </c>
      <c r="S100" s="54" t="s">
        <v>410</v>
      </c>
      <c r="T100" s="54" t="s">
        <v>411</v>
      </c>
      <c r="U100" s="54" t="s">
        <v>1887</v>
      </c>
      <c r="V100" s="54" t="s">
        <v>1911</v>
      </c>
      <c r="W100" s="54" t="b">
        <v>1</v>
      </c>
      <c r="X100" s="54"/>
      <c r="Y100" s="57" t="s">
        <v>1912</v>
      </c>
      <c r="Z100" s="54" t="s">
        <v>1913</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6.9970000000000004E-2</v>
      </c>
      <c r="BE100" s="62" t="s">
        <v>293</v>
      </c>
      <c r="BF100" s="35">
        <f t="shared" si="292"/>
        <v>4.0600000000000005</v>
      </c>
      <c r="BG100" s="35">
        <f t="shared" si="292"/>
        <v>6.8672999999999998E-2</v>
      </c>
      <c r="BH100" s="35" t="str">
        <f t="shared" si="281"/>
        <v>Low</v>
      </c>
      <c r="BI100" s="110">
        <f t="shared" si="282"/>
        <v>0</v>
      </c>
      <c r="BJ100" s="83">
        <f>VLOOKUP($F100,REP_Info!$D$6:$H$250,5,FALSE)</f>
        <v>0.73699999999999999</v>
      </c>
      <c r="BK100" s="30">
        <f t="shared" si="283"/>
        <v>13.029300000000001</v>
      </c>
      <c r="BL100" s="30">
        <f t="shared" si="283"/>
        <v>12.6233</v>
      </c>
      <c r="BM100" s="30">
        <f t="shared" si="283"/>
        <v>12.420300000000001</v>
      </c>
      <c r="BN100" s="29">
        <f t="shared" si="283"/>
        <v>12.352633333333333</v>
      </c>
      <c r="BO100" s="85" t="str">
        <f t="shared" si="298"/>
        <v>$$$</v>
      </c>
      <c r="BP100" s="88" t="str">
        <f t="shared" si="284"/>
        <v>$$$</v>
      </c>
      <c r="BQ100" s="88" t="str">
        <f t="shared" si="293"/>
        <v>$$$</v>
      </c>
      <c r="BR100" s="88" t="str">
        <f t="shared" si="294"/>
        <v>$$$</v>
      </c>
      <c r="BS100" s="29" t="e">
        <f t="shared" si="295"/>
        <v>#N/A</v>
      </c>
      <c r="BT100" s="29" t="e">
        <f t="shared" si="295"/>
        <v>#N/A</v>
      </c>
      <c r="BU100" s="29" t="e">
        <f t="shared" si="295"/>
        <v>#N/A</v>
      </c>
      <c r="BV100" s="29" t="e">
        <f t="shared" si="295"/>
        <v>#N/A</v>
      </c>
      <c r="BW100" s="29" t="e">
        <f t="shared" si="295"/>
        <v>#N/A</v>
      </c>
      <c r="BX100" s="29" t="e">
        <f t="shared" si="295"/>
        <v>#N/A</v>
      </c>
      <c r="BY100" s="29" t="e">
        <f t="shared" si="295"/>
        <v>#N/A</v>
      </c>
      <c r="BZ100" s="29" t="e">
        <f t="shared" si="295"/>
        <v>#N/A</v>
      </c>
      <c r="CA100" s="29" t="e">
        <f t="shared" si="295"/>
        <v>#N/A</v>
      </c>
      <c r="CB100" s="29" t="e">
        <f t="shared" si="295"/>
        <v>#N/A</v>
      </c>
      <c r="CC100" s="29" t="e">
        <f t="shared" si="295"/>
        <v>#N/A</v>
      </c>
      <c r="CD100" s="29" t="e">
        <f t="shared" si="295"/>
        <v>#N/A</v>
      </c>
      <c r="CE100" s="6" t="str">
        <f t="shared" si="296"/>
        <v/>
      </c>
      <c r="CF100" s="27" t="e">
        <f>IF(AND(CI100,NOT(AD100)),LOOKUP(CF$5,{0,750,1500},H100:J100),"")</f>
        <v>#N/A</v>
      </c>
      <c r="CG100" s="6" t="str">
        <f t="shared" si="297"/>
        <v/>
      </c>
      <c r="CH100" t="e">
        <f t="shared" si="286"/>
        <v>#N/A</v>
      </c>
      <c r="CI100" t="e">
        <f t="shared" si="287"/>
        <v>#N/A</v>
      </c>
      <c r="CJ100" s="6" t="e">
        <f t="shared" si="299"/>
        <v>#N/A</v>
      </c>
      <c r="CK100" s="6">
        <f t="shared" si="300"/>
        <v>1</v>
      </c>
      <c r="CL100" s="6">
        <f t="shared" si="301"/>
        <v>1</v>
      </c>
      <c r="CM100" s="6">
        <f t="shared" si="302"/>
        <v>1</v>
      </c>
      <c r="CN100" s="6">
        <f t="shared" si="303"/>
        <v>0</v>
      </c>
      <c r="CO100" s="6">
        <f t="shared" si="304"/>
        <v>1</v>
      </c>
      <c r="CP100" s="6">
        <f t="shared" si="305"/>
        <v>1</v>
      </c>
      <c r="CQ100" s="6">
        <f t="shared" si="288"/>
        <v>1</v>
      </c>
      <c r="CR100" s="81" t="str">
        <f t="shared" si="306"/>
        <v/>
      </c>
      <c r="CS100">
        <f t="shared" si="289"/>
        <v>18</v>
      </c>
      <c r="CT100">
        <f t="shared" si="19"/>
        <v>50</v>
      </c>
      <c r="CU100" t="str">
        <f t="shared" si="307"/>
        <v/>
      </c>
      <c r="CV100" s="81">
        <f t="shared" si="290"/>
        <v>50</v>
      </c>
      <c r="CW100" s="81">
        <f>(CV100/25)^1.5*(Calculator!$BU$4/10000)*CW$5</f>
        <v>1.4709404967870074</v>
      </c>
      <c r="CX100" t="str">
        <f t="shared" si="291"/>
        <v>$50</v>
      </c>
    </row>
    <row r="101" spans="2:102" x14ac:dyDescent="0.25">
      <c r="B101" s="115" t="s">
        <v>233</v>
      </c>
      <c r="C101" s="13">
        <v>46304.647222222222</v>
      </c>
      <c r="D101">
        <v>35775</v>
      </c>
      <c r="E101" s="54" t="s">
        <v>237</v>
      </c>
      <c r="F101" s="54" t="s">
        <v>414</v>
      </c>
      <c r="G101" s="54" t="s">
        <v>415</v>
      </c>
      <c r="H101" s="55">
        <v>12.8</v>
      </c>
      <c r="I101" s="55">
        <v>12.4</v>
      </c>
      <c r="J101" s="55">
        <v>12.2</v>
      </c>
      <c r="K101" s="54"/>
      <c r="L101" s="56" t="b">
        <v>0</v>
      </c>
      <c r="M101" s="56" t="b">
        <v>0</v>
      </c>
      <c r="N101" s="54">
        <v>1</v>
      </c>
      <c r="O101" s="54" t="s">
        <v>228</v>
      </c>
      <c r="P101" s="54">
        <v>30</v>
      </c>
      <c r="Q101" s="54">
        <v>12</v>
      </c>
      <c r="R101" s="54">
        <v>150</v>
      </c>
      <c r="S101" s="54" t="s">
        <v>416</v>
      </c>
      <c r="T101" s="54" t="s">
        <v>417</v>
      </c>
      <c r="U101" s="54" t="s">
        <v>418</v>
      </c>
      <c r="V101" s="54" t="s">
        <v>419</v>
      </c>
      <c r="W101" s="54" t="b">
        <v>0</v>
      </c>
      <c r="X101" s="54"/>
      <c r="Y101" s="57" t="s">
        <v>1989</v>
      </c>
      <c r="Z101" s="54" t="s">
        <v>420</v>
      </c>
      <c r="AA101" s="54"/>
      <c r="AB101" s="54" t="s">
        <v>421</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292"/>
        <v>4.0600000000000005</v>
      </c>
      <c r="BG101" s="35">
        <f t="shared" si="292"/>
        <v>6.8672999999999998E-2</v>
      </c>
      <c r="BH101" s="35" t="str">
        <f t="shared" si="281"/>
        <v>Low</v>
      </c>
      <c r="BI101" s="110">
        <f t="shared" si="282"/>
        <v>0</v>
      </c>
      <c r="BJ101" s="83" t="str">
        <f>VLOOKUP($F101,REP_Info!$D$6:$H$250,5,FALSE)</f>
        <v/>
      </c>
      <c r="BK101" s="30">
        <f t="shared" si="283"/>
        <v>12.849299999999999</v>
      </c>
      <c r="BL101" s="30">
        <f t="shared" si="283"/>
        <v>12.443300000000001</v>
      </c>
      <c r="BM101" s="30">
        <f t="shared" si="283"/>
        <v>12.240300000000001</v>
      </c>
      <c r="BN101" s="29">
        <f t="shared" si="283"/>
        <v>12.172633333333334</v>
      </c>
      <c r="BO101" s="85" t="str">
        <f t="shared" si="298"/>
        <v>$$$</v>
      </c>
      <c r="BP101" s="88" t="str">
        <f t="shared" si="284"/>
        <v>$$$</v>
      </c>
      <c r="BQ101" s="88" t="str">
        <f t="shared" si="293"/>
        <v>$$$</v>
      </c>
      <c r="BR101" s="88" t="str">
        <f t="shared" si="294"/>
        <v>$$$</v>
      </c>
      <c r="BS101" s="29" t="e">
        <f t="shared" si="295"/>
        <v>#N/A</v>
      </c>
      <c r="BT101" s="29" t="e">
        <f t="shared" si="295"/>
        <v>#N/A</v>
      </c>
      <c r="BU101" s="29" t="e">
        <f t="shared" si="295"/>
        <v>#N/A</v>
      </c>
      <c r="BV101" s="29" t="e">
        <f t="shared" si="295"/>
        <v>#N/A</v>
      </c>
      <c r="BW101" s="29" t="e">
        <f t="shared" si="295"/>
        <v>#N/A</v>
      </c>
      <c r="BX101" s="29" t="e">
        <f t="shared" si="295"/>
        <v>#N/A</v>
      </c>
      <c r="BY101" s="29" t="e">
        <f t="shared" ref="BS101:CD102" si="308">IF($CI101,IF(BY$7&gt;0,IF(BY$4&gt;$Q101,$BF101+BY$7*(BY$5+$BG101+$BI101),LOOKUP(BY$7,$AH101:$AL101,$AM101:$AQ101)+IF($AG101="Y",SUMPRODUCT($AX101:$BB101-$AW101:$BA101,BY$7-$AR101:$AV101,N(BY$7&gt;$AR101:$AV101)),BY$7*LOOKUP(BY$7,$AR101:$AV101,$AX101:$BB101))+IF($BE101="Y",$BF101,$BC101)+BY$7*IF($BE101="Y",$BG101,$BD101))*100/BY$7,""),NA())</f>
        <v>#N/A</v>
      </c>
      <c r="BZ101" s="29" t="e">
        <f t="shared" si="308"/>
        <v>#N/A</v>
      </c>
      <c r="CA101" s="29" t="e">
        <f t="shared" si="308"/>
        <v>#N/A</v>
      </c>
      <c r="CB101" s="29" t="e">
        <f t="shared" si="308"/>
        <v>#N/A</v>
      </c>
      <c r="CC101" s="29" t="e">
        <f t="shared" si="308"/>
        <v>#N/A</v>
      </c>
      <c r="CD101" s="29" t="e">
        <f t="shared" si="308"/>
        <v>#N/A</v>
      </c>
      <c r="CE101" s="6" t="str">
        <f t="shared" si="296"/>
        <v/>
      </c>
      <c r="CF101" s="27" t="e">
        <f>IF(AND(CI101,NOT(AD101)),LOOKUP(CF$5,{0,750,1500},H101:J101),"")</f>
        <v>#N/A</v>
      </c>
      <c r="CG101" s="6" t="str">
        <f t="shared" si="297"/>
        <v/>
      </c>
      <c r="CH101" t="e">
        <f t="shared" si="286"/>
        <v>#N/A</v>
      </c>
      <c r="CI101" t="e">
        <f t="shared" si="287"/>
        <v>#N/A</v>
      </c>
      <c r="CJ101" s="6" t="e">
        <f t="shared" si="299"/>
        <v>#N/A</v>
      </c>
      <c r="CK101" s="6">
        <f t="shared" si="300"/>
        <v>1</v>
      </c>
      <c r="CL101" s="6">
        <f t="shared" si="301"/>
        <v>1</v>
      </c>
      <c r="CM101" s="6">
        <f t="shared" si="302"/>
        <v>1</v>
      </c>
      <c r="CN101" s="6">
        <f t="shared" si="303"/>
        <v>1</v>
      </c>
      <c r="CO101" s="6">
        <f t="shared" si="304"/>
        <v>1</v>
      </c>
      <c r="CP101" s="6">
        <f t="shared" si="305"/>
        <v>1</v>
      </c>
      <c r="CQ101" s="6">
        <f t="shared" si="288"/>
        <v>1</v>
      </c>
      <c r="CR101" s="81" t="str">
        <f t="shared" si="306"/>
        <v/>
      </c>
      <c r="CS101">
        <f t="shared" si="289"/>
        <v>0</v>
      </c>
      <c r="CT101">
        <f t="shared" si="19"/>
        <v>150</v>
      </c>
      <c r="CU101" t="str">
        <f t="shared" si="307"/>
        <v/>
      </c>
      <c r="CV101" s="81">
        <f t="shared" si="290"/>
        <v>150</v>
      </c>
      <c r="CW101" s="81">
        <f>(CV101/25)^1.5*(Calculator!$BU$4/10000)*CW$5</f>
        <v>7.6432310260371077</v>
      </c>
      <c r="CX101" t="str">
        <f t="shared" si="291"/>
        <v>$150</v>
      </c>
    </row>
    <row r="102" spans="2:102" x14ac:dyDescent="0.25">
      <c r="B102" s="115" t="s">
        <v>233</v>
      </c>
      <c r="C102" s="13">
        <v>46304.647222222222</v>
      </c>
      <c r="D102">
        <v>35777</v>
      </c>
      <c r="E102" s="54" t="s">
        <v>235</v>
      </c>
      <c r="F102" s="54" t="s">
        <v>414</v>
      </c>
      <c r="G102" s="54" t="s">
        <v>415</v>
      </c>
      <c r="H102" s="55">
        <v>12.9</v>
      </c>
      <c r="I102" s="55">
        <v>12.4</v>
      </c>
      <c r="J102" s="55">
        <v>12.2</v>
      </c>
      <c r="K102" s="54"/>
      <c r="L102" s="56" t="b">
        <v>0</v>
      </c>
      <c r="M102" s="56" t="b">
        <v>0</v>
      </c>
      <c r="N102" s="54">
        <v>1</v>
      </c>
      <c r="O102" s="54" t="s">
        <v>228</v>
      </c>
      <c r="P102" s="54">
        <v>30</v>
      </c>
      <c r="Q102" s="54">
        <v>12</v>
      </c>
      <c r="R102" s="54">
        <v>150</v>
      </c>
      <c r="S102" s="54" t="s">
        <v>422</v>
      </c>
      <c r="T102" s="54" t="s">
        <v>417</v>
      </c>
      <c r="U102" s="54" t="s">
        <v>418</v>
      </c>
      <c r="V102" s="54" t="s">
        <v>419</v>
      </c>
      <c r="W102" s="54" t="b">
        <v>0</v>
      </c>
      <c r="X102" s="54"/>
      <c r="Y102" s="57" t="s">
        <v>1990</v>
      </c>
      <c r="Z102" s="54" t="s">
        <v>423</v>
      </c>
      <c r="AA102" s="54"/>
      <c r="AB102" s="54" t="s">
        <v>421</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292"/>
        <v>4.9000000000000004</v>
      </c>
      <c r="BG102" s="35">
        <f t="shared" si="292"/>
        <v>6.5333000000000002E-2</v>
      </c>
      <c r="BH102" s="35" t="str">
        <f t="shared" si="281"/>
        <v>Low</v>
      </c>
      <c r="BI102" s="110">
        <f t="shared" si="282"/>
        <v>0</v>
      </c>
      <c r="BJ102" s="83" t="str">
        <f>VLOOKUP($F102,REP_Info!$D$6:$H$250,5,FALSE)</f>
        <v/>
      </c>
      <c r="BK102" s="30">
        <f t="shared" si="283"/>
        <v>12.933299999999999</v>
      </c>
      <c r="BL102" s="30">
        <f t="shared" si="283"/>
        <v>12.443299999999999</v>
      </c>
      <c r="BM102" s="30">
        <f t="shared" si="283"/>
        <v>12.198300000000001</v>
      </c>
      <c r="BN102" s="29">
        <f t="shared" si="283"/>
        <v>12.116633333333334</v>
      </c>
      <c r="BO102" s="85" t="str">
        <f t="shared" si="298"/>
        <v>$$$</v>
      </c>
      <c r="BP102" s="88" t="str">
        <f t="shared" si="284"/>
        <v>$$$</v>
      </c>
      <c r="BQ102" s="88" t="str">
        <f t="shared" si="293"/>
        <v>$$$</v>
      </c>
      <c r="BR102" s="88" t="str">
        <f t="shared" si="294"/>
        <v>$$$</v>
      </c>
      <c r="BS102" s="29" t="e">
        <f t="shared" si="308"/>
        <v>#N/A</v>
      </c>
      <c r="BT102" s="29" t="e">
        <f t="shared" si="308"/>
        <v>#N/A</v>
      </c>
      <c r="BU102" s="29" t="e">
        <f t="shared" si="308"/>
        <v>#N/A</v>
      </c>
      <c r="BV102" s="29" t="e">
        <f t="shared" si="308"/>
        <v>#N/A</v>
      </c>
      <c r="BW102" s="29" t="e">
        <f t="shared" si="308"/>
        <v>#N/A</v>
      </c>
      <c r="BX102" s="29" t="e">
        <f t="shared" si="308"/>
        <v>#N/A</v>
      </c>
      <c r="BY102" s="29" t="e">
        <f t="shared" si="308"/>
        <v>#N/A</v>
      </c>
      <c r="BZ102" s="29" t="e">
        <f t="shared" si="308"/>
        <v>#N/A</v>
      </c>
      <c r="CA102" s="29" t="e">
        <f t="shared" si="308"/>
        <v>#N/A</v>
      </c>
      <c r="CB102" s="29" t="e">
        <f t="shared" si="308"/>
        <v>#N/A</v>
      </c>
      <c r="CC102" s="29" t="e">
        <f t="shared" si="308"/>
        <v>#N/A</v>
      </c>
      <c r="CD102" s="29" t="e">
        <f t="shared" si="308"/>
        <v>#N/A</v>
      </c>
      <c r="CE102" s="6" t="str">
        <f t="shared" si="296"/>
        <v/>
      </c>
      <c r="CF102" s="27" t="e">
        <f>IF(AND(CI102,NOT(AD102)),LOOKUP(CF$5,{0,750,1500},H102:J102),"")</f>
        <v>#N/A</v>
      </c>
      <c r="CG102" s="6" t="str">
        <f t="shared" si="297"/>
        <v/>
      </c>
      <c r="CH102" t="e">
        <f t="shared" si="286"/>
        <v>#N/A</v>
      </c>
      <c r="CI102" t="e">
        <f t="shared" si="287"/>
        <v>#N/A</v>
      </c>
      <c r="CJ102" s="6" t="e">
        <f t="shared" si="299"/>
        <v>#N/A</v>
      </c>
      <c r="CK102" s="6">
        <f t="shared" si="300"/>
        <v>1</v>
      </c>
      <c r="CL102" s="6">
        <f t="shared" si="301"/>
        <v>1</v>
      </c>
      <c r="CM102" s="6">
        <f t="shared" si="302"/>
        <v>1</v>
      </c>
      <c r="CN102" s="6">
        <f t="shared" si="303"/>
        <v>1</v>
      </c>
      <c r="CO102" s="6">
        <f t="shared" si="304"/>
        <v>1</v>
      </c>
      <c r="CP102" s="6">
        <f t="shared" si="305"/>
        <v>1</v>
      </c>
      <c r="CQ102" s="6">
        <f t="shared" si="288"/>
        <v>1</v>
      </c>
      <c r="CR102" s="81" t="str">
        <f t="shared" si="306"/>
        <v/>
      </c>
      <c r="CS102">
        <f t="shared" si="289"/>
        <v>0</v>
      </c>
      <c r="CT102">
        <f t="shared" si="19"/>
        <v>150</v>
      </c>
      <c r="CU102" t="str">
        <f t="shared" si="307"/>
        <v/>
      </c>
      <c r="CV102" s="81">
        <f t="shared" si="290"/>
        <v>150</v>
      </c>
      <c r="CW102" s="81">
        <f>(CV102/25)^1.5*(Calculator!$BU$4/10000)*CW$5</f>
        <v>7.6432310260371077</v>
      </c>
      <c r="CX102" t="str">
        <f t="shared" si="291"/>
        <v>$150</v>
      </c>
    </row>
    <row r="103" spans="2:102" x14ac:dyDescent="0.25">
      <c r="B103" s="115" t="s">
        <v>233</v>
      </c>
      <c r="C103" s="13">
        <v>46317.620833333334</v>
      </c>
      <c r="D103">
        <v>35942</v>
      </c>
      <c r="E103" s="54" t="s">
        <v>237</v>
      </c>
      <c r="F103" s="54" t="s">
        <v>414</v>
      </c>
      <c r="G103" s="54" t="s">
        <v>1718</v>
      </c>
      <c r="H103" s="55">
        <v>12</v>
      </c>
      <c r="I103" s="55">
        <v>11.600000000000001</v>
      </c>
      <c r="J103" s="55">
        <v>11.4</v>
      </c>
      <c r="K103" s="54"/>
      <c r="L103" s="56" t="b">
        <v>0</v>
      </c>
      <c r="M103" s="56" t="b">
        <v>0</v>
      </c>
      <c r="N103" s="54">
        <v>1</v>
      </c>
      <c r="O103" s="54" t="s">
        <v>228</v>
      </c>
      <c r="P103" s="54">
        <v>30</v>
      </c>
      <c r="Q103" s="54">
        <v>8</v>
      </c>
      <c r="R103" s="54">
        <v>150</v>
      </c>
      <c r="S103" s="54" t="s">
        <v>1719</v>
      </c>
      <c r="T103" s="54" t="s">
        <v>417</v>
      </c>
      <c r="U103" s="54" t="s">
        <v>418</v>
      </c>
      <c r="V103" s="54" t="s">
        <v>419</v>
      </c>
      <c r="W103" s="54" t="b">
        <v>0</v>
      </c>
      <c r="X103" s="54"/>
      <c r="Y103" s="57" t="s">
        <v>2210</v>
      </c>
      <c r="Z103" s="54" t="s">
        <v>1720</v>
      </c>
      <c r="AA103" s="54"/>
      <c r="AB103" s="54" t="s">
        <v>421</v>
      </c>
      <c r="AC103" s="56" t="b">
        <v>1</v>
      </c>
      <c r="AD103" s="56" t="b">
        <v>0</v>
      </c>
      <c r="AE103" s="54" t="s">
        <v>302</v>
      </c>
      <c r="AF103" s="58">
        <v>46317</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4.3700000000000003E-2</v>
      </c>
      <c r="BC103" s="60">
        <v>4.0599999999999996</v>
      </c>
      <c r="BD103" s="61">
        <v>6.8672999999999998E-2</v>
      </c>
      <c r="BE103" s="62" t="s">
        <v>293</v>
      </c>
      <c r="BF103" s="35">
        <f t="shared" si="0"/>
        <v>4.0600000000000005</v>
      </c>
      <c r="BG103" s="35">
        <f t="shared" si="0"/>
        <v>6.8672999999999998E-2</v>
      </c>
      <c r="BH103" s="35" t="str">
        <f t="shared" ref="BH103:BH162" si="309">IF(ISTEXT(BE103),IF(AND(AV103=0,SUM(AN103:AQ103)=0),IF(AM103&lt;=0,IF(BE103="Y","Low","Flat"),"Med"),"High"),"?")</f>
        <v>Low</v>
      </c>
      <c r="BI103" s="110">
        <f t="shared" ref="BI103:BI162" si="310">IF(ISNUMBER(AH103),0*BI$5*SIN((EDATE($A$3,$Q103)-DATE(YEAR(EDATE($A$3,$Q103)),1,0)-BI$4)*2*PI()/365),"")</f>
        <v>0</v>
      </c>
      <c r="BJ103" s="83" t="str">
        <f>VLOOKUP($F103,REP_Info!$D$6:$H$250,5,FALSE)</f>
        <v/>
      </c>
      <c r="BK103" s="30">
        <f t="shared" si="1"/>
        <v>12.049300000000001</v>
      </c>
      <c r="BL103" s="30">
        <f t="shared" si="1"/>
        <v>11.643300000000002</v>
      </c>
      <c r="BM103" s="30">
        <f t="shared" si="1"/>
        <v>11.440300000000001</v>
      </c>
      <c r="BN103" s="29">
        <f t="shared" si="1"/>
        <v>11.372633333333331</v>
      </c>
      <c r="BO103" s="85" t="str">
        <f t="shared" si="2"/>
        <v>$$$</v>
      </c>
      <c r="BP103" s="88" t="str">
        <f t="shared" ref="BP103:BP162" si="311">IFERROR(BO103*100/BO$5,"$$$")</f>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96"/>
        <v/>
      </c>
      <c r="CF103" s="27" t="e">
        <f>IF(AND(CI103,NOT(AD103)),LOOKUP(CF$5,{0,750,1500},H103:J103),"")</f>
        <v>#N/A</v>
      </c>
      <c r="CG103" s="6" t="str">
        <f t="shared" si="297"/>
        <v/>
      </c>
      <c r="CH103" t="e">
        <f t="shared" ref="CH103:CH162" si="312">IF(CI103,IF(ISNUMBER(BO103),BO103,100000)+CV103/10000+IF(ISNUMBER(BJ103),BJ103,2)/10000-P103/100000+ROW()/10000000,"")</f>
        <v>#N/A</v>
      </c>
      <c r="CI103" t="e">
        <f t="shared" ref="CI103:CI162" si="313">PRODUCT(CJ103:CQ103)</f>
        <v>#N/A</v>
      </c>
      <c r="CJ103" s="6" t="e">
        <f t="shared" si="11"/>
        <v>#N/A</v>
      </c>
      <c r="CK103" s="6">
        <f t="shared" si="12"/>
        <v>1</v>
      </c>
      <c r="CL103" s="6">
        <f t="shared" si="26"/>
        <v>1</v>
      </c>
      <c r="CM103" s="6">
        <f t="shared" si="13"/>
        <v>1</v>
      </c>
      <c r="CN103" s="6">
        <f t="shared" si="14"/>
        <v>0</v>
      </c>
      <c r="CO103" s="6">
        <f t="shared" si="15"/>
        <v>1</v>
      </c>
      <c r="CP103" s="6">
        <f t="shared" si="16"/>
        <v>1</v>
      </c>
      <c r="CQ103" s="6">
        <f t="shared" ref="CQ103:CQ162" si="314">IF(CQ$5="Any",1,IF(AND(CQ$5="Med",AV103=0,SUM(AN103:AQ103)=0),1,IF(AND(CQ$5="Low",AV103=0,SUM(AN103:AQ103)=0,AM103=0),1,IF(AND(CQ$5="Flat",AV103=0,SUM(AN103:AQ103)=0,AM103=0,IFERROR(NOT(BE103="Y"),0)),1,0))))</f>
        <v>1</v>
      </c>
      <c r="CR103" s="81" t="str">
        <f t="shared" si="17"/>
        <v/>
      </c>
      <c r="CS103">
        <f t="shared" ref="CS103:CS162" si="315">CS$5*(12/(MIN(12,Q103))-1)</f>
        <v>9</v>
      </c>
      <c r="CT103">
        <f t="shared" si="19"/>
        <v>150</v>
      </c>
      <c r="CU103" t="str">
        <f t="shared" si="29"/>
        <v/>
      </c>
      <c r="CV103" s="81">
        <f t="shared" ref="CV103:CV162" si="316">CT103*IF(CU103="",1,Q103)</f>
        <v>150</v>
      </c>
      <c r="CW103" s="81">
        <f>(CV103/25)^1.5*(Calculator!$BU$4/10000)*CW$5</f>
        <v>7.6432310260371077</v>
      </c>
      <c r="CX103" t="str">
        <f t="shared" ref="CX103:CX162" si="317">"$"&amp;IF(LEFT(CU103,1)="r",CT103&amp;"/"&amp;CU103,CV103)</f>
        <v>$150</v>
      </c>
    </row>
    <row r="104" spans="2:102" x14ac:dyDescent="0.25">
      <c r="B104" s="115" t="s">
        <v>233</v>
      </c>
      <c r="C104" s="13">
        <v>46317.620833333334</v>
      </c>
      <c r="D104">
        <v>35944</v>
      </c>
      <c r="E104" s="54" t="s">
        <v>235</v>
      </c>
      <c r="F104" s="54" t="s">
        <v>414</v>
      </c>
      <c r="G104" s="54" t="s">
        <v>1718</v>
      </c>
      <c r="H104" s="55">
        <v>11.899999999999999</v>
      </c>
      <c r="I104" s="55">
        <v>11.4</v>
      </c>
      <c r="J104" s="55">
        <v>11.200000000000001</v>
      </c>
      <c r="K104" s="54"/>
      <c r="L104" s="56" t="b">
        <v>0</v>
      </c>
      <c r="M104" s="56" t="b">
        <v>0</v>
      </c>
      <c r="N104" s="54">
        <v>1</v>
      </c>
      <c r="O104" s="54" t="s">
        <v>228</v>
      </c>
      <c r="P104" s="54">
        <v>30</v>
      </c>
      <c r="Q104" s="54">
        <v>8</v>
      </c>
      <c r="R104" s="54">
        <v>150</v>
      </c>
      <c r="S104" s="54" t="s">
        <v>1721</v>
      </c>
      <c r="T104" s="54" t="s">
        <v>417</v>
      </c>
      <c r="U104" s="54" t="s">
        <v>418</v>
      </c>
      <c r="V104" s="54" t="s">
        <v>419</v>
      </c>
      <c r="W104" s="54" t="b">
        <v>0</v>
      </c>
      <c r="X104" s="54"/>
      <c r="Y104" s="57" t="s">
        <v>2211</v>
      </c>
      <c r="Z104" s="54" t="s">
        <v>1722</v>
      </c>
      <c r="AA104" s="54"/>
      <c r="AB104" s="54" t="s">
        <v>421</v>
      </c>
      <c r="AC104" s="56" t="b">
        <v>1</v>
      </c>
      <c r="AD104" s="56" t="b">
        <v>0</v>
      </c>
      <c r="AE104" s="54" t="s">
        <v>302</v>
      </c>
      <c r="AF104" s="58">
        <v>46317</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4.4200000000000003E-2</v>
      </c>
      <c r="BC104" s="60">
        <v>4.9000000000000004</v>
      </c>
      <c r="BD104" s="61">
        <v>6.5333000000000002E-2</v>
      </c>
      <c r="BE104" s="62" t="s">
        <v>293</v>
      </c>
      <c r="BF104" s="35">
        <f t="shared" si="0"/>
        <v>4.9000000000000004</v>
      </c>
      <c r="BG104" s="35">
        <f t="shared" si="0"/>
        <v>6.5333000000000002E-2</v>
      </c>
      <c r="BH104" s="35" t="str">
        <f t="shared" si="309"/>
        <v>Low</v>
      </c>
      <c r="BI104" s="110">
        <f t="shared" si="310"/>
        <v>0</v>
      </c>
      <c r="BJ104" s="83" t="str">
        <f>VLOOKUP($F104,REP_Info!$D$6:$H$250,5,FALSE)</f>
        <v/>
      </c>
      <c r="BK104" s="30">
        <f t="shared" si="1"/>
        <v>11.933299999999999</v>
      </c>
      <c r="BL104" s="30">
        <f t="shared" si="1"/>
        <v>11.443299999999999</v>
      </c>
      <c r="BM104" s="30">
        <f t="shared" si="1"/>
        <v>11.198300000000001</v>
      </c>
      <c r="BN104" s="29">
        <f t="shared" si="1"/>
        <v>11.116633333333334</v>
      </c>
      <c r="BO104" s="85" t="str">
        <f t="shared" si="2"/>
        <v>$$$</v>
      </c>
      <c r="BP104" s="88" t="str">
        <f t="shared" si="31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96"/>
        <v/>
      </c>
      <c r="CF104" s="27" t="e">
        <f>IF(AND(CI104,NOT(AD104)),LOOKUP(CF$5,{0,750,1500},H104:J104),"")</f>
        <v>#N/A</v>
      </c>
      <c r="CG104" s="6" t="str">
        <f t="shared" si="297"/>
        <v/>
      </c>
      <c r="CH104" t="e">
        <f t="shared" si="312"/>
        <v>#N/A</v>
      </c>
      <c r="CI104" t="e">
        <f t="shared" si="313"/>
        <v>#N/A</v>
      </c>
      <c r="CJ104" s="6" t="e">
        <f t="shared" si="11"/>
        <v>#N/A</v>
      </c>
      <c r="CK104" s="6">
        <f t="shared" si="12"/>
        <v>1</v>
      </c>
      <c r="CL104" s="6">
        <f t="shared" si="26"/>
        <v>1</v>
      </c>
      <c r="CM104" s="6">
        <f t="shared" si="13"/>
        <v>1</v>
      </c>
      <c r="CN104" s="6">
        <f t="shared" si="14"/>
        <v>0</v>
      </c>
      <c r="CO104" s="6">
        <f t="shared" si="15"/>
        <v>1</v>
      </c>
      <c r="CP104" s="6">
        <f t="shared" si="16"/>
        <v>1</v>
      </c>
      <c r="CQ104" s="6">
        <f t="shared" si="314"/>
        <v>1</v>
      </c>
      <c r="CR104" s="81" t="str">
        <f t="shared" si="17"/>
        <v/>
      </c>
      <c r="CS104">
        <f t="shared" si="315"/>
        <v>9</v>
      </c>
      <c r="CT104">
        <f t="shared" si="19"/>
        <v>150</v>
      </c>
      <c r="CU104" t="str">
        <f t="shared" si="29"/>
        <v/>
      </c>
      <c r="CV104" s="81">
        <f t="shared" si="316"/>
        <v>150</v>
      </c>
      <c r="CW104" s="81">
        <f>(CV104/25)^1.5*(Calculator!$BU$4/10000)*CW$5</f>
        <v>7.6432310260371077</v>
      </c>
      <c r="CX104" t="str">
        <f t="shared" si="317"/>
        <v>$150</v>
      </c>
    </row>
    <row r="105" spans="2:102" x14ac:dyDescent="0.25">
      <c r="B105" s="115" t="s">
        <v>233</v>
      </c>
      <c r="C105" s="13">
        <v>46304.647222222222</v>
      </c>
      <c r="D105">
        <v>37960</v>
      </c>
      <c r="E105" s="54" t="s">
        <v>237</v>
      </c>
      <c r="F105" s="54" t="s">
        <v>414</v>
      </c>
      <c r="G105" s="54" t="s">
        <v>1747</v>
      </c>
      <c r="H105" s="55">
        <v>10.7</v>
      </c>
      <c r="I105" s="55">
        <v>10.299999999999999</v>
      </c>
      <c r="J105" s="55">
        <v>10.100000000000001</v>
      </c>
      <c r="K105" s="54"/>
      <c r="L105" s="56" t="b">
        <v>0</v>
      </c>
      <c r="M105" s="56" t="b">
        <v>0</v>
      </c>
      <c r="N105" s="54">
        <v>1</v>
      </c>
      <c r="O105" s="54" t="s">
        <v>228</v>
      </c>
      <c r="P105" s="54">
        <v>30</v>
      </c>
      <c r="Q105" s="54">
        <v>3</v>
      </c>
      <c r="R105" s="54">
        <v>150</v>
      </c>
      <c r="S105" s="54" t="s">
        <v>1748</v>
      </c>
      <c r="T105" s="54" t="s">
        <v>1749</v>
      </c>
      <c r="U105" s="54" t="s">
        <v>418</v>
      </c>
      <c r="V105" s="54" t="s">
        <v>419</v>
      </c>
      <c r="W105" s="54" t="b">
        <v>0</v>
      </c>
      <c r="X105" s="54"/>
      <c r="Y105" s="57" t="s">
        <v>1991</v>
      </c>
      <c r="Z105" s="54" t="s">
        <v>1750</v>
      </c>
      <c r="AA105" s="54"/>
      <c r="AB105" s="54" t="s">
        <v>421</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309"/>
        <v>Low</v>
      </c>
      <c r="BI105" s="110">
        <f t="shared" si="310"/>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311"/>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96"/>
        <v/>
      </c>
      <c r="CF105" s="27" t="e">
        <f>IF(AND(CI105,NOT(AD105)),LOOKUP(CF$5,{0,750,1500},H105:J105),"")</f>
        <v>#N/A</v>
      </c>
      <c r="CG105" s="6" t="str">
        <f t="shared" si="297"/>
        <v/>
      </c>
      <c r="CH105" t="e">
        <f t="shared" si="312"/>
        <v>#N/A</v>
      </c>
      <c r="CI105" t="e">
        <f t="shared" si="313"/>
        <v>#N/A</v>
      </c>
      <c r="CJ105" s="6" t="e">
        <f t="shared" si="11"/>
        <v>#N/A</v>
      </c>
      <c r="CK105" s="6">
        <f t="shared" si="12"/>
        <v>1</v>
      </c>
      <c r="CL105" s="6">
        <f t="shared" si="26"/>
        <v>1</v>
      </c>
      <c r="CM105" s="6">
        <f t="shared" si="13"/>
        <v>1</v>
      </c>
      <c r="CN105" s="6">
        <f t="shared" si="14"/>
        <v>0</v>
      </c>
      <c r="CO105" s="6">
        <f t="shared" si="15"/>
        <v>1</v>
      </c>
      <c r="CP105" s="6">
        <f t="shared" si="16"/>
        <v>1</v>
      </c>
      <c r="CQ105" s="6">
        <f t="shared" si="314"/>
        <v>1</v>
      </c>
      <c r="CR105" s="81" t="str">
        <f t="shared" si="17"/>
        <v/>
      </c>
      <c r="CS105">
        <f t="shared" si="315"/>
        <v>54</v>
      </c>
      <c r="CT105">
        <f t="shared" si="19"/>
        <v>150</v>
      </c>
      <c r="CU105" t="str">
        <f t="shared" si="29"/>
        <v/>
      </c>
      <c r="CV105" s="81">
        <f t="shared" si="316"/>
        <v>150</v>
      </c>
      <c r="CW105" s="81">
        <f>(CV105/25)^1.5*(Calculator!$BU$4/10000)*CW$5</f>
        <v>7.6432310260371077</v>
      </c>
      <c r="CX105" t="str">
        <f t="shared" si="317"/>
        <v>$150</v>
      </c>
    </row>
    <row r="106" spans="2:102" x14ac:dyDescent="0.25">
      <c r="B106" s="115" t="s">
        <v>233</v>
      </c>
      <c r="C106" s="13">
        <v>46302.234722222223</v>
      </c>
      <c r="D106">
        <v>37962</v>
      </c>
      <c r="E106" s="54" t="s">
        <v>235</v>
      </c>
      <c r="F106" s="54" t="s">
        <v>414</v>
      </c>
      <c r="G106" s="54" t="s">
        <v>1747</v>
      </c>
      <c r="H106" s="55">
        <v>11</v>
      </c>
      <c r="I106" s="55">
        <v>10.5</v>
      </c>
      <c r="J106" s="55">
        <v>10.299999999999999</v>
      </c>
      <c r="K106" s="54"/>
      <c r="L106" s="56" t="b">
        <v>0</v>
      </c>
      <c r="M106" s="56" t="b">
        <v>0</v>
      </c>
      <c r="N106" s="54">
        <v>1</v>
      </c>
      <c r="O106" s="54" t="s">
        <v>228</v>
      </c>
      <c r="P106" s="54">
        <v>30</v>
      </c>
      <c r="Q106" s="54">
        <v>3</v>
      </c>
      <c r="R106" s="54">
        <v>150</v>
      </c>
      <c r="S106" s="54" t="s">
        <v>1751</v>
      </c>
      <c r="T106" s="54" t="s">
        <v>1749</v>
      </c>
      <c r="U106" s="54" t="s">
        <v>418</v>
      </c>
      <c r="V106" s="54" t="s">
        <v>419</v>
      </c>
      <c r="W106" s="54" t="b">
        <v>0</v>
      </c>
      <c r="X106" s="54"/>
      <c r="Y106" s="57" t="s">
        <v>1942</v>
      </c>
      <c r="Z106" s="54" t="s">
        <v>1752</v>
      </c>
      <c r="AA106" s="54"/>
      <c r="AB106" s="54" t="s">
        <v>421</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309"/>
        <v>Low</v>
      </c>
      <c r="BI106" s="110">
        <f t="shared" si="310"/>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311"/>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96"/>
        <v/>
      </c>
      <c r="CF106" s="27" t="e">
        <f>IF(AND(CI106,NOT(AD106)),LOOKUP(CF$5,{0,750,1500},H106:J106),"")</f>
        <v>#N/A</v>
      </c>
      <c r="CG106" s="6" t="str">
        <f t="shared" si="297"/>
        <v/>
      </c>
      <c r="CH106" t="e">
        <f t="shared" si="312"/>
        <v>#N/A</v>
      </c>
      <c r="CI106" t="e">
        <f t="shared" si="313"/>
        <v>#N/A</v>
      </c>
      <c r="CJ106" s="6" t="e">
        <f t="shared" si="11"/>
        <v>#N/A</v>
      </c>
      <c r="CK106" s="6">
        <f t="shared" si="12"/>
        <v>1</v>
      </c>
      <c r="CL106" s="6">
        <f t="shared" si="26"/>
        <v>1</v>
      </c>
      <c r="CM106" s="6">
        <f t="shared" si="13"/>
        <v>1</v>
      </c>
      <c r="CN106" s="6">
        <f t="shared" si="14"/>
        <v>0</v>
      </c>
      <c r="CO106" s="6">
        <f t="shared" si="15"/>
        <v>1</v>
      </c>
      <c r="CP106" s="6">
        <f t="shared" si="16"/>
        <v>1</v>
      </c>
      <c r="CQ106" s="6">
        <f t="shared" si="314"/>
        <v>1</v>
      </c>
      <c r="CR106" s="81" t="str">
        <f t="shared" si="17"/>
        <v/>
      </c>
      <c r="CS106">
        <f t="shared" si="315"/>
        <v>54</v>
      </c>
      <c r="CT106">
        <f t="shared" si="19"/>
        <v>150</v>
      </c>
      <c r="CU106" t="str">
        <f t="shared" si="29"/>
        <v/>
      </c>
      <c r="CV106" s="81">
        <f t="shared" si="316"/>
        <v>150</v>
      </c>
      <c r="CW106" s="81">
        <f>(CV106/25)^1.5*(Calculator!$BU$4/10000)*CW$5</f>
        <v>7.6432310260371077</v>
      </c>
      <c r="CX106" t="str">
        <f t="shared" si="317"/>
        <v>$150</v>
      </c>
    </row>
    <row r="107" spans="2:102" x14ac:dyDescent="0.25">
      <c r="B107" s="115" t="s">
        <v>233</v>
      </c>
      <c r="C107" s="13">
        <v>46316.611111111109</v>
      </c>
      <c r="D107">
        <v>18418</v>
      </c>
      <c r="E107" s="54" t="s">
        <v>237</v>
      </c>
      <c r="F107" s="54" t="s">
        <v>424</v>
      </c>
      <c r="G107" s="54" t="s">
        <v>1575</v>
      </c>
      <c r="H107" s="55">
        <v>19.8</v>
      </c>
      <c r="I107" s="55">
        <v>15.9</v>
      </c>
      <c r="J107" s="55">
        <v>16.7</v>
      </c>
      <c r="K107" s="54" t="s">
        <v>1576</v>
      </c>
      <c r="L107" s="56" t="b">
        <v>0</v>
      </c>
      <c r="M107" s="56" t="b">
        <v>0</v>
      </c>
      <c r="N107" s="54">
        <v>1</v>
      </c>
      <c r="O107" s="54" t="s">
        <v>228</v>
      </c>
      <c r="P107" s="54">
        <v>24</v>
      </c>
      <c r="Q107" s="54">
        <v>12</v>
      </c>
      <c r="R107" s="54">
        <v>150</v>
      </c>
      <c r="S107" s="54" t="s">
        <v>1577</v>
      </c>
      <c r="T107" s="54"/>
      <c r="U107" s="54" t="s">
        <v>2017</v>
      </c>
      <c r="V107" s="54" t="s">
        <v>1578</v>
      </c>
      <c r="W107" s="54" t="b">
        <v>0</v>
      </c>
      <c r="X107" s="54"/>
      <c r="Y107" s="57" t="s">
        <v>2129</v>
      </c>
      <c r="Z107" s="54" t="s">
        <v>1579</v>
      </c>
      <c r="AA107" s="54"/>
      <c r="AB107" s="54" t="s">
        <v>1580</v>
      </c>
      <c r="AC107" s="56" t="b">
        <v>0</v>
      </c>
      <c r="AD107" s="56" t="b">
        <v>1</v>
      </c>
      <c r="AE107" s="54" t="s">
        <v>302</v>
      </c>
      <c r="AF107" s="58">
        <v>46316</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0.1212</v>
      </c>
      <c r="BC107" s="60">
        <v>4.0599999999999996</v>
      </c>
      <c r="BD107" s="61">
        <v>6.8672999999999998E-2</v>
      </c>
      <c r="BE107" s="62" t="s">
        <v>293</v>
      </c>
      <c r="BF107" s="35">
        <f t="shared" si="0"/>
        <v>4.0600000000000005</v>
      </c>
      <c r="BG107" s="35">
        <f t="shared" si="0"/>
        <v>6.8672999999999998E-2</v>
      </c>
      <c r="BH107" s="35" t="str">
        <f t="shared" si="309"/>
        <v>High</v>
      </c>
      <c r="BI107" s="110">
        <f t="shared" si="310"/>
        <v>0</v>
      </c>
      <c r="BJ107" s="83">
        <f>VLOOKUP($F107,REP_Info!$D$6:$H$250,5,FALSE)</f>
        <v>0.7</v>
      </c>
      <c r="BK107" s="30">
        <f t="shared" si="1"/>
        <v>19.799299999999999</v>
      </c>
      <c r="BL107" s="30">
        <f t="shared" si="1"/>
        <v>15.8933</v>
      </c>
      <c r="BM107" s="30">
        <f t="shared" si="1"/>
        <v>16.690300000000004</v>
      </c>
      <c r="BN107" s="29">
        <f t="shared" si="1"/>
        <v>17.455966666666669</v>
      </c>
      <c r="BO107" s="85" t="str">
        <f t="shared" si="2"/>
        <v>$$$</v>
      </c>
      <c r="BP107" s="88" t="str">
        <f t="shared" si="311"/>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96"/>
        <v/>
      </c>
      <c r="CF107" s="27" t="e">
        <f>IF(AND(CI107,NOT(AD107)),LOOKUP(CF$5,{0,750,1500},H107:J107),"")</f>
        <v>#N/A</v>
      </c>
      <c r="CG107" s="6" t="str">
        <f t="shared" si="297"/>
        <v/>
      </c>
      <c r="CH107" t="e">
        <f t="shared" si="312"/>
        <v>#N/A</v>
      </c>
      <c r="CI107" t="e">
        <f t="shared" si="313"/>
        <v>#N/A</v>
      </c>
      <c r="CJ107" s="6" t="e">
        <f t="shared" si="11"/>
        <v>#N/A</v>
      </c>
      <c r="CK107" s="6">
        <f t="shared" si="12"/>
        <v>1</v>
      </c>
      <c r="CL107" s="6">
        <f t="shared" si="26"/>
        <v>1</v>
      </c>
      <c r="CM107" s="6">
        <f t="shared" si="13"/>
        <v>1</v>
      </c>
      <c r="CN107" s="6">
        <f t="shared" si="14"/>
        <v>1</v>
      </c>
      <c r="CO107" s="6">
        <f t="shared" si="15"/>
        <v>1</v>
      </c>
      <c r="CP107" s="6">
        <f t="shared" si="16"/>
        <v>1</v>
      </c>
      <c r="CQ107" s="6">
        <f t="shared" si="314"/>
        <v>1</v>
      </c>
      <c r="CR107" s="81" t="str">
        <f t="shared" si="17"/>
        <v/>
      </c>
      <c r="CS107">
        <f t="shared" si="315"/>
        <v>0</v>
      </c>
      <c r="CT107">
        <f t="shared" si="19"/>
        <v>150</v>
      </c>
      <c r="CU107" t="str">
        <f t="shared" si="29"/>
        <v/>
      </c>
      <c r="CV107" s="81">
        <f t="shared" si="316"/>
        <v>150</v>
      </c>
      <c r="CW107" s="81">
        <f>(CV107/25)^1.5*(Calculator!$BU$4/10000)*CW$5</f>
        <v>7.6432310260371077</v>
      </c>
      <c r="CX107" t="str">
        <f t="shared" si="317"/>
        <v>$150</v>
      </c>
    </row>
    <row r="108" spans="2:102" x14ac:dyDescent="0.25">
      <c r="B108" s="115" t="s">
        <v>233</v>
      </c>
      <c r="C108" s="13">
        <v>46316.611111111109</v>
      </c>
      <c r="D108">
        <v>18423</v>
      </c>
      <c r="E108" s="54" t="s">
        <v>235</v>
      </c>
      <c r="F108" s="54" t="s">
        <v>424</v>
      </c>
      <c r="G108" s="54" t="s">
        <v>1575</v>
      </c>
      <c r="H108" s="55">
        <v>19.3</v>
      </c>
      <c r="I108" s="55">
        <v>15.299999999999999</v>
      </c>
      <c r="J108" s="55">
        <v>16.100000000000001</v>
      </c>
      <c r="K108" s="54" t="s">
        <v>1576</v>
      </c>
      <c r="L108" s="56" t="b">
        <v>0</v>
      </c>
      <c r="M108" s="56" t="b">
        <v>0</v>
      </c>
      <c r="N108" s="54">
        <v>1</v>
      </c>
      <c r="O108" s="54" t="s">
        <v>228</v>
      </c>
      <c r="P108" s="54">
        <v>24</v>
      </c>
      <c r="Q108" s="54">
        <v>12</v>
      </c>
      <c r="R108" s="54">
        <v>150</v>
      </c>
      <c r="S108" s="54" t="s">
        <v>1577</v>
      </c>
      <c r="T108" s="54"/>
      <c r="U108" s="54" t="s">
        <v>2019</v>
      </c>
      <c r="V108" s="54" t="s">
        <v>1578</v>
      </c>
      <c r="W108" s="54" t="b">
        <v>0</v>
      </c>
      <c r="X108" s="54"/>
      <c r="Y108" s="57" t="s">
        <v>2130</v>
      </c>
      <c r="Z108" s="54" t="s">
        <v>1579</v>
      </c>
      <c r="AA108" s="54"/>
      <c r="AB108" s="54" t="s">
        <v>1580</v>
      </c>
      <c r="AC108" s="56" t="b">
        <v>0</v>
      </c>
      <c r="AD108" s="56" t="b">
        <v>1</v>
      </c>
      <c r="AE108" s="54" t="s">
        <v>302</v>
      </c>
      <c r="AF108" s="58">
        <v>46316</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0.1178</v>
      </c>
      <c r="BC108" s="60">
        <v>4.9000000000000004</v>
      </c>
      <c r="BD108" s="61">
        <v>6.5333000000000002E-2</v>
      </c>
      <c r="BE108" s="62" t="s">
        <v>293</v>
      </c>
      <c r="BF108" s="35">
        <f t="shared" si="0"/>
        <v>4.9000000000000004</v>
      </c>
      <c r="BG108" s="35">
        <f t="shared" si="0"/>
        <v>6.5333000000000002E-2</v>
      </c>
      <c r="BH108" s="35" t="str">
        <f t="shared" si="309"/>
        <v>High</v>
      </c>
      <c r="BI108" s="110">
        <f t="shared" si="310"/>
        <v>0</v>
      </c>
      <c r="BJ108" s="83">
        <f>VLOOKUP($F108,REP_Info!$D$6:$H$250,5,FALSE)</f>
        <v>0.7</v>
      </c>
      <c r="BK108" s="30">
        <f t="shared" si="1"/>
        <v>19.293299999999999</v>
      </c>
      <c r="BL108" s="30">
        <f t="shared" si="1"/>
        <v>15.303300000000002</v>
      </c>
      <c r="BM108" s="30">
        <f t="shared" si="1"/>
        <v>16.058299999999999</v>
      </c>
      <c r="BN108" s="29">
        <f t="shared" si="1"/>
        <v>16.809966666666664</v>
      </c>
      <c r="BO108" s="85" t="str">
        <f t="shared" si="2"/>
        <v>$$$</v>
      </c>
      <c r="BP108" s="88" t="str">
        <f t="shared" si="311"/>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96"/>
        <v/>
      </c>
      <c r="CF108" s="27" t="e">
        <f>IF(AND(CI108,NOT(AD108)),LOOKUP(CF$5,{0,750,1500},H108:J108),"")</f>
        <v>#N/A</v>
      </c>
      <c r="CG108" s="6" t="str">
        <f t="shared" si="297"/>
        <v/>
      </c>
      <c r="CH108" t="e">
        <f t="shared" si="312"/>
        <v>#N/A</v>
      </c>
      <c r="CI108" t="e">
        <f t="shared" si="313"/>
        <v>#N/A</v>
      </c>
      <c r="CJ108" s="6" t="e">
        <f t="shared" si="11"/>
        <v>#N/A</v>
      </c>
      <c r="CK108" s="6">
        <f t="shared" si="12"/>
        <v>1</v>
      </c>
      <c r="CL108" s="6">
        <f t="shared" si="26"/>
        <v>1</v>
      </c>
      <c r="CM108" s="6">
        <f t="shared" si="13"/>
        <v>1</v>
      </c>
      <c r="CN108" s="6">
        <f t="shared" si="14"/>
        <v>1</v>
      </c>
      <c r="CO108" s="6">
        <f t="shared" si="15"/>
        <v>1</v>
      </c>
      <c r="CP108" s="6">
        <f t="shared" si="16"/>
        <v>1</v>
      </c>
      <c r="CQ108" s="6">
        <f t="shared" si="314"/>
        <v>1</v>
      </c>
      <c r="CR108" s="81" t="str">
        <f t="shared" si="17"/>
        <v/>
      </c>
      <c r="CS108">
        <f t="shared" si="315"/>
        <v>0</v>
      </c>
      <c r="CT108">
        <f t="shared" si="19"/>
        <v>150</v>
      </c>
      <c r="CU108" t="str">
        <f t="shared" si="29"/>
        <v/>
      </c>
      <c r="CV108" s="81">
        <f t="shared" si="316"/>
        <v>150</v>
      </c>
      <c r="CW108" s="81">
        <f>(CV108/25)^1.5*(Calculator!$BU$4/10000)*CW$5</f>
        <v>7.6432310260371077</v>
      </c>
      <c r="CX108" t="str">
        <f t="shared" si="317"/>
        <v>$150</v>
      </c>
    </row>
    <row r="109" spans="2:102" x14ac:dyDescent="0.25">
      <c r="B109" s="115" t="s">
        <v>233</v>
      </c>
      <c r="C109" s="13">
        <v>46316.611111111109</v>
      </c>
      <c r="D109">
        <v>24734</v>
      </c>
      <c r="E109" s="54" t="s">
        <v>235</v>
      </c>
      <c r="F109" s="54" t="s">
        <v>424</v>
      </c>
      <c r="G109" s="54" t="s">
        <v>1581</v>
      </c>
      <c r="H109" s="55">
        <v>13.900000000000002</v>
      </c>
      <c r="I109" s="55">
        <v>13.4</v>
      </c>
      <c r="J109" s="55">
        <v>13.200000000000001</v>
      </c>
      <c r="K109" s="54"/>
      <c r="L109" s="56" t="b">
        <v>0</v>
      </c>
      <c r="M109" s="56" t="b">
        <v>0</v>
      </c>
      <c r="N109" s="54">
        <v>1</v>
      </c>
      <c r="O109" s="54" t="s">
        <v>228</v>
      </c>
      <c r="P109" s="54">
        <v>24</v>
      </c>
      <c r="Q109" s="54">
        <v>11</v>
      </c>
      <c r="R109" s="54">
        <v>50</v>
      </c>
      <c r="S109" s="54" t="s">
        <v>1577</v>
      </c>
      <c r="T109" s="54"/>
      <c r="U109" s="54" t="s">
        <v>2021</v>
      </c>
      <c r="V109" s="54" t="s">
        <v>1578</v>
      </c>
      <c r="W109" s="54" t="b">
        <v>0</v>
      </c>
      <c r="X109" s="54"/>
      <c r="Y109" s="57" t="s">
        <v>2131</v>
      </c>
      <c r="Z109" s="54" t="s">
        <v>1579</v>
      </c>
      <c r="AA109" s="54"/>
      <c r="AB109" s="54" t="s">
        <v>1580</v>
      </c>
      <c r="AC109" s="56" t="b">
        <v>1</v>
      </c>
      <c r="AD109" s="56" t="b">
        <v>0</v>
      </c>
      <c r="AE109" s="54" t="s">
        <v>302</v>
      </c>
      <c r="AF109" s="58">
        <v>46316</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6.3799999999999996E-2</v>
      </c>
      <c r="BC109" s="60">
        <v>4.9000000000000004</v>
      </c>
      <c r="BD109" s="61">
        <v>6.5333000000000002E-2</v>
      </c>
      <c r="BE109" s="62" t="s">
        <v>293</v>
      </c>
      <c r="BF109" s="35">
        <f t="shared" si="0"/>
        <v>4.9000000000000004</v>
      </c>
      <c r="BG109" s="35">
        <f t="shared" si="0"/>
        <v>6.5333000000000002E-2</v>
      </c>
      <c r="BH109" s="35" t="str">
        <f t="shared" si="309"/>
        <v>Low</v>
      </c>
      <c r="BI109" s="110">
        <f t="shared" si="310"/>
        <v>0</v>
      </c>
      <c r="BJ109" s="83">
        <f>VLOOKUP($F109,REP_Info!$D$6:$H$250,5,FALSE)</f>
        <v>0.7</v>
      </c>
      <c r="BK109" s="30">
        <f t="shared" si="1"/>
        <v>13.8933</v>
      </c>
      <c r="BL109" s="30">
        <f t="shared" si="1"/>
        <v>13.403300000000002</v>
      </c>
      <c r="BM109" s="30">
        <f t="shared" si="1"/>
        <v>13.158299999999999</v>
      </c>
      <c r="BN109" s="29">
        <f t="shared" si="1"/>
        <v>13.076633333333332</v>
      </c>
      <c r="BO109" s="85" t="str">
        <f t="shared" si="2"/>
        <v>$$$</v>
      </c>
      <c r="BP109" s="88" t="str">
        <f t="shared" si="311"/>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96"/>
        <v/>
      </c>
      <c r="CF109" s="27" t="e">
        <f>IF(AND(CI109,NOT(AD109)),LOOKUP(CF$5,{0,750,1500},H109:J109),"")</f>
        <v>#N/A</v>
      </c>
      <c r="CG109" s="6" t="str">
        <f t="shared" si="297"/>
        <v/>
      </c>
      <c r="CH109" t="e">
        <f t="shared" si="312"/>
        <v>#N/A</v>
      </c>
      <c r="CI109" t="e">
        <f t="shared" si="313"/>
        <v>#N/A</v>
      </c>
      <c r="CJ109" s="6" t="e">
        <f t="shared" si="11"/>
        <v>#N/A</v>
      </c>
      <c r="CK109" s="6">
        <f t="shared" si="12"/>
        <v>1</v>
      </c>
      <c r="CL109" s="6">
        <f t="shared" si="26"/>
        <v>1</v>
      </c>
      <c r="CM109" s="6">
        <f t="shared" si="13"/>
        <v>1</v>
      </c>
      <c r="CN109" s="6">
        <f t="shared" si="14"/>
        <v>0</v>
      </c>
      <c r="CO109" s="6">
        <f t="shared" si="15"/>
        <v>1</v>
      </c>
      <c r="CP109" s="6">
        <f t="shared" si="16"/>
        <v>1</v>
      </c>
      <c r="CQ109" s="6">
        <f t="shared" si="314"/>
        <v>1</v>
      </c>
      <c r="CR109" s="81" t="str">
        <f t="shared" si="17"/>
        <v/>
      </c>
      <c r="CS109">
        <f t="shared" si="315"/>
        <v>1.6363636363636349</v>
      </c>
      <c r="CT109">
        <f t="shared" si="19"/>
        <v>50</v>
      </c>
      <c r="CU109" t="str">
        <f t="shared" si="29"/>
        <v/>
      </c>
      <c r="CV109" s="81">
        <f t="shared" si="316"/>
        <v>50</v>
      </c>
      <c r="CW109" s="81">
        <f>(CV109/25)^1.5*(Calculator!$BU$4/10000)*CW$5</f>
        <v>1.4709404967870074</v>
      </c>
      <c r="CX109" t="str">
        <f t="shared" si="317"/>
        <v>$50</v>
      </c>
    </row>
    <row r="110" spans="2:102" x14ac:dyDescent="0.25">
      <c r="B110" s="115" t="s">
        <v>233</v>
      </c>
      <c r="C110" s="13">
        <v>46316.611111111109</v>
      </c>
      <c r="D110">
        <v>27086</v>
      </c>
      <c r="E110" s="54" t="s">
        <v>235</v>
      </c>
      <c r="F110" s="54" t="s">
        <v>424</v>
      </c>
      <c r="G110" s="54" t="s">
        <v>2132</v>
      </c>
      <c r="H110" s="55">
        <v>12.9</v>
      </c>
      <c r="I110" s="55">
        <v>12.4</v>
      </c>
      <c r="J110" s="55">
        <v>12.2</v>
      </c>
      <c r="K110" s="54"/>
      <c r="L110" s="56" t="b">
        <v>0</v>
      </c>
      <c r="M110" s="56" t="b">
        <v>0</v>
      </c>
      <c r="N110" s="54">
        <v>1</v>
      </c>
      <c r="O110" s="54" t="s">
        <v>228</v>
      </c>
      <c r="P110" s="54">
        <v>24</v>
      </c>
      <c r="Q110" s="54">
        <v>8</v>
      </c>
      <c r="R110" s="54">
        <v>50</v>
      </c>
      <c r="S110" s="54" t="s">
        <v>1577</v>
      </c>
      <c r="T110" s="54" t="s">
        <v>1957</v>
      </c>
      <c r="U110" s="54" t="s">
        <v>2104</v>
      </c>
      <c r="V110" s="54" t="s">
        <v>1578</v>
      </c>
      <c r="W110" s="54" t="b">
        <v>0</v>
      </c>
      <c r="X110" s="54"/>
      <c r="Y110" s="57" t="s">
        <v>2133</v>
      </c>
      <c r="Z110" s="54" t="s">
        <v>1579</v>
      </c>
      <c r="AA110" s="54"/>
      <c r="AB110" s="54" t="s">
        <v>1580</v>
      </c>
      <c r="AC110" s="56" t="b">
        <v>0</v>
      </c>
      <c r="AD110" s="56" t="b">
        <v>0</v>
      </c>
      <c r="AE110" s="54" t="s">
        <v>302</v>
      </c>
      <c r="AF110" s="58">
        <v>46316</v>
      </c>
      <c r="AG110" s="62" t="s">
        <v>293</v>
      </c>
      <c r="AH110" s="54">
        <v>0</v>
      </c>
      <c r="AI110" s="54"/>
      <c r="AJ110" s="54"/>
      <c r="AK110" s="54"/>
      <c r="AL110" s="54"/>
      <c r="AM110" s="54">
        <v>0</v>
      </c>
      <c r="AN110" s="54"/>
      <c r="AO110" s="54"/>
      <c r="AP110" s="54"/>
      <c r="AQ110" s="54"/>
      <c r="AR110" s="54"/>
      <c r="AS110" s="54"/>
      <c r="AT110" s="54"/>
      <c r="AU110" s="54"/>
      <c r="AV110" s="54"/>
      <c r="AW110" s="54"/>
      <c r="AX110" s="59"/>
      <c r="AY110" s="59"/>
      <c r="AZ110" s="59"/>
      <c r="BA110" s="59"/>
      <c r="BB110" s="59">
        <v>5.3800000000000001E-2</v>
      </c>
      <c r="BC110" s="60"/>
      <c r="BD110" s="61"/>
      <c r="BE110" s="62" t="s">
        <v>293</v>
      </c>
      <c r="BF110" s="35">
        <f t="shared" si="0"/>
        <v>4.9000000000000004</v>
      </c>
      <c r="BG110" s="35">
        <f t="shared" si="0"/>
        <v>6.5333000000000002E-2</v>
      </c>
      <c r="BH110" s="35" t="str">
        <f t="shared" si="309"/>
        <v>Low</v>
      </c>
      <c r="BI110" s="110">
        <f t="shared" si="310"/>
        <v>0</v>
      </c>
      <c r="BJ110" s="83">
        <f>VLOOKUP($F110,REP_Info!$D$6:$H$250,5,FALSE)</f>
        <v>0.7</v>
      </c>
      <c r="BK110" s="30">
        <f t="shared" si="1"/>
        <v>12.8933</v>
      </c>
      <c r="BL110" s="30">
        <f t="shared" si="1"/>
        <v>12.4033</v>
      </c>
      <c r="BM110" s="30">
        <f t="shared" si="1"/>
        <v>12.158299999999999</v>
      </c>
      <c r="BN110" s="29">
        <f t="shared" si="1"/>
        <v>12.076633333333332</v>
      </c>
      <c r="BO110" s="85" t="str">
        <f t="shared" si="2"/>
        <v>$$$</v>
      </c>
      <c r="BP110" s="88" t="str">
        <f t="shared" si="311"/>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96"/>
        <v/>
      </c>
      <c r="CF110" s="27" t="e">
        <f>IF(AND(CI110,NOT(AD110)),LOOKUP(CF$5,{0,750,1500},H110:J110),"")</f>
        <v>#N/A</v>
      </c>
      <c r="CG110" s="6" t="str">
        <f t="shared" si="297"/>
        <v/>
      </c>
      <c r="CH110" t="e">
        <f t="shared" si="312"/>
        <v>#N/A</v>
      </c>
      <c r="CI110" t="e">
        <f t="shared" si="313"/>
        <v>#N/A</v>
      </c>
      <c r="CJ110" s="6" t="e">
        <f t="shared" si="11"/>
        <v>#N/A</v>
      </c>
      <c r="CK110" s="6">
        <f t="shared" si="12"/>
        <v>1</v>
      </c>
      <c r="CL110" s="6">
        <f t="shared" si="26"/>
        <v>1</v>
      </c>
      <c r="CM110" s="6">
        <f t="shared" si="13"/>
        <v>1</v>
      </c>
      <c r="CN110" s="6">
        <f t="shared" si="14"/>
        <v>0</v>
      </c>
      <c r="CO110" s="6">
        <f t="shared" si="15"/>
        <v>1</v>
      </c>
      <c r="CP110" s="6">
        <f t="shared" si="16"/>
        <v>1</v>
      </c>
      <c r="CQ110" s="6">
        <f t="shared" si="314"/>
        <v>1</v>
      </c>
      <c r="CR110" s="81" t="str">
        <f t="shared" si="17"/>
        <v/>
      </c>
      <c r="CS110">
        <f t="shared" si="315"/>
        <v>9</v>
      </c>
      <c r="CT110">
        <f t="shared" si="19"/>
        <v>50</v>
      </c>
      <c r="CU110" t="str">
        <f t="shared" si="29"/>
        <v/>
      </c>
      <c r="CV110" s="81">
        <f t="shared" si="316"/>
        <v>50</v>
      </c>
      <c r="CW110" s="81">
        <f>(CV110/25)^1.5*(Calculator!$BU$4/10000)*CW$5</f>
        <v>1.4709404967870074</v>
      </c>
      <c r="CX110" t="str">
        <f t="shared" si="317"/>
        <v>$50</v>
      </c>
    </row>
    <row r="111" spans="2:102" x14ac:dyDescent="0.25">
      <c r="B111" s="115" t="s">
        <v>233</v>
      </c>
      <c r="C111" s="13">
        <v>46316.611111111109</v>
      </c>
      <c r="D111">
        <v>27087</v>
      </c>
      <c r="E111" s="54" t="s">
        <v>237</v>
      </c>
      <c r="F111" s="54" t="s">
        <v>424</v>
      </c>
      <c r="G111" s="54" t="s">
        <v>2132</v>
      </c>
      <c r="H111" s="55">
        <v>13.600000000000001</v>
      </c>
      <c r="I111" s="55">
        <v>13.200000000000001</v>
      </c>
      <c r="J111" s="55">
        <v>13</v>
      </c>
      <c r="K111" s="54"/>
      <c r="L111" s="56" t="b">
        <v>0</v>
      </c>
      <c r="M111" s="56" t="b">
        <v>0</v>
      </c>
      <c r="N111" s="54">
        <v>1</v>
      </c>
      <c r="O111" s="54" t="s">
        <v>228</v>
      </c>
      <c r="P111" s="54">
        <v>24</v>
      </c>
      <c r="Q111" s="54">
        <v>8</v>
      </c>
      <c r="R111" s="54">
        <v>50</v>
      </c>
      <c r="S111" s="54" t="s">
        <v>1577</v>
      </c>
      <c r="T111" s="54" t="s">
        <v>1957</v>
      </c>
      <c r="U111" s="54" t="s">
        <v>2106</v>
      </c>
      <c r="V111" s="54" t="s">
        <v>1578</v>
      </c>
      <c r="W111" s="54" t="b">
        <v>0</v>
      </c>
      <c r="X111" s="54"/>
      <c r="Y111" s="57" t="s">
        <v>2134</v>
      </c>
      <c r="Z111" s="54" t="s">
        <v>1579</v>
      </c>
      <c r="AA111" s="54"/>
      <c r="AB111" s="54" t="s">
        <v>1580</v>
      </c>
      <c r="AC111" s="56" t="b">
        <v>0</v>
      </c>
      <c r="AD111" s="56" t="b">
        <v>0</v>
      </c>
      <c r="AE111" s="54" t="s">
        <v>302</v>
      </c>
      <c r="AF111" s="58">
        <v>46316</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5.9200000000000003E-2</v>
      </c>
      <c r="BC111" s="60"/>
      <c r="BD111" s="61"/>
      <c r="BE111" s="62" t="s">
        <v>293</v>
      </c>
      <c r="BF111" s="35">
        <f t="shared" si="0"/>
        <v>4.0600000000000005</v>
      </c>
      <c r="BG111" s="35">
        <f t="shared" si="0"/>
        <v>6.8672999999999998E-2</v>
      </c>
      <c r="BH111" s="35" t="str">
        <f t="shared" si="309"/>
        <v>Low</v>
      </c>
      <c r="BI111" s="110">
        <f t="shared" si="310"/>
        <v>0</v>
      </c>
      <c r="BJ111" s="83">
        <f>VLOOKUP($F111,REP_Info!$D$6:$H$250,5,FALSE)</f>
        <v>0.7</v>
      </c>
      <c r="BK111" s="30">
        <f t="shared" si="1"/>
        <v>13.599299999999999</v>
      </c>
      <c r="BL111" s="30">
        <f t="shared" si="1"/>
        <v>13.193299999999999</v>
      </c>
      <c r="BM111" s="30">
        <f t="shared" si="1"/>
        <v>12.990300000000003</v>
      </c>
      <c r="BN111" s="29">
        <f t="shared" si="1"/>
        <v>12.922633333333332</v>
      </c>
      <c r="BO111" s="85" t="str">
        <f t="shared" si="2"/>
        <v>$$$</v>
      </c>
      <c r="BP111" s="88" t="str">
        <f t="shared" si="311"/>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96"/>
        <v/>
      </c>
      <c r="CF111" s="27" t="e">
        <f>IF(AND(CI111,NOT(AD111)),LOOKUP(CF$5,{0,750,1500},H111:J111),"")</f>
        <v>#N/A</v>
      </c>
      <c r="CG111" s="6" t="str">
        <f t="shared" si="297"/>
        <v/>
      </c>
      <c r="CH111" t="e">
        <f t="shared" si="312"/>
        <v>#N/A</v>
      </c>
      <c r="CI111" t="e">
        <f t="shared" si="313"/>
        <v>#N/A</v>
      </c>
      <c r="CJ111" s="6" t="e">
        <f t="shared" si="11"/>
        <v>#N/A</v>
      </c>
      <c r="CK111" s="6">
        <f t="shared" si="12"/>
        <v>1</v>
      </c>
      <c r="CL111" s="6">
        <f t="shared" si="26"/>
        <v>1</v>
      </c>
      <c r="CM111" s="6">
        <f t="shared" si="13"/>
        <v>1</v>
      </c>
      <c r="CN111" s="6">
        <f t="shared" si="14"/>
        <v>0</v>
      </c>
      <c r="CO111" s="6">
        <f t="shared" si="15"/>
        <v>1</v>
      </c>
      <c r="CP111" s="6">
        <f t="shared" si="16"/>
        <v>1</v>
      </c>
      <c r="CQ111" s="6">
        <f t="shared" si="314"/>
        <v>1</v>
      </c>
      <c r="CR111" s="81" t="str">
        <f t="shared" si="17"/>
        <v/>
      </c>
      <c r="CS111">
        <f t="shared" si="315"/>
        <v>9</v>
      </c>
      <c r="CT111">
        <f t="shared" si="19"/>
        <v>50</v>
      </c>
      <c r="CU111" t="str">
        <f t="shared" si="29"/>
        <v/>
      </c>
      <c r="CV111" s="81">
        <f t="shared" si="316"/>
        <v>50</v>
      </c>
      <c r="CW111" s="81">
        <f>(CV111/25)^1.5*(Calculator!$BU$4/10000)*CW$5</f>
        <v>1.4709404967870074</v>
      </c>
      <c r="CX111" t="str">
        <f t="shared" si="317"/>
        <v>$50</v>
      </c>
    </row>
    <row r="112" spans="2:102" x14ac:dyDescent="0.25">
      <c r="B112" s="115" t="s">
        <v>233</v>
      </c>
      <c r="C112" s="13">
        <v>46316.611111111109</v>
      </c>
      <c r="D112">
        <v>35104</v>
      </c>
      <c r="E112" s="54" t="s">
        <v>235</v>
      </c>
      <c r="F112" s="54" t="s">
        <v>424</v>
      </c>
      <c r="G112" s="54" t="s">
        <v>1582</v>
      </c>
      <c r="H112" s="55">
        <v>15.8</v>
      </c>
      <c r="I112" s="55">
        <v>11.799999999999999</v>
      </c>
      <c r="J112" s="55">
        <v>12.6</v>
      </c>
      <c r="K112" s="54" t="s">
        <v>1576</v>
      </c>
      <c r="L112" s="56" t="b">
        <v>0</v>
      </c>
      <c r="M112" s="56" t="b">
        <v>0</v>
      </c>
      <c r="N112" s="54">
        <v>1</v>
      </c>
      <c r="O112" s="54" t="s">
        <v>228</v>
      </c>
      <c r="P112" s="54">
        <v>24</v>
      </c>
      <c r="Q112" s="54">
        <v>14</v>
      </c>
      <c r="R112" s="54">
        <v>150</v>
      </c>
      <c r="S112" s="54" t="s">
        <v>1577</v>
      </c>
      <c r="T112" s="54"/>
      <c r="U112" s="54" t="s">
        <v>2027</v>
      </c>
      <c r="V112" s="54" t="s">
        <v>1578</v>
      </c>
      <c r="W112" s="54" t="b">
        <v>0</v>
      </c>
      <c r="X112" s="54"/>
      <c r="Y112" s="57" t="s">
        <v>2135</v>
      </c>
      <c r="Z112" s="54" t="s">
        <v>1579</v>
      </c>
      <c r="AA112" s="54"/>
      <c r="AB112" s="54" t="s">
        <v>1580</v>
      </c>
      <c r="AC112" s="56" t="b">
        <v>0</v>
      </c>
      <c r="AD112" s="56" t="b">
        <v>1</v>
      </c>
      <c r="AE112" s="54" t="s">
        <v>302</v>
      </c>
      <c r="AF112" s="58">
        <v>46316</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309"/>
        <v>High</v>
      </c>
      <c r="BI112" s="110">
        <f t="shared" si="310"/>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311"/>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96"/>
        <v/>
      </c>
      <c r="CF112" s="27" t="e">
        <f>IF(AND(CI112,NOT(AD112)),LOOKUP(CF$5,{0,750,1500},H112:J112),"")</f>
        <v>#N/A</v>
      </c>
      <c r="CG112" s="6" t="str">
        <f t="shared" si="297"/>
        <v/>
      </c>
      <c r="CH112" t="e">
        <f t="shared" si="312"/>
        <v>#N/A</v>
      </c>
      <c r="CI112" t="e">
        <f t="shared" si="313"/>
        <v>#N/A</v>
      </c>
      <c r="CJ112" s="6" t="e">
        <f t="shared" si="11"/>
        <v>#N/A</v>
      </c>
      <c r="CK112" s="6">
        <f t="shared" si="12"/>
        <v>1</v>
      </c>
      <c r="CL112" s="6">
        <f t="shared" si="26"/>
        <v>1</v>
      </c>
      <c r="CM112" s="6">
        <f t="shared" si="13"/>
        <v>1</v>
      </c>
      <c r="CN112" s="6">
        <f t="shared" si="14"/>
        <v>1</v>
      </c>
      <c r="CO112" s="6">
        <f t="shared" si="15"/>
        <v>0</v>
      </c>
      <c r="CP112" s="6">
        <f t="shared" si="16"/>
        <v>1</v>
      </c>
      <c r="CQ112" s="6">
        <f t="shared" si="314"/>
        <v>1</v>
      </c>
      <c r="CR112" s="81" t="str">
        <f t="shared" si="17"/>
        <v/>
      </c>
      <c r="CS112">
        <f t="shared" si="315"/>
        <v>0</v>
      </c>
      <c r="CT112">
        <f t="shared" si="19"/>
        <v>150</v>
      </c>
      <c r="CU112" t="str">
        <f t="shared" si="29"/>
        <v/>
      </c>
      <c r="CV112" s="81">
        <f t="shared" si="316"/>
        <v>150</v>
      </c>
      <c r="CW112" s="81">
        <f>(CV112/25)^1.5*(Calculator!$BU$4/10000)*CW$5</f>
        <v>7.6432310260371077</v>
      </c>
      <c r="CX112" t="str">
        <f t="shared" si="317"/>
        <v>$150</v>
      </c>
    </row>
    <row r="113" spans="2:102" x14ac:dyDescent="0.25">
      <c r="B113" s="115" t="s">
        <v>233</v>
      </c>
      <c r="C113" s="13">
        <v>46316.611111111109</v>
      </c>
      <c r="D113">
        <v>36171</v>
      </c>
      <c r="E113" s="54" t="s">
        <v>235</v>
      </c>
      <c r="F113" s="54" t="s">
        <v>424</v>
      </c>
      <c r="G113" s="54" t="s">
        <v>1583</v>
      </c>
      <c r="H113" s="55">
        <v>17.399999999999999</v>
      </c>
      <c r="I113" s="55">
        <v>13.4</v>
      </c>
      <c r="J113" s="55">
        <v>14.2</v>
      </c>
      <c r="K113" s="54" t="s">
        <v>1576</v>
      </c>
      <c r="L113" s="56" t="b">
        <v>0</v>
      </c>
      <c r="M113" s="56" t="b">
        <v>0</v>
      </c>
      <c r="N113" s="54">
        <v>1</v>
      </c>
      <c r="O113" s="54" t="s">
        <v>228</v>
      </c>
      <c r="P113" s="54">
        <v>24</v>
      </c>
      <c r="Q113" s="54">
        <v>36</v>
      </c>
      <c r="R113" s="54">
        <v>150</v>
      </c>
      <c r="S113" s="54" t="s">
        <v>1577</v>
      </c>
      <c r="T113" s="54"/>
      <c r="U113" s="54" t="s">
        <v>2023</v>
      </c>
      <c r="V113" s="54" t="s">
        <v>1578</v>
      </c>
      <c r="W113" s="54" t="b">
        <v>0</v>
      </c>
      <c r="X113" s="54"/>
      <c r="Y113" s="57" t="s">
        <v>2136</v>
      </c>
      <c r="Z113" s="54" t="s">
        <v>1579</v>
      </c>
      <c r="AA113" s="54"/>
      <c r="AB113" s="54" t="s">
        <v>1580</v>
      </c>
      <c r="AC113" s="56" t="b">
        <v>0</v>
      </c>
      <c r="AD113" s="56" t="b">
        <v>1</v>
      </c>
      <c r="AE113" s="54" t="s">
        <v>302</v>
      </c>
      <c r="AF113" s="58">
        <v>46316</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9.8799999999999999E-2</v>
      </c>
      <c r="BC113" s="60">
        <v>4.9000000000000004</v>
      </c>
      <c r="BD113" s="61">
        <v>6.5333000000000002E-2</v>
      </c>
      <c r="BE113" s="62" t="s">
        <v>293</v>
      </c>
      <c r="BF113" s="35">
        <f t="shared" si="0"/>
        <v>4.9000000000000004</v>
      </c>
      <c r="BG113" s="35">
        <f t="shared" si="0"/>
        <v>6.5333000000000002E-2</v>
      </c>
      <c r="BH113" s="35" t="str">
        <f t="shared" si="309"/>
        <v>High</v>
      </c>
      <c r="BI113" s="110">
        <f t="shared" si="310"/>
        <v>0</v>
      </c>
      <c r="BJ113" s="83">
        <f>VLOOKUP($F113,REP_Info!$D$6:$H$250,5,FALSE)</f>
        <v>0.7</v>
      </c>
      <c r="BK113" s="30">
        <f t="shared" si="1"/>
        <v>17.3933</v>
      </c>
      <c r="BL113" s="30">
        <f t="shared" si="1"/>
        <v>13.403300000000002</v>
      </c>
      <c r="BM113" s="30">
        <f t="shared" si="1"/>
        <v>14.158299999999999</v>
      </c>
      <c r="BN113" s="29">
        <f t="shared" si="1"/>
        <v>14.909966666666664</v>
      </c>
      <c r="BO113" s="85" t="str">
        <f t="shared" si="2"/>
        <v>$$$</v>
      </c>
      <c r="BP113" s="88" t="str">
        <f t="shared" si="311"/>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96"/>
        <v/>
      </c>
      <c r="CF113" s="27" t="e">
        <f>IF(AND(CI113,NOT(AD113)),LOOKUP(CF$5,{0,750,1500},H113:J113),"")</f>
        <v>#N/A</v>
      </c>
      <c r="CG113" s="6" t="str">
        <f t="shared" si="297"/>
        <v/>
      </c>
      <c r="CH113" t="e">
        <f t="shared" si="312"/>
        <v>#N/A</v>
      </c>
      <c r="CI113" t="e">
        <f t="shared" si="313"/>
        <v>#N/A</v>
      </c>
      <c r="CJ113" s="6" t="e">
        <f t="shared" si="11"/>
        <v>#N/A</v>
      </c>
      <c r="CK113" s="6">
        <f t="shared" si="12"/>
        <v>1</v>
      </c>
      <c r="CL113" s="6">
        <f t="shared" si="26"/>
        <v>1</v>
      </c>
      <c r="CM113" s="6">
        <f t="shared" si="13"/>
        <v>1</v>
      </c>
      <c r="CN113" s="6">
        <f t="shared" si="14"/>
        <v>1</v>
      </c>
      <c r="CO113" s="6">
        <f t="shared" si="15"/>
        <v>0</v>
      </c>
      <c r="CP113" s="6">
        <f t="shared" si="16"/>
        <v>1</v>
      </c>
      <c r="CQ113" s="6">
        <f t="shared" si="314"/>
        <v>1</v>
      </c>
      <c r="CR113" s="81" t="str">
        <f t="shared" si="17"/>
        <v/>
      </c>
      <c r="CS113">
        <f t="shared" si="315"/>
        <v>0</v>
      </c>
      <c r="CT113">
        <f t="shared" si="19"/>
        <v>150</v>
      </c>
      <c r="CU113" t="str">
        <f t="shared" si="29"/>
        <v/>
      </c>
      <c r="CV113" s="81">
        <f t="shared" si="316"/>
        <v>150</v>
      </c>
      <c r="CW113" s="81">
        <f>(CV113/25)^1.5*(Calculator!$BU$4/10000)*CW$5</f>
        <v>7.6432310260371077</v>
      </c>
      <c r="CX113" t="str">
        <f t="shared" si="317"/>
        <v>$150</v>
      </c>
    </row>
    <row r="114" spans="2:102" x14ac:dyDescent="0.25">
      <c r="B114" s="115" t="s">
        <v>233</v>
      </c>
      <c r="C114" s="13">
        <v>46316.611111111109</v>
      </c>
      <c r="D114">
        <v>36172</v>
      </c>
      <c r="E114" s="54" t="s">
        <v>237</v>
      </c>
      <c r="F114" s="54" t="s">
        <v>424</v>
      </c>
      <c r="G114" s="54" t="s">
        <v>1583</v>
      </c>
      <c r="H114" s="55">
        <v>17.899999999999999</v>
      </c>
      <c r="I114" s="55">
        <v>14.000000000000002</v>
      </c>
      <c r="J114" s="55">
        <v>14.799999999999999</v>
      </c>
      <c r="K114" s="54" t="s">
        <v>1576</v>
      </c>
      <c r="L114" s="56" t="b">
        <v>0</v>
      </c>
      <c r="M114" s="56" t="b">
        <v>0</v>
      </c>
      <c r="N114" s="54">
        <v>1</v>
      </c>
      <c r="O114" s="54" t="s">
        <v>228</v>
      </c>
      <c r="P114" s="54">
        <v>24</v>
      </c>
      <c r="Q114" s="54">
        <v>36</v>
      </c>
      <c r="R114" s="54">
        <v>150</v>
      </c>
      <c r="S114" s="54" t="s">
        <v>1577</v>
      </c>
      <c r="T114" s="54"/>
      <c r="U114" s="54" t="s">
        <v>2025</v>
      </c>
      <c r="V114" s="54" t="s">
        <v>1578</v>
      </c>
      <c r="W114" s="54" t="b">
        <v>0</v>
      </c>
      <c r="X114" s="54"/>
      <c r="Y114" s="57" t="s">
        <v>2137</v>
      </c>
      <c r="Z114" s="54" t="s">
        <v>1579</v>
      </c>
      <c r="AA114" s="54"/>
      <c r="AB114" s="54" t="s">
        <v>1580</v>
      </c>
      <c r="AC114" s="56" t="b">
        <v>0</v>
      </c>
      <c r="AD114" s="56" t="b">
        <v>1</v>
      </c>
      <c r="AE114" s="54" t="s">
        <v>302</v>
      </c>
      <c r="AF114" s="58">
        <v>46316</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0.1022</v>
      </c>
      <c r="BC114" s="60">
        <v>4.0599999999999996</v>
      </c>
      <c r="BD114" s="61">
        <v>6.8672999999999998E-2</v>
      </c>
      <c r="BE114" s="62" t="s">
        <v>293</v>
      </c>
      <c r="BF114" s="35">
        <f t="shared" si="0"/>
        <v>4.0600000000000005</v>
      </c>
      <c r="BG114" s="35">
        <f t="shared" si="0"/>
        <v>6.8672999999999998E-2</v>
      </c>
      <c r="BH114" s="35" t="str">
        <f t="shared" si="309"/>
        <v>High</v>
      </c>
      <c r="BI114" s="110">
        <f t="shared" si="310"/>
        <v>0</v>
      </c>
      <c r="BJ114" s="83">
        <f>VLOOKUP($F114,REP_Info!$D$6:$H$250,5,FALSE)</f>
        <v>0.7</v>
      </c>
      <c r="BK114" s="30">
        <f t="shared" si="1"/>
        <v>17.8993</v>
      </c>
      <c r="BL114" s="30">
        <f t="shared" si="1"/>
        <v>13.9933</v>
      </c>
      <c r="BM114" s="30">
        <f t="shared" si="1"/>
        <v>14.790300000000004</v>
      </c>
      <c r="BN114" s="29">
        <f t="shared" si="1"/>
        <v>15.555966666666666</v>
      </c>
      <c r="BO114" s="85" t="str">
        <f t="shared" si="2"/>
        <v>$$$</v>
      </c>
      <c r="BP114" s="88" t="str">
        <f t="shared" si="311"/>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96"/>
        <v/>
      </c>
      <c r="CF114" s="27" t="e">
        <f>IF(AND(CI114,NOT(AD114)),LOOKUP(CF$5,{0,750,1500},H114:J114),"")</f>
        <v>#N/A</v>
      </c>
      <c r="CG114" s="6" t="str">
        <f t="shared" si="297"/>
        <v/>
      </c>
      <c r="CH114" t="e">
        <f t="shared" si="312"/>
        <v>#N/A</v>
      </c>
      <c r="CI114" t="e">
        <f t="shared" si="313"/>
        <v>#N/A</v>
      </c>
      <c r="CJ114" s="6" t="e">
        <f t="shared" si="11"/>
        <v>#N/A</v>
      </c>
      <c r="CK114" s="6">
        <f t="shared" si="12"/>
        <v>1</v>
      </c>
      <c r="CL114" s="6">
        <f t="shared" si="26"/>
        <v>1</v>
      </c>
      <c r="CM114" s="6">
        <f t="shared" si="13"/>
        <v>1</v>
      </c>
      <c r="CN114" s="6">
        <f t="shared" si="14"/>
        <v>1</v>
      </c>
      <c r="CO114" s="6">
        <f t="shared" si="15"/>
        <v>0</v>
      </c>
      <c r="CP114" s="6">
        <f t="shared" si="16"/>
        <v>1</v>
      </c>
      <c r="CQ114" s="6">
        <f t="shared" si="314"/>
        <v>1</v>
      </c>
      <c r="CR114" s="81" t="str">
        <f t="shared" si="17"/>
        <v/>
      </c>
      <c r="CS114">
        <f t="shared" si="315"/>
        <v>0</v>
      </c>
      <c r="CT114">
        <f t="shared" si="19"/>
        <v>150</v>
      </c>
      <c r="CU114" t="str">
        <f t="shared" si="29"/>
        <v/>
      </c>
      <c r="CV114" s="81">
        <f t="shared" si="316"/>
        <v>150</v>
      </c>
      <c r="CW114" s="81">
        <f>(CV114/25)^1.5*(Calculator!$BU$4/10000)*CW$5</f>
        <v>7.6432310260371077</v>
      </c>
      <c r="CX114" t="str">
        <f t="shared" si="317"/>
        <v>$150</v>
      </c>
    </row>
    <row r="115" spans="2:102" x14ac:dyDescent="0.25">
      <c r="B115" s="115" t="s">
        <v>233</v>
      </c>
      <c r="C115" s="13">
        <v>46316.611111111109</v>
      </c>
      <c r="D115">
        <v>26872</v>
      </c>
      <c r="E115" s="54" t="s">
        <v>235</v>
      </c>
      <c r="F115" s="54" t="s">
        <v>425</v>
      </c>
      <c r="G115" s="54" t="s">
        <v>426</v>
      </c>
      <c r="H115" s="55">
        <v>16</v>
      </c>
      <c r="I115" s="55">
        <v>15</v>
      </c>
      <c r="J115" s="55">
        <v>14.499999999999998</v>
      </c>
      <c r="K115" s="54"/>
      <c r="L115" s="56" t="b">
        <v>0</v>
      </c>
      <c r="M115" s="56" t="b">
        <v>0</v>
      </c>
      <c r="N115" s="54">
        <v>1</v>
      </c>
      <c r="O115" s="54" t="s">
        <v>228</v>
      </c>
      <c r="P115" s="54">
        <v>22</v>
      </c>
      <c r="Q115" s="54">
        <v>24</v>
      </c>
      <c r="R115" s="54">
        <v>295</v>
      </c>
      <c r="S115" s="54" t="s">
        <v>430</v>
      </c>
      <c r="T115" s="54" t="s">
        <v>427</v>
      </c>
      <c r="U115" s="54" t="s">
        <v>1673</v>
      </c>
      <c r="V115" s="54" t="s">
        <v>2138</v>
      </c>
      <c r="W115" s="54" t="b">
        <v>0</v>
      </c>
      <c r="X115" s="54"/>
      <c r="Y115" s="57" t="s">
        <v>2139</v>
      </c>
      <c r="Z115" s="54" t="s">
        <v>1652</v>
      </c>
      <c r="AA115" s="54"/>
      <c r="AB115" s="54" t="s">
        <v>428</v>
      </c>
      <c r="AC115" s="56" t="b">
        <v>1</v>
      </c>
      <c r="AD115" s="56" t="b">
        <v>0</v>
      </c>
      <c r="AE115" s="54" t="s">
        <v>302</v>
      </c>
      <c r="AF115" s="58">
        <v>46299</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7.5241000000000002E-2</v>
      </c>
      <c r="BC115" s="60">
        <v>4.9000000000000004</v>
      </c>
      <c r="BD115" s="61">
        <v>6.5333000000000002E-2</v>
      </c>
      <c r="BE115" s="62" t="s">
        <v>293</v>
      </c>
      <c r="BF115" s="35">
        <f t="shared" si="0"/>
        <v>4.9000000000000004</v>
      </c>
      <c r="BG115" s="35">
        <f t="shared" si="0"/>
        <v>6.5333000000000002E-2</v>
      </c>
      <c r="BH115" s="35" t="str">
        <f t="shared" si="309"/>
        <v>Med</v>
      </c>
      <c r="BI115" s="110">
        <f t="shared" si="310"/>
        <v>0</v>
      </c>
      <c r="BJ115" s="83">
        <f>VLOOKUP($F115,REP_Info!$D$6:$H$250,5,FALSE)</f>
        <v>1.0129999999999999</v>
      </c>
      <c r="BK115" s="30">
        <f t="shared" si="1"/>
        <v>16.0274</v>
      </c>
      <c r="BL115" s="30">
        <f t="shared" si="1"/>
        <v>15.042400000000001</v>
      </c>
      <c r="BM115" s="30">
        <f t="shared" si="1"/>
        <v>14.549899999999999</v>
      </c>
      <c r="BN115" s="29">
        <f t="shared" si="1"/>
        <v>14.385733333333333</v>
      </c>
      <c r="BO115" s="85" t="str">
        <f t="shared" si="2"/>
        <v>$$$</v>
      </c>
      <c r="BP115" s="88" t="str">
        <f t="shared" si="311"/>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296"/>
        <v/>
      </c>
      <c r="CF115" s="27" t="e">
        <f>IF(AND(CI115,NOT(AD115)),LOOKUP(CF$5,{0,750,1500},H115:J115),"")</f>
        <v>#N/A</v>
      </c>
      <c r="CG115" s="6" t="str">
        <f t="shared" si="297"/>
        <v/>
      </c>
      <c r="CH115" t="e">
        <f t="shared" si="312"/>
        <v>#N/A</v>
      </c>
      <c r="CI115" t="e">
        <f t="shared" si="313"/>
        <v>#N/A</v>
      </c>
      <c r="CJ115" s="6" t="e">
        <f t="shared" si="11"/>
        <v>#N/A</v>
      </c>
      <c r="CK115" s="6">
        <f t="shared" si="12"/>
        <v>1</v>
      </c>
      <c r="CL115" s="6">
        <f t="shared" si="26"/>
        <v>1</v>
      </c>
      <c r="CM115" s="6">
        <f t="shared" si="13"/>
        <v>1</v>
      </c>
      <c r="CN115" s="6">
        <f t="shared" si="14"/>
        <v>1</v>
      </c>
      <c r="CO115" s="6">
        <f t="shared" si="15"/>
        <v>0</v>
      </c>
      <c r="CP115" s="6">
        <f t="shared" si="16"/>
        <v>1</v>
      </c>
      <c r="CQ115" s="6">
        <f t="shared" si="314"/>
        <v>1</v>
      </c>
      <c r="CR115" s="81" t="str">
        <f t="shared" si="17"/>
        <v/>
      </c>
      <c r="CS115">
        <f t="shared" si="315"/>
        <v>0</v>
      </c>
      <c r="CT115">
        <f t="shared" si="19"/>
        <v>295</v>
      </c>
      <c r="CU115" t="str">
        <f t="shared" si="29"/>
        <v/>
      </c>
      <c r="CV115" s="81">
        <f t="shared" si="316"/>
        <v>295</v>
      </c>
      <c r="CW115" s="81">
        <f>(CV115/25)^1.5*(Calculator!$BU$4/10000)*CW$5</f>
        <v>21.080122109139459</v>
      </c>
      <c r="CX115" t="str">
        <f t="shared" si="317"/>
        <v>$295</v>
      </c>
    </row>
    <row r="116" spans="2:102" x14ac:dyDescent="0.25">
      <c r="B116" s="115" t="s">
        <v>233</v>
      </c>
      <c r="C116" s="13">
        <v>46316.611111111109</v>
      </c>
      <c r="D116">
        <v>26874</v>
      </c>
      <c r="E116" s="54" t="s">
        <v>237</v>
      </c>
      <c r="F116" s="54" t="s">
        <v>425</v>
      </c>
      <c r="G116" s="54" t="s">
        <v>426</v>
      </c>
      <c r="H116" s="55">
        <v>16.2</v>
      </c>
      <c r="I116" s="55">
        <v>15.299999999999999</v>
      </c>
      <c r="J116" s="55">
        <v>14.799999999999999</v>
      </c>
      <c r="K116" s="54"/>
      <c r="L116" s="56" t="b">
        <v>0</v>
      </c>
      <c r="M116" s="56" t="b">
        <v>0</v>
      </c>
      <c r="N116" s="54">
        <v>1</v>
      </c>
      <c r="O116" s="54" t="s">
        <v>228</v>
      </c>
      <c r="P116" s="54">
        <v>22</v>
      </c>
      <c r="Q116" s="54">
        <v>24</v>
      </c>
      <c r="R116" s="54">
        <v>295</v>
      </c>
      <c r="S116" s="54" t="s">
        <v>430</v>
      </c>
      <c r="T116" s="54" t="s">
        <v>427</v>
      </c>
      <c r="U116" s="54" t="s">
        <v>1673</v>
      </c>
      <c r="V116" s="54" t="s">
        <v>2138</v>
      </c>
      <c r="W116" s="54" t="b">
        <v>0</v>
      </c>
      <c r="X116" s="54"/>
      <c r="Y116" s="57" t="s">
        <v>2140</v>
      </c>
      <c r="Z116" s="54" t="s">
        <v>1593</v>
      </c>
      <c r="AA116" s="54"/>
      <c r="AB116" s="54" t="s">
        <v>428</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7.5320999999999999E-2</v>
      </c>
      <c r="BC116" s="60">
        <v>4.0599999999999996</v>
      </c>
      <c r="BD116" s="61">
        <v>6.8672999999999998E-2</v>
      </c>
      <c r="BE116" s="62" t="s">
        <v>293</v>
      </c>
      <c r="BF116" s="35">
        <f t="shared" si="0"/>
        <v>4.0600000000000005</v>
      </c>
      <c r="BG116" s="35">
        <f t="shared" si="0"/>
        <v>6.8672999999999998E-2</v>
      </c>
      <c r="BH116" s="35" t="str">
        <f t="shared" si="309"/>
        <v>Med</v>
      </c>
      <c r="BI116" s="110">
        <f t="shared" si="310"/>
        <v>0</v>
      </c>
      <c r="BJ116" s="83">
        <f>VLOOKUP($F116,REP_Info!$D$6:$H$250,5,FALSE)</f>
        <v>1.0129999999999999</v>
      </c>
      <c r="BK116" s="30">
        <f t="shared" si="1"/>
        <v>16.201400000000003</v>
      </c>
      <c r="BL116" s="30">
        <f t="shared" si="1"/>
        <v>15.300400000000002</v>
      </c>
      <c r="BM116" s="30">
        <f t="shared" si="1"/>
        <v>14.8499</v>
      </c>
      <c r="BN116" s="29">
        <f t="shared" si="1"/>
        <v>14.699733333333333</v>
      </c>
      <c r="BO116" s="85" t="str">
        <f t="shared" si="2"/>
        <v>$$$</v>
      </c>
      <c r="BP116" s="88" t="str">
        <f t="shared" si="311"/>
        <v>$$$</v>
      </c>
      <c r="BQ116" s="88" t="str">
        <f t="shared" si="4"/>
        <v>$$$</v>
      </c>
      <c r="BR116" s="88" t="str">
        <f t="shared" si="5"/>
        <v>$$$</v>
      </c>
      <c r="BS116" s="29" t="e">
        <f t="shared" si="6"/>
        <v>#N/A</v>
      </c>
      <c r="BT116" s="29" t="e">
        <f t="shared" si="6"/>
        <v>#N/A</v>
      </c>
      <c r="BU116" s="29" t="e">
        <f t="shared" si="6"/>
        <v>#N/A</v>
      </c>
      <c r="BV116" s="29" t="e">
        <f t="shared" si="6"/>
        <v>#N/A</v>
      </c>
      <c r="BW116" s="29" t="e">
        <f t="shared" si="6"/>
        <v>#N/A</v>
      </c>
      <c r="BX116" s="29" t="e">
        <f t="shared" si="6"/>
        <v>#N/A</v>
      </c>
      <c r="BY116" s="29" t="e">
        <f t="shared" si="6"/>
        <v>#N/A</v>
      </c>
      <c r="BZ116" s="29" t="e">
        <f t="shared" si="6"/>
        <v>#N/A</v>
      </c>
      <c r="CA116" s="29" t="e">
        <f t="shared" si="6"/>
        <v>#N/A</v>
      </c>
      <c r="CB116" s="29" t="e">
        <f t="shared" si="6"/>
        <v>#N/A</v>
      </c>
      <c r="CC116" s="29" t="e">
        <f t="shared" si="6"/>
        <v>#N/A</v>
      </c>
      <c r="CD116" s="29" t="e">
        <f t="shared" si="6"/>
        <v>#N/A</v>
      </c>
      <c r="CE116" s="6" t="str">
        <f t="shared" si="296"/>
        <v/>
      </c>
      <c r="CF116" s="27" t="e">
        <f>IF(AND(CI116,NOT(AD116)),LOOKUP(CF$5,{0,750,1500},H116:J116),"")</f>
        <v>#N/A</v>
      </c>
      <c r="CG116" s="6" t="str">
        <f t="shared" si="297"/>
        <v/>
      </c>
      <c r="CH116" t="e">
        <f t="shared" si="312"/>
        <v>#N/A</v>
      </c>
      <c r="CI116" t="e">
        <f t="shared" si="313"/>
        <v>#N/A</v>
      </c>
      <c r="CJ116" s="6" t="e">
        <f t="shared" si="11"/>
        <v>#N/A</v>
      </c>
      <c r="CK116" s="6">
        <f t="shared" si="12"/>
        <v>1</v>
      </c>
      <c r="CL116" s="6">
        <f t="shared" si="26"/>
        <v>1</v>
      </c>
      <c r="CM116" s="6">
        <f t="shared" si="13"/>
        <v>1</v>
      </c>
      <c r="CN116" s="6">
        <f t="shared" si="14"/>
        <v>1</v>
      </c>
      <c r="CO116" s="6">
        <f t="shared" si="15"/>
        <v>0</v>
      </c>
      <c r="CP116" s="6">
        <f t="shared" si="16"/>
        <v>1</v>
      </c>
      <c r="CQ116" s="6">
        <f t="shared" si="314"/>
        <v>1</v>
      </c>
      <c r="CR116" s="81" t="str">
        <f t="shared" si="17"/>
        <v/>
      </c>
      <c r="CS116">
        <f t="shared" si="315"/>
        <v>0</v>
      </c>
      <c r="CT116">
        <f t="shared" si="19"/>
        <v>295</v>
      </c>
      <c r="CU116" t="str">
        <f t="shared" si="29"/>
        <v/>
      </c>
      <c r="CV116" s="81">
        <f t="shared" si="316"/>
        <v>295</v>
      </c>
      <c r="CW116" s="81">
        <f>(CV116/25)^1.5*(Calculator!$BU$4/10000)*CW$5</f>
        <v>21.080122109139459</v>
      </c>
      <c r="CX116" t="str">
        <f t="shared" si="317"/>
        <v>$295</v>
      </c>
    </row>
    <row r="117" spans="2:102" x14ac:dyDescent="0.25">
      <c r="B117" s="115" t="s">
        <v>233</v>
      </c>
      <c r="C117" s="13">
        <v>46316.611111111109</v>
      </c>
      <c r="D117">
        <v>27785</v>
      </c>
      <c r="E117" s="54" t="s">
        <v>235</v>
      </c>
      <c r="F117" s="54" t="s">
        <v>425</v>
      </c>
      <c r="G117" s="54" t="s">
        <v>429</v>
      </c>
      <c r="H117" s="55">
        <v>15.9</v>
      </c>
      <c r="I117" s="55">
        <v>14.899999999999999</v>
      </c>
      <c r="J117" s="55">
        <v>14.399999999999999</v>
      </c>
      <c r="K117" s="54"/>
      <c r="L117" s="56" t="b">
        <v>0</v>
      </c>
      <c r="M117" s="56" t="b">
        <v>0</v>
      </c>
      <c r="N117" s="54">
        <v>1</v>
      </c>
      <c r="O117" s="54" t="s">
        <v>228</v>
      </c>
      <c r="P117" s="54">
        <v>22</v>
      </c>
      <c r="Q117" s="54">
        <v>12</v>
      </c>
      <c r="R117" s="54">
        <v>150</v>
      </c>
      <c r="S117" s="54" t="s">
        <v>430</v>
      </c>
      <c r="T117" s="54" t="s">
        <v>431</v>
      </c>
      <c r="U117" s="54" t="s">
        <v>1673</v>
      </c>
      <c r="V117" s="54" t="s">
        <v>2138</v>
      </c>
      <c r="W117" s="54" t="b">
        <v>0</v>
      </c>
      <c r="X117" s="54"/>
      <c r="Y117" s="57" t="s">
        <v>2141</v>
      </c>
      <c r="Z117" s="54" t="s">
        <v>1652</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7.4241000000000001E-2</v>
      </c>
      <c r="BC117" s="60">
        <v>4.9000000000000004</v>
      </c>
      <c r="BD117" s="61">
        <v>6.5333000000000002E-2</v>
      </c>
      <c r="BE117" s="62" t="s">
        <v>293</v>
      </c>
      <c r="BF117" s="35">
        <f t="shared" si="0"/>
        <v>4.9000000000000004</v>
      </c>
      <c r="BG117" s="35">
        <f t="shared" si="0"/>
        <v>6.5333000000000002E-2</v>
      </c>
      <c r="BH117" s="35" t="str">
        <f t="shared" si="309"/>
        <v>Med</v>
      </c>
      <c r="BI117" s="110">
        <f t="shared" si="310"/>
        <v>0</v>
      </c>
      <c r="BJ117" s="83">
        <f>VLOOKUP($F117,REP_Info!$D$6:$H$250,5,FALSE)</f>
        <v>1.0129999999999999</v>
      </c>
      <c r="BK117" s="30">
        <f t="shared" si="1"/>
        <v>15.9274</v>
      </c>
      <c r="BL117" s="30">
        <f t="shared" si="1"/>
        <v>14.942400000000001</v>
      </c>
      <c r="BM117" s="30">
        <f t="shared" si="1"/>
        <v>14.4499</v>
      </c>
      <c r="BN117" s="29">
        <f t="shared" si="1"/>
        <v>14.285733333333333</v>
      </c>
      <c r="BO117" s="85" t="str">
        <f t="shared" si="2"/>
        <v>$$$</v>
      </c>
      <c r="BP117" s="88" t="str">
        <f t="shared" si="311"/>
        <v>$$$</v>
      </c>
      <c r="BQ117" s="88" t="str">
        <f t="shared" si="4"/>
        <v>$$$</v>
      </c>
      <c r="BR117" s="88" t="str">
        <f t="shared" si="5"/>
        <v>$$$</v>
      </c>
      <c r="BS117" s="29" t="e">
        <f t="shared" si="6"/>
        <v>#N/A</v>
      </c>
      <c r="BT117" s="29" t="e">
        <f t="shared" si="6"/>
        <v>#N/A</v>
      </c>
      <c r="BU117" s="29" t="e">
        <f t="shared" si="6"/>
        <v>#N/A</v>
      </c>
      <c r="BV117" s="29" t="e">
        <f t="shared" ref="BS117:CD138" si="318">IF($CI117,IF(BV$7&gt;0,IF(BV$4&gt;$Q117,$BF117+BV$7*(BV$5+$BG117+$BI117),LOOKUP(BV$7,$AH117:$AL117,$AM117:$AQ117)+IF($AG117="Y",SUMPRODUCT($AX117:$BB117-$AW117:$BA117,BV$7-$AR117:$AV117,N(BV$7&gt;$AR117:$AV117)),BV$7*LOOKUP(BV$7,$AR117:$AV117,$AX117:$BB117))+IF($BE117="Y",$BF117,$BC117)+BV$7*IF($BE117="Y",$BG117,$BD117))*100/BV$7,""),NA())</f>
        <v>#N/A</v>
      </c>
      <c r="BW117" s="29" t="e">
        <f t="shared" si="318"/>
        <v>#N/A</v>
      </c>
      <c r="BX117" s="29" t="e">
        <f t="shared" si="318"/>
        <v>#N/A</v>
      </c>
      <c r="BY117" s="29" t="e">
        <f t="shared" si="318"/>
        <v>#N/A</v>
      </c>
      <c r="BZ117" s="29" t="e">
        <f t="shared" si="318"/>
        <v>#N/A</v>
      </c>
      <c r="CA117" s="29" t="e">
        <f t="shared" si="318"/>
        <v>#N/A</v>
      </c>
      <c r="CB117" s="29" t="e">
        <f t="shared" si="318"/>
        <v>#N/A</v>
      </c>
      <c r="CC117" s="29" t="e">
        <f t="shared" si="318"/>
        <v>#N/A</v>
      </c>
      <c r="CD117" s="29" t="e">
        <f t="shared" si="318"/>
        <v>#N/A</v>
      </c>
      <c r="CE117" s="6" t="str">
        <f t="shared" si="296"/>
        <v/>
      </c>
      <c r="CF117" s="27" t="e">
        <f>IF(AND(CI117,NOT(AD117)),LOOKUP(CF$5,{0,750,1500},H117:J117),"")</f>
        <v>#N/A</v>
      </c>
      <c r="CG117" s="6" t="str">
        <f t="shared" si="297"/>
        <v/>
      </c>
      <c r="CH117" t="e">
        <f t="shared" si="312"/>
        <v>#N/A</v>
      </c>
      <c r="CI117" t="e">
        <f t="shared" si="313"/>
        <v>#N/A</v>
      </c>
      <c r="CJ117" s="6" t="e">
        <f t="shared" si="11"/>
        <v>#N/A</v>
      </c>
      <c r="CK117" s="6">
        <f t="shared" si="12"/>
        <v>1</v>
      </c>
      <c r="CL117" s="6">
        <f t="shared" si="26"/>
        <v>1</v>
      </c>
      <c r="CM117" s="6">
        <f t="shared" si="13"/>
        <v>1</v>
      </c>
      <c r="CN117" s="6">
        <f t="shared" si="14"/>
        <v>1</v>
      </c>
      <c r="CO117" s="6">
        <f t="shared" si="15"/>
        <v>1</v>
      </c>
      <c r="CP117" s="6">
        <f t="shared" si="16"/>
        <v>1</v>
      </c>
      <c r="CQ117" s="6">
        <f t="shared" si="314"/>
        <v>1</v>
      </c>
      <c r="CR117" s="81" t="str">
        <f t="shared" si="17"/>
        <v/>
      </c>
      <c r="CS117">
        <f t="shared" si="315"/>
        <v>0</v>
      </c>
      <c r="CT117">
        <f t="shared" si="19"/>
        <v>150</v>
      </c>
      <c r="CU117" t="str">
        <f t="shared" si="29"/>
        <v/>
      </c>
      <c r="CV117" s="81">
        <f t="shared" si="316"/>
        <v>150</v>
      </c>
      <c r="CW117" s="81">
        <f>(CV117/25)^1.5*(Calculator!$BU$4/10000)*CW$5</f>
        <v>7.6432310260371077</v>
      </c>
      <c r="CX117" t="str">
        <f t="shared" si="317"/>
        <v>$150</v>
      </c>
    </row>
    <row r="118" spans="2:102" x14ac:dyDescent="0.25">
      <c r="B118" s="115" t="s">
        <v>233</v>
      </c>
      <c r="C118" s="13">
        <v>46316.611111111109</v>
      </c>
      <c r="D118">
        <v>27787</v>
      </c>
      <c r="E118" s="54" t="s">
        <v>237</v>
      </c>
      <c r="F118" s="54" t="s">
        <v>425</v>
      </c>
      <c r="G118" s="54" t="s">
        <v>429</v>
      </c>
      <c r="H118" s="55">
        <v>16.100000000000001</v>
      </c>
      <c r="I118" s="55">
        <v>15.2</v>
      </c>
      <c r="J118" s="55">
        <v>14.7</v>
      </c>
      <c r="K118" s="54"/>
      <c r="L118" s="56" t="b">
        <v>0</v>
      </c>
      <c r="M118" s="56" t="b">
        <v>0</v>
      </c>
      <c r="N118" s="54">
        <v>1</v>
      </c>
      <c r="O118" s="54" t="s">
        <v>228</v>
      </c>
      <c r="P118" s="54">
        <v>22</v>
      </c>
      <c r="Q118" s="54">
        <v>12</v>
      </c>
      <c r="R118" s="54">
        <v>150</v>
      </c>
      <c r="S118" s="54" t="s">
        <v>430</v>
      </c>
      <c r="T118" s="54" t="s">
        <v>431</v>
      </c>
      <c r="U118" s="54" t="s">
        <v>1673</v>
      </c>
      <c r="V118" s="54" t="s">
        <v>2138</v>
      </c>
      <c r="W118" s="54" t="b">
        <v>0</v>
      </c>
      <c r="X118" s="54"/>
      <c r="Y118" s="57" t="s">
        <v>2142</v>
      </c>
      <c r="Z118" s="54" t="s">
        <v>1593</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7.4320999999999998E-2</v>
      </c>
      <c r="BC118" s="60">
        <v>4.0599999999999996</v>
      </c>
      <c r="BD118" s="61">
        <v>6.8672999999999998E-2</v>
      </c>
      <c r="BE118" s="62" t="s">
        <v>293</v>
      </c>
      <c r="BF118" s="35">
        <f t="shared" si="0"/>
        <v>4.0600000000000005</v>
      </c>
      <c r="BG118" s="35">
        <f t="shared" si="0"/>
        <v>6.8672999999999998E-2</v>
      </c>
      <c r="BH118" s="35" t="str">
        <f t="shared" si="309"/>
        <v>Med</v>
      </c>
      <c r="BI118" s="110">
        <f t="shared" si="310"/>
        <v>0</v>
      </c>
      <c r="BJ118" s="83">
        <f>VLOOKUP($F118,REP_Info!$D$6:$H$250,5,FALSE)</f>
        <v>1.0129999999999999</v>
      </c>
      <c r="BK118" s="30">
        <f t="shared" si="1"/>
        <v>16.101400000000002</v>
      </c>
      <c r="BL118" s="30">
        <f t="shared" si="1"/>
        <v>15.200400000000002</v>
      </c>
      <c r="BM118" s="30">
        <f t="shared" si="1"/>
        <v>14.7499</v>
      </c>
      <c r="BN118" s="29">
        <f t="shared" si="1"/>
        <v>14.599733333333333</v>
      </c>
      <c r="BO118" s="85" t="str">
        <f t="shared" si="2"/>
        <v>$$$</v>
      </c>
      <c r="BP118" s="88" t="str">
        <f t="shared" si="311"/>
        <v>$$$</v>
      </c>
      <c r="BQ118" s="88" t="str">
        <f t="shared" si="4"/>
        <v>$$$</v>
      </c>
      <c r="BR118" s="88" t="str">
        <f t="shared" si="5"/>
        <v>$$$</v>
      </c>
      <c r="BS118" s="29" t="e">
        <f t="shared" si="318"/>
        <v>#N/A</v>
      </c>
      <c r="BT118" s="29" t="e">
        <f t="shared" si="318"/>
        <v>#N/A</v>
      </c>
      <c r="BU118" s="29" t="e">
        <f t="shared" si="318"/>
        <v>#N/A</v>
      </c>
      <c r="BV118" s="29" t="e">
        <f t="shared" si="318"/>
        <v>#N/A</v>
      </c>
      <c r="BW118" s="29" t="e">
        <f t="shared" si="318"/>
        <v>#N/A</v>
      </c>
      <c r="BX118" s="29" t="e">
        <f t="shared" si="318"/>
        <v>#N/A</v>
      </c>
      <c r="BY118" s="29" t="e">
        <f t="shared" si="318"/>
        <v>#N/A</v>
      </c>
      <c r="BZ118" s="29" t="e">
        <f t="shared" si="318"/>
        <v>#N/A</v>
      </c>
      <c r="CA118" s="29" t="e">
        <f t="shared" si="318"/>
        <v>#N/A</v>
      </c>
      <c r="CB118" s="29" t="e">
        <f t="shared" si="318"/>
        <v>#N/A</v>
      </c>
      <c r="CC118" s="29" t="e">
        <f t="shared" si="318"/>
        <v>#N/A</v>
      </c>
      <c r="CD118" s="29" t="e">
        <f t="shared" si="318"/>
        <v>#N/A</v>
      </c>
      <c r="CE118" s="6" t="str">
        <f t="shared" si="296"/>
        <v/>
      </c>
      <c r="CF118" s="27" t="e">
        <f>IF(AND(CI118,NOT(AD118)),LOOKUP(CF$5,{0,750,1500},H118:J118),"")</f>
        <v>#N/A</v>
      </c>
      <c r="CG118" s="6" t="str">
        <f t="shared" si="297"/>
        <v/>
      </c>
      <c r="CH118" t="e">
        <f t="shared" si="312"/>
        <v>#N/A</v>
      </c>
      <c r="CI118" t="e">
        <f t="shared" si="313"/>
        <v>#N/A</v>
      </c>
      <c r="CJ118" s="6" t="e">
        <f t="shared" si="11"/>
        <v>#N/A</v>
      </c>
      <c r="CK118" s="6">
        <f t="shared" si="12"/>
        <v>1</v>
      </c>
      <c r="CL118" s="6">
        <f t="shared" si="26"/>
        <v>1</v>
      </c>
      <c r="CM118" s="6">
        <f t="shared" si="13"/>
        <v>1</v>
      </c>
      <c r="CN118" s="6">
        <f t="shared" si="14"/>
        <v>1</v>
      </c>
      <c r="CO118" s="6">
        <f t="shared" si="15"/>
        <v>1</v>
      </c>
      <c r="CP118" s="6">
        <f t="shared" si="16"/>
        <v>1</v>
      </c>
      <c r="CQ118" s="6">
        <f t="shared" si="314"/>
        <v>1</v>
      </c>
      <c r="CR118" s="81" t="str">
        <f t="shared" si="17"/>
        <v/>
      </c>
      <c r="CS118">
        <f t="shared" si="315"/>
        <v>0</v>
      </c>
      <c r="CT118">
        <f t="shared" si="19"/>
        <v>150</v>
      </c>
      <c r="CU118" t="str">
        <f t="shared" si="29"/>
        <v/>
      </c>
      <c r="CV118" s="81">
        <f t="shared" si="316"/>
        <v>150</v>
      </c>
      <c r="CW118" s="81">
        <f>(CV118/25)^1.5*(Calculator!$BU$4/10000)*CW$5</f>
        <v>7.6432310260371077</v>
      </c>
      <c r="CX118" t="str">
        <f t="shared" si="317"/>
        <v>$150</v>
      </c>
    </row>
    <row r="119" spans="2:102" x14ac:dyDescent="0.25">
      <c r="B119" s="115" t="s">
        <v>233</v>
      </c>
      <c r="C119" s="13">
        <v>46316.611111111109</v>
      </c>
      <c r="D119">
        <v>31728</v>
      </c>
      <c r="E119" s="54" t="s">
        <v>235</v>
      </c>
      <c r="F119" s="54" t="s">
        <v>425</v>
      </c>
      <c r="G119" s="54" t="s">
        <v>2143</v>
      </c>
      <c r="H119" s="55">
        <v>14.899999999999999</v>
      </c>
      <c r="I119" s="55">
        <v>13.900000000000002</v>
      </c>
      <c r="J119" s="55">
        <v>13.4</v>
      </c>
      <c r="K119" s="54"/>
      <c r="L119" s="56" t="b">
        <v>0</v>
      </c>
      <c r="M119" s="56" t="b">
        <v>0</v>
      </c>
      <c r="N119" s="54">
        <v>1</v>
      </c>
      <c r="O119" s="54" t="s">
        <v>228</v>
      </c>
      <c r="P119" s="54">
        <v>22</v>
      </c>
      <c r="Q119" s="54">
        <v>8</v>
      </c>
      <c r="R119" s="54">
        <v>75</v>
      </c>
      <c r="S119" s="54" t="s">
        <v>430</v>
      </c>
      <c r="T119" s="54" t="s">
        <v>2144</v>
      </c>
      <c r="U119" s="54" t="s">
        <v>1673</v>
      </c>
      <c r="V119" s="54" t="s">
        <v>2138</v>
      </c>
      <c r="W119" s="54" t="b">
        <v>0</v>
      </c>
      <c r="X119" s="54"/>
      <c r="Y119" s="57" t="s">
        <v>2145</v>
      </c>
      <c r="Z119" s="54" t="s">
        <v>1652</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6.4241000000000006E-2</v>
      </c>
      <c r="BC119" s="60">
        <v>4.9000000000000004</v>
      </c>
      <c r="BD119" s="61">
        <v>6.5333000000000002E-2</v>
      </c>
      <c r="BE119" s="62" t="s">
        <v>293</v>
      </c>
      <c r="BF119" s="35">
        <f t="shared" si="0"/>
        <v>4.9000000000000004</v>
      </c>
      <c r="BG119" s="35">
        <f t="shared" si="0"/>
        <v>6.5333000000000002E-2</v>
      </c>
      <c r="BH119" s="35" t="str">
        <f t="shared" si="309"/>
        <v>Med</v>
      </c>
      <c r="BI119" s="110">
        <f t="shared" si="310"/>
        <v>0</v>
      </c>
      <c r="BJ119" s="83">
        <f>VLOOKUP($F119,REP_Info!$D$6:$H$250,5,FALSE)</f>
        <v>1.0129999999999999</v>
      </c>
      <c r="BK119" s="30">
        <f t="shared" si="1"/>
        <v>14.9274</v>
      </c>
      <c r="BL119" s="30">
        <f t="shared" si="1"/>
        <v>13.942400000000001</v>
      </c>
      <c r="BM119" s="30">
        <f t="shared" si="1"/>
        <v>13.4499</v>
      </c>
      <c r="BN119" s="29">
        <f t="shared" si="1"/>
        <v>13.285733333333333</v>
      </c>
      <c r="BO119" s="85" t="str">
        <f t="shared" si="2"/>
        <v>$$$</v>
      </c>
      <c r="BP119" s="88" t="str">
        <f t="shared" si="311"/>
        <v>$$$</v>
      </c>
      <c r="BQ119" s="88" t="str">
        <f t="shared" si="4"/>
        <v>$$$</v>
      </c>
      <c r="BR119" s="88" t="str">
        <f t="shared" si="5"/>
        <v>$$$</v>
      </c>
      <c r="BS119" s="29" t="e">
        <f t="shared" si="318"/>
        <v>#N/A</v>
      </c>
      <c r="BT119" s="29" t="e">
        <f t="shared" si="318"/>
        <v>#N/A</v>
      </c>
      <c r="BU119" s="29" t="e">
        <f t="shared" si="318"/>
        <v>#N/A</v>
      </c>
      <c r="BV119" s="29" t="e">
        <f t="shared" si="318"/>
        <v>#N/A</v>
      </c>
      <c r="BW119" s="29" t="e">
        <f t="shared" si="318"/>
        <v>#N/A</v>
      </c>
      <c r="BX119" s="29" t="e">
        <f t="shared" si="318"/>
        <v>#N/A</v>
      </c>
      <c r="BY119" s="29" t="e">
        <f t="shared" si="318"/>
        <v>#N/A</v>
      </c>
      <c r="BZ119" s="29" t="e">
        <f t="shared" si="318"/>
        <v>#N/A</v>
      </c>
      <c r="CA119" s="29" t="e">
        <f t="shared" si="318"/>
        <v>#N/A</v>
      </c>
      <c r="CB119" s="29" t="e">
        <f t="shared" si="318"/>
        <v>#N/A</v>
      </c>
      <c r="CC119" s="29" t="e">
        <f t="shared" si="318"/>
        <v>#N/A</v>
      </c>
      <c r="CD119" s="29" t="e">
        <f t="shared" si="318"/>
        <v>#N/A</v>
      </c>
      <c r="CE119" s="6" t="str">
        <f t="shared" si="296"/>
        <v/>
      </c>
      <c r="CF119" s="27" t="e">
        <f>IF(AND(CI119,NOT(AD119)),LOOKUP(CF$5,{0,750,1500},H119:J119),"")</f>
        <v>#N/A</v>
      </c>
      <c r="CG119" s="6" t="str">
        <f t="shared" si="297"/>
        <v/>
      </c>
      <c r="CH119" t="e">
        <f t="shared" si="312"/>
        <v>#N/A</v>
      </c>
      <c r="CI119" t="e">
        <f t="shared" si="313"/>
        <v>#N/A</v>
      </c>
      <c r="CJ119" s="6" t="e">
        <f t="shared" si="11"/>
        <v>#N/A</v>
      </c>
      <c r="CK119" s="6">
        <f t="shared" si="12"/>
        <v>1</v>
      </c>
      <c r="CL119" s="6">
        <f t="shared" si="26"/>
        <v>1</v>
      </c>
      <c r="CM119" s="6">
        <f t="shared" si="13"/>
        <v>1</v>
      </c>
      <c r="CN119" s="6">
        <f t="shared" si="14"/>
        <v>0</v>
      </c>
      <c r="CO119" s="6">
        <f t="shared" si="15"/>
        <v>1</v>
      </c>
      <c r="CP119" s="6">
        <f t="shared" si="16"/>
        <v>1</v>
      </c>
      <c r="CQ119" s="6">
        <f t="shared" si="314"/>
        <v>1</v>
      </c>
      <c r="CR119" s="81" t="str">
        <f t="shared" si="17"/>
        <v/>
      </c>
      <c r="CS119">
        <f t="shared" si="315"/>
        <v>9</v>
      </c>
      <c r="CT119">
        <f t="shared" si="19"/>
        <v>75</v>
      </c>
      <c r="CU119" t="str">
        <f t="shared" si="29"/>
        <v/>
      </c>
      <c r="CV119" s="81">
        <f t="shared" si="316"/>
        <v>75</v>
      </c>
      <c r="CW119" s="81">
        <f>(CV119/25)^1.5*(Calculator!$BU$4/10000)*CW$5</f>
        <v>2.7022902443431254</v>
      </c>
      <c r="CX119" t="str">
        <f t="shared" si="317"/>
        <v>$75</v>
      </c>
    </row>
    <row r="120" spans="2:102" x14ac:dyDescent="0.25">
      <c r="B120" s="115" t="s">
        <v>233</v>
      </c>
      <c r="C120" s="13">
        <v>46316.611111111109</v>
      </c>
      <c r="D120">
        <v>31730</v>
      </c>
      <c r="E120" s="54" t="s">
        <v>237</v>
      </c>
      <c r="F120" s="54" t="s">
        <v>425</v>
      </c>
      <c r="G120" s="54" t="s">
        <v>2143</v>
      </c>
      <c r="H120" s="55">
        <v>15.2</v>
      </c>
      <c r="I120" s="55">
        <v>14.299999999999999</v>
      </c>
      <c r="J120" s="55">
        <v>13.8</v>
      </c>
      <c r="K120" s="54"/>
      <c r="L120" s="56" t="b">
        <v>0</v>
      </c>
      <c r="M120" s="56" t="b">
        <v>0</v>
      </c>
      <c r="N120" s="54">
        <v>1</v>
      </c>
      <c r="O120" s="54" t="s">
        <v>228</v>
      </c>
      <c r="P120" s="54">
        <v>22</v>
      </c>
      <c r="Q120" s="54">
        <v>8</v>
      </c>
      <c r="R120" s="54">
        <v>75</v>
      </c>
      <c r="S120" s="54" t="s">
        <v>430</v>
      </c>
      <c r="T120" s="54" t="s">
        <v>2144</v>
      </c>
      <c r="U120" s="54" t="s">
        <v>1673</v>
      </c>
      <c r="V120" s="54" t="s">
        <v>2138</v>
      </c>
      <c r="W120" s="54" t="b">
        <v>0</v>
      </c>
      <c r="X120" s="54"/>
      <c r="Y120" s="57" t="s">
        <v>2146</v>
      </c>
      <c r="Z120" s="54" t="s">
        <v>1593</v>
      </c>
      <c r="AA120" s="54"/>
      <c r="AB120" s="54" t="s">
        <v>2147</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6.5321000000000004E-2</v>
      </c>
      <c r="BC120" s="60">
        <v>4.0599999999999996</v>
      </c>
      <c r="BD120" s="61">
        <v>6.8672999999999998E-2</v>
      </c>
      <c r="BE120" s="62" t="s">
        <v>293</v>
      </c>
      <c r="BF120" s="35">
        <f t="shared" si="0"/>
        <v>4.0600000000000005</v>
      </c>
      <c r="BG120" s="35">
        <f t="shared" si="0"/>
        <v>6.8672999999999998E-2</v>
      </c>
      <c r="BH120" s="35" t="str">
        <f t="shared" si="309"/>
        <v>Med</v>
      </c>
      <c r="BI120" s="110">
        <f t="shared" si="310"/>
        <v>0</v>
      </c>
      <c r="BJ120" s="83">
        <f>VLOOKUP($F120,REP_Info!$D$6:$H$250,5,FALSE)</f>
        <v>1.0129999999999999</v>
      </c>
      <c r="BK120" s="30">
        <f t="shared" si="1"/>
        <v>15.201400000000001</v>
      </c>
      <c r="BL120" s="30">
        <f t="shared" si="1"/>
        <v>14.300400000000002</v>
      </c>
      <c r="BM120" s="30">
        <f t="shared" si="1"/>
        <v>13.8499</v>
      </c>
      <c r="BN120" s="29">
        <f t="shared" si="1"/>
        <v>13.699733333333334</v>
      </c>
      <c r="BO120" s="85" t="str">
        <f t="shared" si="2"/>
        <v>$$$</v>
      </c>
      <c r="BP120" s="88" t="str">
        <f t="shared" si="311"/>
        <v>$$$</v>
      </c>
      <c r="BQ120" s="88" t="str">
        <f t="shared" si="4"/>
        <v>$$$</v>
      </c>
      <c r="BR120" s="88" t="str">
        <f t="shared" si="5"/>
        <v>$$$</v>
      </c>
      <c r="BS120" s="29" t="e">
        <f t="shared" si="318"/>
        <v>#N/A</v>
      </c>
      <c r="BT120" s="29" t="e">
        <f t="shared" si="318"/>
        <v>#N/A</v>
      </c>
      <c r="BU120" s="29" t="e">
        <f t="shared" si="318"/>
        <v>#N/A</v>
      </c>
      <c r="BV120" s="29" t="e">
        <f t="shared" si="318"/>
        <v>#N/A</v>
      </c>
      <c r="BW120" s="29" t="e">
        <f t="shared" si="318"/>
        <v>#N/A</v>
      </c>
      <c r="BX120" s="29" t="e">
        <f t="shared" si="318"/>
        <v>#N/A</v>
      </c>
      <c r="BY120" s="29" t="e">
        <f t="shared" si="318"/>
        <v>#N/A</v>
      </c>
      <c r="BZ120" s="29" t="e">
        <f t="shared" si="318"/>
        <v>#N/A</v>
      </c>
      <c r="CA120" s="29" t="e">
        <f t="shared" si="318"/>
        <v>#N/A</v>
      </c>
      <c r="CB120" s="29" t="e">
        <f t="shared" si="318"/>
        <v>#N/A</v>
      </c>
      <c r="CC120" s="29" t="e">
        <f t="shared" si="318"/>
        <v>#N/A</v>
      </c>
      <c r="CD120" s="29" t="e">
        <f t="shared" si="318"/>
        <v>#N/A</v>
      </c>
      <c r="CE120" s="6" t="str">
        <f t="shared" si="296"/>
        <v/>
      </c>
      <c r="CF120" s="27" t="e">
        <f>IF(AND(CI120,NOT(AD120)),LOOKUP(CF$5,{0,750,1500},H120:J120),"")</f>
        <v>#N/A</v>
      </c>
      <c r="CG120" s="6" t="str">
        <f t="shared" si="297"/>
        <v/>
      </c>
      <c r="CH120" t="e">
        <f t="shared" si="312"/>
        <v>#N/A</v>
      </c>
      <c r="CI120" t="e">
        <f t="shared" si="313"/>
        <v>#N/A</v>
      </c>
      <c r="CJ120" s="6" t="e">
        <f t="shared" si="11"/>
        <v>#N/A</v>
      </c>
      <c r="CK120" s="6">
        <f t="shared" si="12"/>
        <v>1</v>
      </c>
      <c r="CL120" s="6">
        <f t="shared" si="26"/>
        <v>1</v>
      </c>
      <c r="CM120" s="6">
        <f t="shared" si="13"/>
        <v>1</v>
      </c>
      <c r="CN120" s="6">
        <f t="shared" si="14"/>
        <v>0</v>
      </c>
      <c r="CO120" s="6">
        <f t="shared" si="15"/>
        <v>1</v>
      </c>
      <c r="CP120" s="6">
        <f t="shared" si="16"/>
        <v>1</v>
      </c>
      <c r="CQ120" s="6">
        <f t="shared" si="314"/>
        <v>1</v>
      </c>
      <c r="CR120" s="81" t="str">
        <f t="shared" si="17"/>
        <v/>
      </c>
      <c r="CS120">
        <f t="shared" si="315"/>
        <v>9</v>
      </c>
      <c r="CT120">
        <f t="shared" si="19"/>
        <v>75</v>
      </c>
      <c r="CU120" t="str">
        <f t="shared" si="29"/>
        <v/>
      </c>
      <c r="CV120" s="81">
        <f t="shared" si="316"/>
        <v>75</v>
      </c>
      <c r="CW120" s="81">
        <f>(CV120/25)^1.5*(Calculator!$BU$4/10000)*CW$5</f>
        <v>2.7022902443431254</v>
      </c>
      <c r="CX120" t="str">
        <f t="shared" si="317"/>
        <v>$75</v>
      </c>
    </row>
    <row r="121" spans="2:102" x14ac:dyDescent="0.25">
      <c r="B121" s="115" t="s">
        <v>233</v>
      </c>
      <c r="C121" s="13">
        <v>46316.611111111109</v>
      </c>
      <c r="D121">
        <v>38492</v>
      </c>
      <c r="E121" s="54" t="s">
        <v>235</v>
      </c>
      <c r="F121" s="54" t="s">
        <v>425</v>
      </c>
      <c r="G121" s="54" t="s">
        <v>2148</v>
      </c>
      <c r="H121" s="55">
        <v>15.9</v>
      </c>
      <c r="I121" s="55">
        <v>14.899999999999999</v>
      </c>
      <c r="J121" s="55">
        <v>14.399999999999999</v>
      </c>
      <c r="K121" s="54"/>
      <c r="L121" s="56" t="b">
        <v>0</v>
      </c>
      <c r="M121" s="56" t="b">
        <v>0</v>
      </c>
      <c r="N121" s="54">
        <v>1</v>
      </c>
      <c r="O121" s="54" t="s">
        <v>228</v>
      </c>
      <c r="P121" s="54">
        <v>22</v>
      </c>
      <c r="Q121" s="54">
        <v>11</v>
      </c>
      <c r="R121" s="54">
        <v>95</v>
      </c>
      <c r="S121" s="54" t="s">
        <v>430</v>
      </c>
      <c r="T121" s="54" t="s">
        <v>2149</v>
      </c>
      <c r="U121" s="54" t="s">
        <v>1673</v>
      </c>
      <c r="V121" s="54" t="s">
        <v>2138</v>
      </c>
      <c r="W121" s="54" t="b">
        <v>0</v>
      </c>
      <c r="X121" s="54"/>
      <c r="Y121" s="57" t="s">
        <v>2150</v>
      </c>
      <c r="Z121" s="54" t="s">
        <v>1652</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7.4241000000000001E-2</v>
      </c>
      <c r="BC121" s="60">
        <v>4.9000000000000004</v>
      </c>
      <c r="BD121" s="61">
        <v>6.5333000000000002E-2</v>
      </c>
      <c r="BE121" s="62" t="s">
        <v>293</v>
      </c>
      <c r="BF121" s="35">
        <f t="shared" si="0"/>
        <v>4.9000000000000004</v>
      </c>
      <c r="BG121" s="35">
        <f t="shared" si="0"/>
        <v>6.5333000000000002E-2</v>
      </c>
      <c r="BH121" s="35" t="str">
        <f t="shared" si="309"/>
        <v>Med</v>
      </c>
      <c r="BI121" s="110">
        <f t="shared" si="310"/>
        <v>0</v>
      </c>
      <c r="BJ121" s="83">
        <f>VLOOKUP($F121,REP_Info!$D$6:$H$250,5,FALSE)</f>
        <v>1.0129999999999999</v>
      </c>
      <c r="BK121" s="30">
        <f t="shared" si="1"/>
        <v>15.9274</v>
      </c>
      <c r="BL121" s="30">
        <f t="shared" si="1"/>
        <v>14.942400000000001</v>
      </c>
      <c r="BM121" s="30">
        <f t="shared" si="1"/>
        <v>14.4499</v>
      </c>
      <c r="BN121" s="29">
        <f t="shared" si="1"/>
        <v>14.285733333333333</v>
      </c>
      <c r="BO121" s="85" t="str">
        <f t="shared" si="2"/>
        <v>$$$</v>
      </c>
      <c r="BP121" s="88" t="str">
        <f t="shared" si="311"/>
        <v>$$$</v>
      </c>
      <c r="BQ121" s="88" t="str">
        <f t="shared" si="4"/>
        <v>$$$</v>
      </c>
      <c r="BR121" s="88" t="str">
        <f t="shared" si="5"/>
        <v>$$$</v>
      </c>
      <c r="BS121" s="29" t="e">
        <f t="shared" si="318"/>
        <v>#N/A</v>
      </c>
      <c r="BT121" s="29" t="e">
        <f t="shared" si="318"/>
        <v>#N/A</v>
      </c>
      <c r="BU121" s="29" t="e">
        <f t="shared" si="318"/>
        <v>#N/A</v>
      </c>
      <c r="BV121" s="29" t="e">
        <f t="shared" si="318"/>
        <v>#N/A</v>
      </c>
      <c r="BW121" s="29" t="e">
        <f t="shared" si="318"/>
        <v>#N/A</v>
      </c>
      <c r="BX121" s="29" t="e">
        <f t="shared" si="318"/>
        <v>#N/A</v>
      </c>
      <c r="BY121" s="29" t="e">
        <f t="shared" si="318"/>
        <v>#N/A</v>
      </c>
      <c r="BZ121" s="29" t="e">
        <f t="shared" si="318"/>
        <v>#N/A</v>
      </c>
      <c r="CA121" s="29" t="e">
        <f t="shared" si="318"/>
        <v>#N/A</v>
      </c>
      <c r="CB121" s="29" t="e">
        <f t="shared" si="318"/>
        <v>#N/A</v>
      </c>
      <c r="CC121" s="29" t="e">
        <f t="shared" si="318"/>
        <v>#N/A</v>
      </c>
      <c r="CD121" s="29" t="e">
        <f t="shared" si="318"/>
        <v>#N/A</v>
      </c>
      <c r="CE121" s="6" t="str">
        <f t="shared" si="296"/>
        <v/>
      </c>
      <c r="CF121" s="27" t="e">
        <f>IF(AND(CI121,NOT(AD121)),LOOKUP(CF$5,{0,750,1500},H121:J121),"")</f>
        <v>#N/A</v>
      </c>
      <c r="CG121" s="6" t="str">
        <f t="shared" si="297"/>
        <v/>
      </c>
      <c r="CH121" t="e">
        <f t="shared" si="312"/>
        <v>#N/A</v>
      </c>
      <c r="CI121" t="e">
        <f t="shared" si="313"/>
        <v>#N/A</v>
      </c>
      <c r="CJ121" s="6" t="e">
        <f t="shared" si="11"/>
        <v>#N/A</v>
      </c>
      <c r="CK121" s="6">
        <f t="shared" si="12"/>
        <v>1</v>
      </c>
      <c r="CL121" s="6">
        <f t="shared" si="26"/>
        <v>1</v>
      </c>
      <c r="CM121" s="6">
        <f t="shared" si="13"/>
        <v>1</v>
      </c>
      <c r="CN121" s="6">
        <f t="shared" si="14"/>
        <v>0</v>
      </c>
      <c r="CO121" s="6">
        <f t="shared" si="15"/>
        <v>1</v>
      </c>
      <c r="CP121" s="6">
        <f t="shared" si="16"/>
        <v>1</v>
      </c>
      <c r="CQ121" s="6">
        <f t="shared" si="314"/>
        <v>1</v>
      </c>
      <c r="CR121" s="81" t="str">
        <f t="shared" si="17"/>
        <v/>
      </c>
      <c r="CS121">
        <f t="shared" si="315"/>
        <v>1.6363636363636349</v>
      </c>
      <c r="CT121">
        <f t="shared" si="19"/>
        <v>95</v>
      </c>
      <c r="CU121" t="str">
        <f t="shared" si="29"/>
        <v/>
      </c>
      <c r="CV121" s="81">
        <f t="shared" si="316"/>
        <v>95</v>
      </c>
      <c r="CW121" s="81">
        <f>(CV121/25)^1.5*(Calculator!$BU$4/10000)*CW$5</f>
        <v>3.8523479486358254</v>
      </c>
      <c r="CX121" t="str">
        <f t="shared" si="317"/>
        <v>$95</v>
      </c>
    </row>
    <row r="122" spans="2:102" x14ac:dyDescent="0.25">
      <c r="B122" s="115" t="s">
        <v>233</v>
      </c>
      <c r="C122" s="13">
        <v>46316.611111111109</v>
      </c>
      <c r="D122">
        <v>38494</v>
      </c>
      <c r="E122" s="54" t="s">
        <v>237</v>
      </c>
      <c r="F122" s="54" t="s">
        <v>425</v>
      </c>
      <c r="G122" s="54" t="s">
        <v>2148</v>
      </c>
      <c r="H122" s="55">
        <v>16.100000000000001</v>
      </c>
      <c r="I122" s="55">
        <v>15.2</v>
      </c>
      <c r="J122" s="55">
        <v>14.7</v>
      </c>
      <c r="K122" s="54"/>
      <c r="L122" s="56" t="b">
        <v>0</v>
      </c>
      <c r="M122" s="56" t="b">
        <v>0</v>
      </c>
      <c r="N122" s="54">
        <v>1</v>
      </c>
      <c r="O122" s="54" t="s">
        <v>228</v>
      </c>
      <c r="P122" s="54">
        <v>22</v>
      </c>
      <c r="Q122" s="54">
        <v>11</v>
      </c>
      <c r="R122" s="54">
        <v>95</v>
      </c>
      <c r="S122" s="54" t="s">
        <v>430</v>
      </c>
      <c r="T122" s="54" t="s">
        <v>2149</v>
      </c>
      <c r="U122" s="54" t="s">
        <v>1673</v>
      </c>
      <c r="V122" s="54" t="s">
        <v>2138</v>
      </c>
      <c r="W122" s="54" t="b">
        <v>0</v>
      </c>
      <c r="X122" s="54"/>
      <c r="Y122" s="57" t="s">
        <v>2151</v>
      </c>
      <c r="Z122" s="54" t="s">
        <v>1593</v>
      </c>
      <c r="AA122" s="54"/>
      <c r="AB122" s="54" t="s">
        <v>428</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7.4320999999999998E-2</v>
      </c>
      <c r="BC122" s="60">
        <v>4.0599999999999996</v>
      </c>
      <c r="BD122" s="61">
        <v>6.8672999999999998E-2</v>
      </c>
      <c r="BE122" s="62" t="s">
        <v>293</v>
      </c>
      <c r="BF122" s="35">
        <f t="shared" si="0"/>
        <v>4.0600000000000005</v>
      </c>
      <c r="BG122" s="35">
        <f t="shared" si="0"/>
        <v>6.8672999999999998E-2</v>
      </c>
      <c r="BH122" s="35" t="str">
        <f t="shared" si="309"/>
        <v>Med</v>
      </c>
      <c r="BI122" s="110">
        <f t="shared" si="310"/>
        <v>0</v>
      </c>
      <c r="BJ122" s="83">
        <f>VLOOKUP($F122,REP_Info!$D$6:$H$250,5,FALSE)</f>
        <v>1.0129999999999999</v>
      </c>
      <c r="BK122" s="30">
        <f t="shared" si="1"/>
        <v>16.101400000000002</v>
      </c>
      <c r="BL122" s="30">
        <f t="shared" si="1"/>
        <v>15.200400000000002</v>
      </c>
      <c r="BM122" s="30">
        <f t="shared" si="1"/>
        <v>14.7499</v>
      </c>
      <c r="BN122" s="29">
        <f t="shared" si="1"/>
        <v>14.599733333333333</v>
      </c>
      <c r="BO122" s="85" t="str">
        <f t="shared" si="2"/>
        <v>$$$</v>
      </c>
      <c r="BP122" s="88" t="str">
        <f t="shared" si="311"/>
        <v>$$$</v>
      </c>
      <c r="BQ122" s="88" t="str">
        <f t="shared" si="4"/>
        <v>$$$</v>
      </c>
      <c r="BR122" s="88" t="str">
        <f t="shared" si="5"/>
        <v>$$$</v>
      </c>
      <c r="BS122" s="29" t="e">
        <f t="shared" si="318"/>
        <v>#N/A</v>
      </c>
      <c r="BT122" s="29" t="e">
        <f t="shared" si="318"/>
        <v>#N/A</v>
      </c>
      <c r="BU122" s="29" t="e">
        <f t="shared" si="318"/>
        <v>#N/A</v>
      </c>
      <c r="BV122" s="29" t="e">
        <f t="shared" si="318"/>
        <v>#N/A</v>
      </c>
      <c r="BW122" s="29" t="e">
        <f t="shared" si="318"/>
        <v>#N/A</v>
      </c>
      <c r="BX122" s="29" t="e">
        <f t="shared" si="318"/>
        <v>#N/A</v>
      </c>
      <c r="BY122" s="29" t="e">
        <f t="shared" si="318"/>
        <v>#N/A</v>
      </c>
      <c r="BZ122" s="29" t="e">
        <f t="shared" si="318"/>
        <v>#N/A</v>
      </c>
      <c r="CA122" s="29" t="e">
        <f t="shared" si="318"/>
        <v>#N/A</v>
      </c>
      <c r="CB122" s="29" t="e">
        <f t="shared" si="318"/>
        <v>#N/A</v>
      </c>
      <c r="CC122" s="29" t="e">
        <f t="shared" si="318"/>
        <v>#N/A</v>
      </c>
      <c r="CD122" s="29" t="e">
        <f t="shared" si="318"/>
        <v>#N/A</v>
      </c>
      <c r="CE122" s="6" t="str">
        <f t="shared" si="296"/>
        <v/>
      </c>
      <c r="CF122" s="27" t="e">
        <f>IF(AND(CI122,NOT(AD122)),LOOKUP(CF$5,{0,750,1500},H122:J122),"")</f>
        <v>#N/A</v>
      </c>
      <c r="CG122" s="6" t="str">
        <f t="shared" si="297"/>
        <v/>
      </c>
      <c r="CH122" t="e">
        <f t="shared" si="312"/>
        <v>#N/A</v>
      </c>
      <c r="CI122" t="e">
        <f t="shared" si="313"/>
        <v>#N/A</v>
      </c>
      <c r="CJ122" s="6" t="e">
        <f t="shared" si="11"/>
        <v>#N/A</v>
      </c>
      <c r="CK122" s="6">
        <f t="shared" si="12"/>
        <v>1</v>
      </c>
      <c r="CL122" s="6">
        <f t="shared" si="26"/>
        <v>1</v>
      </c>
      <c r="CM122" s="6">
        <f t="shared" si="13"/>
        <v>1</v>
      </c>
      <c r="CN122" s="6">
        <f t="shared" si="14"/>
        <v>0</v>
      </c>
      <c r="CO122" s="6">
        <f t="shared" si="15"/>
        <v>1</v>
      </c>
      <c r="CP122" s="6">
        <f t="shared" si="16"/>
        <v>1</v>
      </c>
      <c r="CQ122" s="6">
        <f t="shared" si="314"/>
        <v>1</v>
      </c>
      <c r="CR122" s="81" t="str">
        <f t="shared" si="17"/>
        <v/>
      </c>
      <c r="CS122">
        <f t="shared" si="315"/>
        <v>1.6363636363636349</v>
      </c>
      <c r="CT122">
        <f t="shared" si="19"/>
        <v>95</v>
      </c>
      <c r="CU122" t="str">
        <f t="shared" si="29"/>
        <v/>
      </c>
      <c r="CV122" s="81">
        <f t="shared" si="316"/>
        <v>95</v>
      </c>
      <c r="CW122" s="81">
        <f>(CV122/25)^1.5*(Calculator!$BU$4/10000)*CW$5</f>
        <v>3.8523479486358254</v>
      </c>
      <c r="CX122" t="str">
        <f t="shared" si="317"/>
        <v>$95</v>
      </c>
    </row>
    <row r="123" spans="2:102" x14ac:dyDescent="0.25">
      <c r="B123" s="115" t="s">
        <v>233</v>
      </c>
      <c r="C123" s="13">
        <v>46316.611111111109</v>
      </c>
      <c r="D123">
        <v>38504</v>
      </c>
      <c r="E123" s="54" t="s">
        <v>235</v>
      </c>
      <c r="F123" s="54" t="s">
        <v>425</v>
      </c>
      <c r="G123" s="54" t="s">
        <v>2152</v>
      </c>
      <c r="H123" s="55">
        <v>15.8</v>
      </c>
      <c r="I123" s="55">
        <v>14.799999999999999</v>
      </c>
      <c r="J123" s="55">
        <v>14.299999999999999</v>
      </c>
      <c r="K123" s="54"/>
      <c r="L123" s="56" t="b">
        <v>0</v>
      </c>
      <c r="M123" s="56" t="b">
        <v>0</v>
      </c>
      <c r="N123" s="54">
        <v>1</v>
      </c>
      <c r="O123" s="54" t="s">
        <v>228</v>
      </c>
      <c r="P123" s="54">
        <v>22</v>
      </c>
      <c r="Q123" s="54">
        <v>13</v>
      </c>
      <c r="R123" s="54">
        <v>150</v>
      </c>
      <c r="S123" s="54" t="s">
        <v>430</v>
      </c>
      <c r="T123" s="54" t="s">
        <v>2153</v>
      </c>
      <c r="U123" s="54" t="s">
        <v>1673</v>
      </c>
      <c r="V123" s="54" t="s">
        <v>2138</v>
      </c>
      <c r="W123" s="54" t="b">
        <v>0</v>
      </c>
      <c r="X123" s="54"/>
      <c r="Y123" s="57" t="s">
        <v>2154</v>
      </c>
      <c r="Z123" s="54" t="s">
        <v>1652</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7.3241000000000001E-2</v>
      </c>
      <c r="BC123" s="60">
        <v>4.9000000000000004</v>
      </c>
      <c r="BD123" s="61">
        <v>6.5333000000000002E-2</v>
      </c>
      <c r="BE123" s="62" t="s">
        <v>293</v>
      </c>
      <c r="BF123" s="35">
        <f t="shared" si="0"/>
        <v>4.9000000000000004</v>
      </c>
      <c r="BG123" s="35">
        <f t="shared" si="0"/>
        <v>6.5333000000000002E-2</v>
      </c>
      <c r="BH123" s="35" t="str">
        <f t="shared" si="309"/>
        <v>Med</v>
      </c>
      <c r="BI123" s="110">
        <f t="shared" si="310"/>
        <v>0</v>
      </c>
      <c r="BJ123" s="83">
        <f>VLOOKUP($F123,REP_Info!$D$6:$H$250,5,FALSE)</f>
        <v>1.0129999999999999</v>
      </c>
      <c r="BK123" s="30">
        <f t="shared" si="1"/>
        <v>15.827399999999999</v>
      </c>
      <c r="BL123" s="30">
        <f t="shared" si="1"/>
        <v>14.842400000000001</v>
      </c>
      <c r="BM123" s="30">
        <f t="shared" si="1"/>
        <v>14.3499</v>
      </c>
      <c r="BN123" s="29">
        <f t="shared" si="1"/>
        <v>14.185733333333332</v>
      </c>
      <c r="BO123" s="85" t="str">
        <f t="shared" si="2"/>
        <v>$$$</v>
      </c>
      <c r="BP123" s="88" t="str">
        <f t="shared" si="311"/>
        <v>$$$</v>
      </c>
      <c r="BQ123" s="88" t="str">
        <f t="shared" si="4"/>
        <v>$$$</v>
      </c>
      <c r="BR123" s="88" t="str">
        <f t="shared" si="5"/>
        <v>$$$</v>
      </c>
      <c r="BS123" s="29" t="e">
        <f t="shared" si="318"/>
        <v>#N/A</v>
      </c>
      <c r="BT123" s="29" t="e">
        <f t="shared" si="318"/>
        <v>#N/A</v>
      </c>
      <c r="BU123" s="29" t="e">
        <f t="shared" si="318"/>
        <v>#N/A</v>
      </c>
      <c r="BV123" s="29" t="e">
        <f t="shared" si="318"/>
        <v>#N/A</v>
      </c>
      <c r="BW123" s="29" t="e">
        <f t="shared" si="318"/>
        <v>#N/A</v>
      </c>
      <c r="BX123" s="29" t="e">
        <f t="shared" si="318"/>
        <v>#N/A</v>
      </c>
      <c r="BY123" s="29" t="e">
        <f t="shared" si="318"/>
        <v>#N/A</v>
      </c>
      <c r="BZ123" s="29" t="e">
        <f t="shared" si="318"/>
        <v>#N/A</v>
      </c>
      <c r="CA123" s="29" t="e">
        <f t="shared" si="318"/>
        <v>#N/A</v>
      </c>
      <c r="CB123" s="29" t="e">
        <f t="shared" si="318"/>
        <v>#N/A</v>
      </c>
      <c r="CC123" s="29" t="e">
        <f t="shared" si="318"/>
        <v>#N/A</v>
      </c>
      <c r="CD123" s="29" t="e">
        <f t="shared" si="318"/>
        <v>#N/A</v>
      </c>
      <c r="CE123" s="6" t="str">
        <f t="shared" si="296"/>
        <v/>
      </c>
      <c r="CF123" s="27" t="e">
        <f>IF(AND(CI123,NOT(AD123)),LOOKUP(CF$5,{0,750,1500},H123:J123),"")</f>
        <v>#N/A</v>
      </c>
      <c r="CG123" s="6" t="str">
        <f t="shared" si="297"/>
        <v/>
      </c>
      <c r="CH123" t="e">
        <f t="shared" si="312"/>
        <v>#N/A</v>
      </c>
      <c r="CI123" t="e">
        <f t="shared" si="313"/>
        <v>#N/A</v>
      </c>
      <c r="CJ123" s="6" t="e">
        <f t="shared" si="11"/>
        <v>#N/A</v>
      </c>
      <c r="CK123" s="6">
        <f t="shared" si="12"/>
        <v>1</v>
      </c>
      <c r="CL123" s="6">
        <f t="shared" si="26"/>
        <v>1</v>
      </c>
      <c r="CM123" s="6">
        <f t="shared" si="13"/>
        <v>1</v>
      </c>
      <c r="CN123" s="6">
        <f t="shared" si="14"/>
        <v>1</v>
      </c>
      <c r="CO123" s="6">
        <f t="shared" si="15"/>
        <v>0</v>
      </c>
      <c r="CP123" s="6">
        <f t="shared" si="16"/>
        <v>1</v>
      </c>
      <c r="CQ123" s="6">
        <f t="shared" si="314"/>
        <v>1</v>
      </c>
      <c r="CR123" s="81" t="str">
        <f t="shared" si="17"/>
        <v/>
      </c>
      <c r="CS123">
        <f t="shared" si="315"/>
        <v>0</v>
      </c>
      <c r="CT123">
        <f t="shared" si="19"/>
        <v>150</v>
      </c>
      <c r="CU123" t="str">
        <f t="shared" si="29"/>
        <v/>
      </c>
      <c r="CV123" s="81">
        <f t="shared" si="316"/>
        <v>150</v>
      </c>
      <c r="CW123" s="81">
        <f>(CV123/25)^1.5*(Calculator!$BU$4/10000)*CW$5</f>
        <v>7.6432310260371077</v>
      </c>
      <c r="CX123" t="str">
        <f t="shared" si="317"/>
        <v>$150</v>
      </c>
    </row>
    <row r="124" spans="2:102" x14ac:dyDescent="0.25">
      <c r="B124" s="115" t="s">
        <v>233</v>
      </c>
      <c r="C124" s="13">
        <v>46316.611111111109</v>
      </c>
      <c r="D124">
        <v>38506</v>
      </c>
      <c r="E124" s="54" t="s">
        <v>237</v>
      </c>
      <c r="F124" s="54" t="s">
        <v>425</v>
      </c>
      <c r="G124" s="54" t="s">
        <v>2152</v>
      </c>
      <c r="H124" s="55">
        <v>16</v>
      </c>
      <c r="I124" s="55">
        <v>15.1</v>
      </c>
      <c r="J124" s="55">
        <v>14.6</v>
      </c>
      <c r="K124" s="54"/>
      <c r="L124" s="56" t="b">
        <v>0</v>
      </c>
      <c r="M124" s="56" t="b">
        <v>0</v>
      </c>
      <c r="N124" s="54">
        <v>1</v>
      </c>
      <c r="O124" s="54" t="s">
        <v>228</v>
      </c>
      <c r="P124" s="54">
        <v>22</v>
      </c>
      <c r="Q124" s="54">
        <v>13</v>
      </c>
      <c r="R124" s="54">
        <v>150</v>
      </c>
      <c r="S124" s="54" t="s">
        <v>430</v>
      </c>
      <c r="T124" s="54" t="s">
        <v>2153</v>
      </c>
      <c r="U124" s="54" t="s">
        <v>1673</v>
      </c>
      <c r="V124" s="54" t="s">
        <v>2138</v>
      </c>
      <c r="W124" s="54" t="b">
        <v>0</v>
      </c>
      <c r="X124" s="54"/>
      <c r="Y124" s="57" t="s">
        <v>2155</v>
      </c>
      <c r="Z124" s="54" t="s">
        <v>1593</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7.3320999999999997E-2</v>
      </c>
      <c r="BC124" s="60">
        <v>4.0599999999999996</v>
      </c>
      <c r="BD124" s="61">
        <v>6.8672999999999998E-2</v>
      </c>
      <c r="BE124" s="62" t="s">
        <v>293</v>
      </c>
      <c r="BF124" s="35">
        <f t="shared" si="0"/>
        <v>4.0600000000000005</v>
      </c>
      <c r="BG124" s="35">
        <f t="shared" si="0"/>
        <v>6.8672999999999998E-2</v>
      </c>
      <c r="BH124" s="35" t="str">
        <f t="shared" si="309"/>
        <v>Med</v>
      </c>
      <c r="BI124" s="110">
        <f t="shared" si="310"/>
        <v>0</v>
      </c>
      <c r="BJ124" s="83">
        <f>VLOOKUP($F124,REP_Info!$D$6:$H$250,5,FALSE)</f>
        <v>1.0129999999999999</v>
      </c>
      <c r="BK124" s="30">
        <f t="shared" si="1"/>
        <v>16.0014</v>
      </c>
      <c r="BL124" s="30">
        <f t="shared" si="1"/>
        <v>15.100400000000002</v>
      </c>
      <c r="BM124" s="30">
        <f t="shared" si="1"/>
        <v>14.649899999999999</v>
      </c>
      <c r="BN124" s="29">
        <f t="shared" si="1"/>
        <v>14.499733333333332</v>
      </c>
      <c r="BO124" s="85" t="str">
        <f t="shared" si="2"/>
        <v>$$$</v>
      </c>
      <c r="BP124" s="88" t="str">
        <f t="shared" si="311"/>
        <v>$$$</v>
      </c>
      <c r="BQ124" s="88" t="str">
        <f t="shared" si="4"/>
        <v>$$$</v>
      </c>
      <c r="BR124" s="88" t="str">
        <f t="shared" si="5"/>
        <v>$$$</v>
      </c>
      <c r="BS124" s="29" t="e">
        <f t="shared" si="318"/>
        <v>#N/A</v>
      </c>
      <c r="BT124" s="29" t="e">
        <f t="shared" si="318"/>
        <v>#N/A</v>
      </c>
      <c r="BU124" s="29" t="e">
        <f t="shared" si="318"/>
        <v>#N/A</v>
      </c>
      <c r="BV124" s="29" t="e">
        <f t="shared" si="318"/>
        <v>#N/A</v>
      </c>
      <c r="BW124" s="29" t="e">
        <f t="shared" si="318"/>
        <v>#N/A</v>
      </c>
      <c r="BX124" s="29" t="e">
        <f t="shared" si="318"/>
        <v>#N/A</v>
      </c>
      <c r="BY124" s="29" t="e">
        <f t="shared" si="318"/>
        <v>#N/A</v>
      </c>
      <c r="BZ124" s="29" t="e">
        <f t="shared" si="318"/>
        <v>#N/A</v>
      </c>
      <c r="CA124" s="29" t="e">
        <f t="shared" si="318"/>
        <v>#N/A</v>
      </c>
      <c r="CB124" s="29" t="e">
        <f t="shared" si="318"/>
        <v>#N/A</v>
      </c>
      <c r="CC124" s="29" t="e">
        <f t="shared" si="318"/>
        <v>#N/A</v>
      </c>
      <c r="CD124" s="29" t="e">
        <f t="shared" si="318"/>
        <v>#N/A</v>
      </c>
      <c r="CE124" s="6" t="str">
        <f t="shared" si="296"/>
        <v/>
      </c>
      <c r="CF124" s="27" t="e">
        <f>IF(AND(CI124,NOT(AD124)),LOOKUP(CF$5,{0,750,1500},H124:J124),"")</f>
        <v>#N/A</v>
      </c>
      <c r="CG124" s="6" t="str">
        <f t="shared" si="297"/>
        <v/>
      </c>
      <c r="CH124" t="e">
        <f t="shared" si="312"/>
        <v>#N/A</v>
      </c>
      <c r="CI124" t="e">
        <f t="shared" si="313"/>
        <v>#N/A</v>
      </c>
      <c r="CJ124" s="6" t="e">
        <f t="shared" si="11"/>
        <v>#N/A</v>
      </c>
      <c r="CK124" s="6">
        <f t="shared" si="12"/>
        <v>1</v>
      </c>
      <c r="CL124" s="6">
        <f t="shared" si="26"/>
        <v>1</v>
      </c>
      <c r="CM124" s="6">
        <f t="shared" si="13"/>
        <v>1</v>
      </c>
      <c r="CN124" s="6">
        <f t="shared" si="14"/>
        <v>1</v>
      </c>
      <c r="CO124" s="6">
        <f t="shared" si="15"/>
        <v>0</v>
      </c>
      <c r="CP124" s="6">
        <f t="shared" si="16"/>
        <v>1</v>
      </c>
      <c r="CQ124" s="6">
        <f t="shared" si="314"/>
        <v>1</v>
      </c>
      <c r="CR124" s="81" t="str">
        <f t="shared" si="17"/>
        <v/>
      </c>
      <c r="CS124">
        <f t="shared" si="315"/>
        <v>0</v>
      </c>
      <c r="CT124">
        <f t="shared" si="19"/>
        <v>150</v>
      </c>
      <c r="CU124" t="str">
        <f t="shared" si="29"/>
        <v/>
      </c>
      <c r="CV124" s="81">
        <f t="shared" si="316"/>
        <v>150</v>
      </c>
      <c r="CW124" s="81">
        <f>(CV124/25)^1.5*(Calculator!$BU$4/10000)*CW$5</f>
        <v>7.6432310260371077</v>
      </c>
      <c r="CX124" t="str">
        <f t="shared" si="317"/>
        <v>$150</v>
      </c>
    </row>
    <row r="125" spans="2:102" x14ac:dyDescent="0.25">
      <c r="B125" s="115" t="s">
        <v>233</v>
      </c>
      <c r="C125" s="13">
        <v>46316.611111111109</v>
      </c>
      <c r="D125">
        <v>16205</v>
      </c>
      <c r="E125" s="54" t="s">
        <v>235</v>
      </c>
      <c r="F125" s="54" t="s">
        <v>432</v>
      </c>
      <c r="G125" s="54" t="s">
        <v>1594</v>
      </c>
      <c r="H125" s="55">
        <v>14.7</v>
      </c>
      <c r="I125" s="55">
        <v>14.2</v>
      </c>
      <c r="J125" s="55">
        <v>13.900000000000002</v>
      </c>
      <c r="K125" s="54"/>
      <c r="L125" s="56" t="b">
        <v>0</v>
      </c>
      <c r="M125" s="56" t="b">
        <v>0</v>
      </c>
      <c r="N125" s="54">
        <v>1</v>
      </c>
      <c r="O125" s="54" t="s">
        <v>228</v>
      </c>
      <c r="P125" s="54">
        <v>22</v>
      </c>
      <c r="Q125" s="54">
        <v>12</v>
      </c>
      <c r="R125" s="54">
        <v>150</v>
      </c>
      <c r="S125" s="54" t="s">
        <v>433</v>
      </c>
      <c r="T125" s="54" t="s">
        <v>1653</v>
      </c>
      <c r="U125" s="54" t="s">
        <v>434</v>
      </c>
      <c r="V125" s="54" t="s">
        <v>2156</v>
      </c>
      <c r="W125" s="54" t="b">
        <v>0</v>
      </c>
      <c r="X125" s="54"/>
      <c r="Y125" s="57" t="s">
        <v>2157</v>
      </c>
      <c r="Z125" s="54" t="s">
        <v>1654</v>
      </c>
      <c r="AA125" s="54"/>
      <c r="AB125" s="54" t="s">
        <v>435</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7.1716000000000002E-2</v>
      </c>
      <c r="BC125" s="60"/>
      <c r="BD125" s="61"/>
      <c r="BE125" s="62" t="s">
        <v>293</v>
      </c>
      <c r="BF125" s="35">
        <f t="shared" si="0"/>
        <v>4.9000000000000004</v>
      </c>
      <c r="BG125" s="35">
        <f t="shared" si="0"/>
        <v>6.5333000000000002E-2</v>
      </c>
      <c r="BH125" s="35" t="str">
        <f t="shared" si="309"/>
        <v>Low</v>
      </c>
      <c r="BI125" s="110">
        <f t="shared" si="310"/>
        <v>0</v>
      </c>
      <c r="BJ125" s="83">
        <f>VLOOKUP($F125,REP_Info!$D$6:$H$250,5,FALSE)</f>
        <v>1.8160000000000001</v>
      </c>
      <c r="BK125" s="30">
        <f t="shared" si="1"/>
        <v>14.684899999999999</v>
      </c>
      <c r="BL125" s="30">
        <f t="shared" si="1"/>
        <v>14.194900000000002</v>
      </c>
      <c r="BM125" s="30">
        <f t="shared" si="1"/>
        <v>13.949900000000001</v>
      </c>
      <c r="BN125" s="29">
        <f t="shared" si="1"/>
        <v>13.868233333333334</v>
      </c>
      <c r="BO125" s="85" t="str">
        <f t="shared" si="2"/>
        <v>$$$</v>
      </c>
      <c r="BP125" s="88" t="str">
        <f t="shared" si="311"/>
        <v>$$$</v>
      </c>
      <c r="BQ125" s="88" t="str">
        <f t="shared" si="4"/>
        <v>$$$</v>
      </c>
      <c r="BR125" s="88" t="str">
        <f t="shared" si="5"/>
        <v>$$$</v>
      </c>
      <c r="BS125" s="29" t="e">
        <f t="shared" si="318"/>
        <v>#N/A</v>
      </c>
      <c r="BT125" s="29" t="e">
        <f t="shared" si="318"/>
        <v>#N/A</v>
      </c>
      <c r="BU125" s="29" t="e">
        <f t="shared" si="318"/>
        <v>#N/A</v>
      </c>
      <c r="BV125" s="29" t="e">
        <f t="shared" si="318"/>
        <v>#N/A</v>
      </c>
      <c r="BW125" s="29" t="e">
        <f t="shared" si="318"/>
        <v>#N/A</v>
      </c>
      <c r="BX125" s="29" t="e">
        <f t="shared" si="318"/>
        <v>#N/A</v>
      </c>
      <c r="BY125" s="29" t="e">
        <f t="shared" si="318"/>
        <v>#N/A</v>
      </c>
      <c r="BZ125" s="29" t="e">
        <f t="shared" si="318"/>
        <v>#N/A</v>
      </c>
      <c r="CA125" s="29" t="e">
        <f t="shared" si="318"/>
        <v>#N/A</v>
      </c>
      <c r="CB125" s="29" t="e">
        <f t="shared" si="318"/>
        <v>#N/A</v>
      </c>
      <c r="CC125" s="29" t="e">
        <f t="shared" si="318"/>
        <v>#N/A</v>
      </c>
      <c r="CD125" s="29" t="e">
        <f t="shared" si="318"/>
        <v>#N/A</v>
      </c>
      <c r="CE125" s="6" t="str">
        <f t="shared" si="296"/>
        <v/>
      </c>
      <c r="CF125" s="27" t="e">
        <f>IF(AND(CI125,NOT(AD125)),LOOKUP(CF$5,{0,750,1500},H125:J125),"")</f>
        <v>#N/A</v>
      </c>
      <c r="CG125" s="6" t="str">
        <f t="shared" si="297"/>
        <v/>
      </c>
      <c r="CH125" t="e">
        <f t="shared" si="312"/>
        <v>#N/A</v>
      </c>
      <c r="CI125" t="e">
        <f t="shared" si="313"/>
        <v>#N/A</v>
      </c>
      <c r="CJ125" s="6" t="e">
        <f t="shared" si="11"/>
        <v>#N/A</v>
      </c>
      <c r="CK125" s="6">
        <f t="shared" si="12"/>
        <v>1</v>
      </c>
      <c r="CL125" s="6">
        <f t="shared" si="26"/>
        <v>1</v>
      </c>
      <c r="CM125" s="6">
        <f t="shared" si="13"/>
        <v>1</v>
      </c>
      <c r="CN125" s="6">
        <f t="shared" si="14"/>
        <v>1</v>
      </c>
      <c r="CO125" s="6">
        <f t="shared" si="15"/>
        <v>1</v>
      </c>
      <c r="CP125" s="6">
        <f t="shared" si="16"/>
        <v>1</v>
      </c>
      <c r="CQ125" s="6">
        <f t="shared" si="314"/>
        <v>1</v>
      </c>
      <c r="CR125" s="81" t="str">
        <f t="shared" si="17"/>
        <v/>
      </c>
      <c r="CS125">
        <f t="shared" si="315"/>
        <v>0</v>
      </c>
      <c r="CT125">
        <f t="shared" si="19"/>
        <v>150</v>
      </c>
      <c r="CU125" t="str">
        <f t="shared" si="29"/>
        <v/>
      </c>
      <c r="CV125" s="81">
        <f t="shared" si="316"/>
        <v>150</v>
      </c>
      <c r="CW125" s="81">
        <f>(CV125/25)^1.5*(Calculator!$BU$4/10000)*CW$5</f>
        <v>7.6432310260371077</v>
      </c>
      <c r="CX125" t="str">
        <f t="shared" si="317"/>
        <v>$150</v>
      </c>
    </row>
    <row r="126" spans="2:102" x14ac:dyDescent="0.25">
      <c r="B126" s="115" t="s">
        <v>233</v>
      </c>
      <c r="C126" s="13">
        <v>46316.611111111109</v>
      </c>
      <c r="D126">
        <v>16206</v>
      </c>
      <c r="E126" s="54" t="s">
        <v>237</v>
      </c>
      <c r="F126" s="54" t="s">
        <v>432</v>
      </c>
      <c r="G126" s="54" t="s">
        <v>1595</v>
      </c>
      <c r="H126" s="55">
        <v>14.799999999999999</v>
      </c>
      <c r="I126" s="55">
        <v>14.399999999999999</v>
      </c>
      <c r="J126" s="55">
        <v>14.099999999999998</v>
      </c>
      <c r="K126" s="54"/>
      <c r="L126" s="56" t="b">
        <v>0</v>
      </c>
      <c r="M126" s="56" t="b">
        <v>0</v>
      </c>
      <c r="N126" s="54">
        <v>1</v>
      </c>
      <c r="O126" s="54" t="s">
        <v>228</v>
      </c>
      <c r="P126" s="54">
        <v>22</v>
      </c>
      <c r="Q126" s="54">
        <v>18</v>
      </c>
      <c r="R126" s="54">
        <v>180</v>
      </c>
      <c r="S126" s="54" t="s">
        <v>433</v>
      </c>
      <c r="T126" s="54" t="s">
        <v>1596</v>
      </c>
      <c r="U126" s="54" t="s">
        <v>434</v>
      </c>
      <c r="V126" s="54" t="s">
        <v>2156</v>
      </c>
      <c r="W126" s="54" t="b">
        <v>0</v>
      </c>
      <c r="X126" s="54"/>
      <c r="Y126" s="57" t="s">
        <v>2158</v>
      </c>
      <c r="Z126" s="54" t="s">
        <v>1597</v>
      </c>
      <c r="AA126" s="54"/>
      <c r="AB126" s="54" t="s">
        <v>435</v>
      </c>
      <c r="AC126" s="56" t="b">
        <v>1</v>
      </c>
      <c r="AD126" s="56" t="b">
        <v>0</v>
      </c>
      <c r="AE126" s="54" t="s">
        <v>302</v>
      </c>
      <c r="AF126" s="58">
        <v>46299</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7.0795999999999998E-2</v>
      </c>
      <c r="BC126" s="60"/>
      <c r="BD126" s="61"/>
      <c r="BE126" s="62" t="s">
        <v>293</v>
      </c>
      <c r="BF126" s="35">
        <f t="shared" si="0"/>
        <v>4.0600000000000005</v>
      </c>
      <c r="BG126" s="35">
        <f t="shared" si="0"/>
        <v>6.8672999999999998E-2</v>
      </c>
      <c r="BH126" s="35" t="str">
        <f t="shared" si="309"/>
        <v>Low</v>
      </c>
      <c r="BI126" s="110">
        <f t="shared" si="310"/>
        <v>0</v>
      </c>
      <c r="BJ126" s="83">
        <f>VLOOKUP($F126,REP_Info!$D$6:$H$250,5,FALSE)</f>
        <v>1.8160000000000001</v>
      </c>
      <c r="BK126" s="30">
        <f t="shared" si="1"/>
        <v>14.758899999999999</v>
      </c>
      <c r="BL126" s="30">
        <f t="shared" si="1"/>
        <v>14.3529</v>
      </c>
      <c r="BM126" s="30">
        <f t="shared" si="1"/>
        <v>14.149899999999999</v>
      </c>
      <c r="BN126" s="29">
        <f t="shared" si="1"/>
        <v>14.082233333333333</v>
      </c>
      <c r="BO126" s="85" t="str">
        <f t="shared" si="2"/>
        <v>$$$</v>
      </c>
      <c r="BP126" s="88" t="str">
        <f t="shared" si="311"/>
        <v>$$$</v>
      </c>
      <c r="BQ126" s="88" t="str">
        <f t="shared" si="4"/>
        <v>$$$</v>
      </c>
      <c r="BR126" s="88" t="str">
        <f t="shared" si="5"/>
        <v>$$$</v>
      </c>
      <c r="BS126" s="29" t="e">
        <f t="shared" si="318"/>
        <v>#N/A</v>
      </c>
      <c r="BT126" s="29" t="e">
        <f t="shared" si="318"/>
        <v>#N/A</v>
      </c>
      <c r="BU126" s="29" t="e">
        <f t="shared" si="318"/>
        <v>#N/A</v>
      </c>
      <c r="BV126" s="29" t="e">
        <f t="shared" si="318"/>
        <v>#N/A</v>
      </c>
      <c r="BW126" s="29" t="e">
        <f t="shared" si="318"/>
        <v>#N/A</v>
      </c>
      <c r="BX126" s="29" t="e">
        <f t="shared" si="318"/>
        <v>#N/A</v>
      </c>
      <c r="BY126" s="29" t="e">
        <f t="shared" si="318"/>
        <v>#N/A</v>
      </c>
      <c r="BZ126" s="29" t="e">
        <f t="shared" si="318"/>
        <v>#N/A</v>
      </c>
      <c r="CA126" s="29" t="e">
        <f t="shared" si="318"/>
        <v>#N/A</v>
      </c>
      <c r="CB126" s="29" t="e">
        <f t="shared" si="318"/>
        <v>#N/A</v>
      </c>
      <c r="CC126" s="29" t="e">
        <f t="shared" si="318"/>
        <v>#N/A</v>
      </c>
      <c r="CD126" s="29" t="e">
        <f t="shared" si="318"/>
        <v>#N/A</v>
      </c>
      <c r="CE126" s="6" t="str">
        <f t="shared" si="296"/>
        <v/>
      </c>
      <c r="CF126" s="27" t="e">
        <f>IF(AND(CI126,NOT(AD126)),LOOKUP(CF$5,{0,750,1500},H126:J126),"")</f>
        <v>#N/A</v>
      </c>
      <c r="CG126" s="6" t="str">
        <f t="shared" si="297"/>
        <v/>
      </c>
      <c r="CH126" t="e">
        <f t="shared" si="312"/>
        <v>#N/A</v>
      </c>
      <c r="CI126" t="e">
        <f t="shared" si="313"/>
        <v>#N/A</v>
      </c>
      <c r="CJ126" s="6" t="e">
        <f t="shared" si="11"/>
        <v>#N/A</v>
      </c>
      <c r="CK126" s="6">
        <f t="shared" si="12"/>
        <v>1</v>
      </c>
      <c r="CL126" s="6">
        <f t="shared" si="26"/>
        <v>1</v>
      </c>
      <c r="CM126" s="6">
        <f t="shared" si="13"/>
        <v>1</v>
      </c>
      <c r="CN126" s="6">
        <f t="shared" si="14"/>
        <v>1</v>
      </c>
      <c r="CO126" s="6">
        <f t="shared" si="15"/>
        <v>0</v>
      </c>
      <c r="CP126" s="6">
        <f t="shared" si="16"/>
        <v>1</v>
      </c>
      <c r="CQ126" s="6">
        <f t="shared" si="314"/>
        <v>1</v>
      </c>
      <c r="CR126" s="81" t="str">
        <f t="shared" si="17"/>
        <v/>
      </c>
      <c r="CS126">
        <f t="shared" si="315"/>
        <v>0</v>
      </c>
      <c r="CT126">
        <f t="shared" si="19"/>
        <v>180</v>
      </c>
      <c r="CU126" t="str">
        <f t="shared" si="29"/>
        <v/>
      </c>
      <c r="CV126" s="81">
        <f t="shared" si="316"/>
        <v>180</v>
      </c>
      <c r="CW126" s="81">
        <f>(CV126/25)^1.5*(Calculator!$BU$4/10000)*CW$5</f>
        <v>10.047288108441309</v>
      </c>
      <c r="CX126" t="str">
        <f t="shared" si="317"/>
        <v>$180</v>
      </c>
    </row>
    <row r="127" spans="2:102" x14ac:dyDescent="0.25">
      <c r="B127" s="115" t="s">
        <v>233</v>
      </c>
      <c r="C127" s="13">
        <v>46316.611111111109</v>
      </c>
      <c r="D127">
        <v>21516</v>
      </c>
      <c r="E127" s="54" t="s">
        <v>237</v>
      </c>
      <c r="F127" s="54" t="s">
        <v>432</v>
      </c>
      <c r="G127" s="54" t="s">
        <v>1594</v>
      </c>
      <c r="H127" s="55">
        <v>14.799999999999999</v>
      </c>
      <c r="I127" s="55">
        <v>14.399999999999999</v>
      </c>
      <c r="J127" s="55">
        <v>14.099999999999998</v>
      </c>
      <c r="K127" s="54"/>
      <c r="L127" s="56" t="b">
        <v>0</v>
      </c>
      <c r="M127" s="56" t="b">
        <v>0</v>
      </c>
      <c r="N127" s="54">
        <v>1</v>
      </c>
      <c r="O127" s="54" t="s">
        <v>228</v>
      </c>
      <c r="P127" s="54">
        <v>22</v>
      </c>
      <c r="Q127" s="54">
        <v>12</v>
      </c>
      <c r="R127" s="54">
        <v>150</v>
      </c>
      <c r="S127" s="54" t="s">
        <v>433</v>
      </c>
      <c r="T127" s="54" t="s">
        <v>1596</v>
      </c>
      <c r="U127" s="54" t="s">
        <v>434</v>
      </c>
      <c r="V127" s="54" t="s">
        <v>2156</v>
      </c>
      <c r="W127" s="54" t="b">
        <v>0</v>
      </c>
      <c r="X127" s="54"/>
      <c r="Y127" s="57" t="s">
        <v>2159</v>
      </c>
      <c r="Z127" s="54" t="s">
        <v>1598</v>
      </c>
      <c r="AA127" s="54"/>
      <c r="AB127" s="54" t="s">
        <v>435</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7.0795999999999998E-2</v>
      </c>
      <c r="BC127" s="60"/>
      <c r="BD127" s="61"/>
      <c r="BE127" s="62" t="s">
        <v>293</v>
      </c>
      <c r="BF127" s="35">
        <f t="shared" si="0"/>
        <v>4.0600000000000005</v>
      </c>
      <c r="BG127" s="35">
        <f t="shared" si="0"/>
        <v>6.8672999999999998E-2</v>
      </c>
      <c r="BH127" s="35" t="str">
        <f t="shared" si="309"/>
        <v>Low</v>
      </c>
      <c r="BI127" s="110">
        <f t="shared" si="310"/>
        <v>0</v>
      </c>
      <c r="BJ127" s="83">
        <f>VLOOKUP($F127,REP_Info!$D$6:$H$250,5,FALSE)</f>
        <v>1.8160000000000001</v>
      </c>
      <c r="BK127" s="30">
        <f t="shared" si="1"/>
        <v>14.758899999999999</v>
      </c>
      <c r="BL127" s="30">
        <f t="shared" si="1"/>
        <v>14.3529</v>
      </c>
      <c r="BM127" s="30">
        <f t="shared" si="1"/>
        <v>14.149899999999999</v>
      </c>
      <c r="BN127" s="29">
        <f t="shared" si="1"/>
        <v>14.082233333333333</v>
      </c>
      <c r="BO127" s="85" t="str">
        <f t="shared" si="2"/>
        <v>$$$</v>
      </c>
      <c r="BP127" s="88" t="str">
        <f t="shared" si="311"/>
        <v>$$$</v>
      </c>
      <c r="BQ127" s="88" t="str">
        <f t="shared" si="4"/>
        <v>$$$</v>
      </c>
      <c r="BR127" s="88" t="str">
        <f t="shared" si="5"/>
        <v>$$$</v>
      </c>
      <c r="BS127" s="29" t="e">
        <f t="shared" si="318"/>
        <v>#N/A</v>
      </c>
      <c r="BT127" s="29" t="e">
        <f t="shared" si="318"/>
        <v>#N/A</v>
      </c>
      <c r="BU127" s="29" t="e">
        <f t="shared" si="318"/>
        <v>#N/A</v>
      </c>
      <c r="BV127" s="29" t="e">
        <f t="shared" si="318"/>
        <v>#N/A</v>
      </c>
      <c r="BW127" s="29" t="e">
        <f t="shared" si="318"/>
        <v>#N/A</v>
      </c>
      <c r="BX127" s="29" t="e">
        <f t="shared" si="318"/>
        <v>#N/A</v>
      </c>
      <c r="BY127" s="29" t="e">
        <f t="shared" si="318"/>
        <v>#N/A</v>
      </c>
      <c r="BZ127" s="29" t="e">
        <f t="shared" si="318"/>
        <v>#N/A</v>
      </c>
      <c r="CA127" s="29" t="e">
        <f t="shared" si="318"/>
        <v>#N/A</v>
      </c>
      <c r="CB127" s="29" t="e">
        <f t="shared" si="318"/>
        <v>#N/A</v>
      </c>
      <c r="CC127" s="29" t="e">
        <f t="shared" si="318"/>
        <v>#N/A</v>
      </c>
      <c r="CD127" s="29" t="e">
        <f t="shared" si="318"/>
        <v>#N/A</v>
      </c>
      <c r="CE127" s="6" t="str">
        <f t="shared" si="296"/>
        <v/>
      </c>
      <c r="CF127" s="27" t="e">
        <f>IF(AND(CI127,NOT(AD127)),LOOKUP(CF$5,{0,750,1500},H127:J127),"")</f>
        <v>#N/A</v>
      </c>
      <c r="CG127" s="6" t="str">
        <f t="shared" si="297"/>
        <v/>
      </c>
      <c r="CH127" t="e">
        <f t="shared" si="312"/>
        <v>#N/A</v>
      </c>
      <c r="CI127" t="e">
        <f t="shared" si="313"/>
        <v>#N/A</v>
      </c>
      <c r="CJ127" s="6" t="e">
        <f t="shared" si="11"/>
        <v>#N/A</v>
      </c>
      <c r="CK127" s="6">
        <f t="shared" si="12"/>
        <v>1</v>
      </c>
      <c r="CL127" s="6">
        <f t="shared" si="26"/>
        <v>1</v>
      </c>
      <c r="CM127" s="6">
        <f t="shared" si="13"/>
        <v>1</v>
      </c>
      <c r="CN127" s="6">
        <f t="shared" si="14"/>
        <v>1</v>
      </c>
      <c r="CO127" s="6">
        <f t="shared" si="15"/>
        <v>1</v>
      </c>
      <c r="CP127" s="6">
        <f t="shared" si="16"/>
        <v>1</v>
      </c>
      <c r="CQ127" s="6">
        <f t="shared" si="314"/>
        <v>1</v>
      </c>
      <c r="CR127" s="81" t="str">
        <f t="shared" si="17"/>
        <v/>
      </c>
      <c r="CS127">
        <f t="shared" si="315"/>
        <v>0</v>
      </c>
      <c r="CT127">
        <f t="shared" si="19"/>
        <v>150</v>
      </c>
      <c r="CU127" t="str">
        <f t="shared" si="29"/>
        <v/>
      </c>
      <c r="CV127" s="81">
        <f t="shared" si="316"/>
        <v>150</v>
      </c>
      <c r="CW127" s="81">
        <f>(CV127/25)^1.5*(Calculator!$BU$4/10000)*CW$5</f>
        <v>7.6432310260371077</v>
      </c>
      <c r="CX127" t="str">
        <f t="shared" si="317"/>
        <v>$150</v>
      </c>
    </row>
    <row r="128" spans="2:102" x14ac:dyDescent="0.25">
      <c r="B128" s="115" t="s">
        <v>233</v>
      </c>
      <c r="C128" s="13">
        <v>46316.611111111109</v>
      </c>
      <c r="D128">
        <v>21784</v>
      </c>
      <c r="E128" s="54" t="s">
        <v>235</v>
      </c>
      <c r="F128" s="54" t="s">
        <v>432</v>
      </c>
      <c r="G128" s="54" t="s">
        <v>1599</v>
      </c>
      <c r="H128" s="55">
        <v>15</v>
      </c>
      <c r="I128" s="55">
        <v>14.499999999999998</v>
      </c>
      <c r="J128" s="55">
        <v>14.2</v>
      </c>
      <c r="K128" s="54"/>
      <c r="L128" s="56" t="b">
        <v>0</v>
      </c>
      <c r="M128" s="56" t="b">
        <v>0</v>
      </c>
      <c r="N128" s="54">
        <v>1</v>
      </c>
      <c r="O128" s="54" t="s">
        <v>228</v>
      </c>
      <c r="P128" s="54">
        <v>22</v>
      </c>
      <c r="Q128" s="54">
        <v>24</v>
      </c>
      <c r="R128" s="54">
        <v>295</v>
      </c>
      <c r="S128" s="54" t="s">
        <v>433</v>
      </c>
      <c r="T128" s="54" t="s">
        <v>1653</v>
      </c>
      <c r="U128" s="54" t="s">
        <v>434</v>
      </c>
      <c r="V128" s="54" t="s">
        <v>2156</v>
      </c>
      <c r="W128" s="54" t="b">
        <v>0</v>
      </c>
      <c r="X128" s="54"/>
      <c r="Y128" s="57" t="s">
        <v>2160</v>
      </c>
      <c r="Z128" s="54" t="s">
        <v>1654</v>
      </c>
      <c r="AA128" s="54"/>
      <c r="AB128" s="54" t="s">
        <v>435</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7.4716000000000005E-2</v>
      </c>
      <c r="BC128" s="60"/>
      <c r="BD128" s="61"/>
      <c r="BE128" s="62" t="s">
        <v>293</v>
      </c>
      <c r="BF128" s="35">
        <f t="shared" si="0"/>
        <v>4.9000000000000004</v>
      </c>
      <c r="BG128" s="35">
        <f t="shared" si="0"/>
        <v>6.5333000000000002E-2</v>
      </c>
      <c r="BH128" s="35" t="str">
        <f t="shared" si="309"/>
        <v>Low</v>
      </c>
      <c r="BI128" s="110">
        <f t="shared" si="310"/>
        <v>0</v>
      </c>
      <c r="BJ128" s="83">
        <f>VLOOKUP($F128,REP_Info!$D$6:$H$250,5,FALSE)</f>
        <v>1.8160000000000001</v>
      </c>
      <c r="BK128" s="30">
        <f t="shared" si="1"/>
        <v>14.9849</v>
      </c>
      <c r="BL128" s="30">
        <f t="shared" si="1"/>
        <v>14.494900000000001</v>
      </c>
      <c r="BM128" s="30">
        <f t="shared" si="1"/>
        <v>14.249900000000002</v>
      </c>
      <c r="BN128" s="29">
        <f t="shared" si="1"/>
        <v>14.168233333333335</v>
      </c>
      <c r="BO128" s="85" t="str">
        <f t="shared" si="2"/>
        <v>$$$</v>
      </c>
      <c r="BP128" s="88" t="str">
        <f t="shared" si="311"/>
        <v>$$$</v>
      </c>
      <c r="BQ128" s="88" t="str">
        <f t="shared" si="4"/>
        <v>$$$</v>
      </c>
      <c r="BR128" s="88" t="str">
        <f t="shared" si="5"/>
        <v>$$$</v>
      </c>
      <c r="BS128" s="29" t="e">
        <f t="shared" si="318"/>
        <v>#N/A</v>
      </c>
      <c r="BT128" s="29" t="e">
        <f t="shared" si="318"/>
        <v>#N/A</v>
      </c>
      <c r="BU128" s="29" t="e">
        <f t="shared" si="318"/>
        <v>#N/A</v>
      </c>
      <c r="BV128" s="29" t="e">
        <f t="shared" si="318"/>
        <v>#N/A</v>
      </c>
      <c r="BW128" s="29" t="e">
        <f t="shared" si="318"/>
        <v>#N/A</v>
      </c>
      <c r="BX128" s="29" t="e">
        <f t="shared" si="318"/>
        <v>#N/A</v>
      </c>
      <c r="BY128" s="29" t="e">
        <f t="shared" si="318"/>
        <v>#N/A</v>
      </c>
      <c r="BZ128" s="29" t="e">
        <f t="shared" si="318"/>
        <v>#N/A</v>
      </c>
      <c r="CA128" s="29" t="e">
        <f t="shared" si="318"/>
        <v>#N/A</v>
      </c>
      <c r="CB128" s="29" t="e">
        <f t="shared" si="318"/>
        <v>#N/A</v>
      </c>
      <c r="CC128" s="29" t="e">
        <f t="shared" si="318"/>
        <v>#N/A</v>
      </c>
      <c r="CD128" s="29" t="e">
        <f t="shared" si="318"/>
        <v>#N/A</v>
      </c>
      <c r="CE128" s="6" t="str">
        <f t="shared" si="296"/>
        <v/>
      </c>
      <c r="CF128" s="27" t="e">
        <f>IF(AND(CI128,NOT(AD128)),LOOKUP(CF$5,{0,750,1500},H128:J128),"")</f>
        <v>#N/A</v>
      </c>
      <c r="CG128" s="6" t="str">
        <f t="shared" si="297"/>
        <v/>
      </c>
      <c r="CH128" t="e">
        <f t="shared" si="312"/>
        <v>#N/A</v>
      </c>
      <c r="CI128" t="e">
        <f t="shared" si="313"/>
        <v>#N/A</v>
      </c>
      <c r="CJ128" s="6" t="e">
        <f t="shared" si="11"/>
        <v>#N/A</v>
      </c>
      <c r="CK128" s="6">
        <f t="shared" si="12"/>
        <v>1</v>
      </c>
      <c r="CL128" s="6">
        <f t="shared" si="26"/>
        <v>1</v>
      </c>
      <c r="CM128" s="6">
        <f t="shared" si="13"/>
        <v>1</v>
      </c>
      <c r="CN128" s="6">
        <f t="shared" si="14"/>
        <v>1</v>
      </c>
      <c r="CO128" s="6">
        <f t="shared" si="15"/>
        <v>0</v>
      </c>
      <c r="CP128" s="6">
        <f t="shared" si="16"/>
        <v>1</v>
      </c>
      <c r="CQ128" s="6">
        <f t="shared" si="314"/>
        <v>1</v>
      </c>
      <c r="CR128" s="81" t="str">
        <f t="shared" si="17"/>
        <v/>
      </c>
      <c r="CS128">
        <f t="shared" si="315"/>
        <v>0</v>
      </c>
      <c r="CT128">
        <f t="shared" si="19"/>
        <v>295</v>
      </c>
      <c r="CU128" t="str">
        <f t="shared" si="29"/>
        <v/>
      </c>
      <c r="CV128" s="81">
        <f t="shared" si="316"/>
        <v>295</v>
      </c>
      <c r="CW128" s="81">
        <f>(CV128/25)^1.5*(Calculator!$BU$4/10000)*CW$5</f>
        <v>21.080122109139459</v>
      </c>
      <c r="CX128" t="str">
        <f t="shared" si="317"/>
        <v>$295</v>
      </c>
    </row>
    <row r="129" spans="2:102" x14ac:dyDescent="0.25">
      <c r="B129" s="115" t="s">
        <v>233</v>
      </c>
      <c r="C129" s="13">
        <v>46317.620833333334</v>
      </c>
      <c r="D129">
        <v>21786</v>
      </c>
      <c r="E129" s="54" t="s">
        <v>237</v>
      </c>
      <c r="F129" s="54" t="s">
        <v>432</v>
      </c>
      <c r="G129" s="54" t="s">
        <v>1599</v>
      </c>
      <c r="H129" s="55">
        <v>15.2</v>
      </c>
      <c r="I129" s="55">
        <v>14.799999999999999</v>
      </c>
      <c r="J129" s="55">
        <v>14.499999999999998</v>
      </c>
      <c r="K129" s="54"/>
      <c r="L129" s="56" t="b">
        <v>0</v>
      </c>
      <c r="M129" s="56" t="b">
        <v>0</v>
      </c>
      <c r="N129" s="54">
        <v>1</v>
      </c>
      <c r="O129" s="54" t="s">
        <v>228</v>
      </c>
      <c r="P129" s="54">
        <v>22</v>
      </c>
      <c r="Q129" s="54">
        <v>24</v>
      </c>
      <c r="R129" s="54">
        <v>295</v>
      </c>
      <c r="S129" s="54" t="s">
        <v>433</v>
      </c>
      <c r="T129" s="54" t="s">
        <v>1596</v>
      </c>
      <c r="U129" s="54" t="s">
        <v>434</v>
      </c>
      <c r="V129" s="54" t="s">
        <v>2156</v>
      </c>
      <c r="W129" s="54" t="b">
        <v>0</v>
      </c>
      <c r="X129" s="54"/>
      <c r="Y129" s="57" t="s">
        <v>2212</v>
      </c>
      <c r="Z129" s="54" t="s">
        <v>1598</v>
      </c>
      <c r="AA129" s="54"/>
      <c r="AB129" s="54" t="s">
        <v>435</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7.4796000000000001E-2</v>
      </c>
      <c r="BC129" s="60"/>
      <c r="BD129" s="61"/>
      <c r="BE129" s="62" t="s">
        <v>293</v>
      </c>
      <c r="BF129" s="35">
        <f t="shared" si="0"/>
        <v>4.0600000000000005</v>
      </c>
      <c r="BG129" s="35">
        <f t="shared" si="0"/>
        <v>6.8672999999999998E-2</v>
      </c>
      <c r="BH129" s="35" t="str">
        <f t="shared" si="309"/>
        <v>Low</v>
      </c>
      <c r="BI129" s="110">
        <f t="shared" si="310"/>
        <v>0</v>
      </c>
      <c r="BJ129" s="83">
        <f>VLOOKUP($F129,REP_Info!$D$6:$H$250,5,FALSE)</f>
        <v>1.8160000000000001</v>
      </c>
      <c r="BK129" s="30">
        <f t="shared" si="1"/>
        <v>15.158899999999999</v>
      </c>
      <c r="BL129" s="30">
        <f t="shared" si="1"/>
        <v>14.7529</v>
      </c>
      <c r="BM129" s="30">
        <f t="shared" si="1"/>
        <v>14.549900000000001</v>
      </c>
      <c r="BN129" s="29">
        <f t="shared" si="1"/>
        <v>14.482233333333332</v>
      </c>
      <c r="BO129" s="85" t="str">
        <f t="shared" si="2"/>
        <v>$$$</v>
      </c>
      <c r="BP129" s="88" t="str">
        <f t="shared" si="311"/>
        <v>$$$</v>
      </c>
      <c r="BQ129" s="88" t="str">
        <f t="shared" si="4"/>
        <v>$$$</v>
      </c>
      <c r="BR129" s="88" t="str">
        <f t="shared" si="5"/>
        <v>$$$</v>
      </c>
      <c r="BS129" s="29" t="e">
        <f t="shared" si="318"/>
        <v>#N/A</v>
      </c>
      <c r="BT129" s="29" t="e">
        <f t="shared" si="318"/>
        <v>#N/A</v>
      </c>
      <c r="BU129" s="29" t="e">
        <f t="shared" si="318"/>
        <v>#N/A</v>
      </c>
      <c r="BV129" s="29" t="e">
        <f t="shared" si="318"/>
        <v>#N/A</v>
      </c>
      <c r="BW129" s="29" t="e">
        <f t="shared" si="318"/>
        <v>#N/A</v>
      </c>
      <c r="BX129" s="29" t="e">
        <f t="shared" si="318"/>
        <v>#N/A</v>
      </c>
      <c r="BY129" s="29" t="e">
        <f t="shared" si="318"/>
        <v>#N/A</v>
      </c>
      <c r="BZ129" s="29" t="e">
        <f t="shared" si="318"/>
        <v>#N/A</v>
      </c>
      <c r="CA129" s="29" t="e">
        <f t="shared" si="318"/>
        <v>#N/A</v>
      </c>
      <c r="CB129" s="29" t="e">
        <f t="shared" si="318"/>
        <v>#N/A</v>
      </c>
      <c r="CC129" s="29" t="e">
        <f t="shared" si="318"/>
        <v>#N/A</v>
      </c>
      <c r="CD129" s="29" t="e">
        <f t="shared" si="318"/>
        <v>#N/A</v>
      </c>
      <c r="CE129" s="6" t="str">
        <f t="shared" si="296"/>
        <v/>
      </c>
      <c r="CF129" s="27" t="e">
        <f>IF(AND(CI129,NOT(AD129)),LOOKUP(CF$5,{0,750,1500},H129:J129),"")</f>
        <v>#N/A</v>
      </c>
      <c r="CG129" s="6" t="str">
        <f t="shared" si="297"/>
        <v/>
      </c>
      <c r="CH129" t="e">
        <f t="shared" si="312"/>
        <v>#N/A</v>
      </c>
      <c r="CI129" t="e">
        <f t="shared" si="313"/>
        <v>#N/A</v>
      </c>
      <c r="CJ129" s="6" t="e">
        <f t="shared" si="11"/>
        <v>#N/A</v>
      </c>
      <c r="CK129" s="6">
        <f t="shared" si="12"/>
        <v>1</v>
      </c>
      <c r="CL129" s="6">
        <f t="shared" si="26"/>
        <v>1</v>
      </c>
      <c r="CM129" s="6">
        <f t="shared" si="13"/>
        <v>1</v>
      </c>
      <c r="CN129" s="6">
        <f t="shared" si="14"/>
        <v>1</v>
      </c>
      <c r="CO129" s="6">
        <f t="shared" si="15"/>
        <v>0</v>
      </c>
      <c r="CP129" s="6">
        <f t="shared" si="16"/>
        <v>1</v>
      </c>
      <c r="CQ129" s="6">
        <f t="shared" si="314"/>
        <v>1</v>
      </c>
      <c r="CR129" s="81" t="str">
        <f t="shared" si="17"/>
        <v/>
      </c>
      <c r="CS129">
        <f t="shared" si="315"/>
        <v>0</v>
      </c>
      <c r="CT129">
        <f t="shared" si="19"/>
        <v>295</v>
      </c>
      <c r="CU129" t="str">
        <f t="shared" si="29"/>
        <v/>
      </c>
      <c r="CV129" s="81">
        <f t="shared" si="316"/>
        <v>295</v>
      </c>
      <c r="CW129" s="81">
        <f>(CV129/25)^1.5*(Calculator!$BU$4/10000)*CW$5</f>
        <v>21.080122109139459</v>
      </c>
      <c r="CX129" t="str">
        <f t="shared" si="317"/>
        <v>$295</v>
      </c>
    </row>
    <row r="130" spans="2:102" x14ac:dyDescent="0.25">
      <c r="B130" s="115" t="s">
        <v>233</v>
      </c>
      <c r="C130" s="13">
        <v>46316.611111111109</v>
      </c>
      <c r="D130">
        <v>26355</v>
      </c>
      <c r="E130" s="54" t="s">
        <v>235</v>
      </c>
      <c r="F130" s="54" t="s">
        <v>432</v>
      </c>
      <c r="G130" s="54" t="s">
        <v>1595</v>
      </c>
      <c r="H130" s="55">
        <v>14.7</v>
      </c>
      <c r="I130" s="55">
        <v>14.2</v>
      </c>
      <c r="J130" s="55">
        <v>13.900000000000002</v>
      </c>
      <c r="K130" s="54"/>
      <c r="L130" s="56" t="b">
        <v>0</v>
      </c>
      <c r="M130" s="56" t="b">
        <v>0</v>
      </c>
      <c r="N130" s="54">
        <v>1</v>
      </c>
      <c r="O130" s="54" t="s">
        <v>228</v>
      </c>
      <c r="P130" s="54">
        <v>22</v>
      </c>
      <c r="Q130" s="54">
        <v>18</v>
      </c>
      <c r="R130" s="54">
        <v>180</v>
      </c>
      <c r="S130" s="54" t="s">
        <v>433</v>
      </c>
      <c r="T130" s="54" t="s">
        <v>1596</v>
      </c>
      <c r="U130" s="54" t="s">
        <v>434</v>
      </c>
      <c r="V130" s="54" t="s">
        <v>2156</v>
      </c>
      <c r="W130" s="54" t="b">
        <v>0</v>
      </c>
      <c r="X130" s="54"/>
      <c r="Y130" s="57" t="s">
        <v>2161</v>
      </c>
      <c r="Z130" s="54" t="s">
        <v>1597</v>
      </c>
      <c r="AA130" s="54"/>
      <c r="AB130" s="54" t="s">
        <v>435</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7.1716000000000002E-2</v>
      </c>
      <c r="BC130" s="60"/>
      <c r="BD130" s="61"/>
      <c r="BE130" s="62" t="s">
        <v>293</v>
      </c>
      <c r="BF130" s="35">
        <f t="shared" si="0"/>
        <v>4.9000000000000004</v>
      </c>
      <c r="BG130" s="35">
        <f t="shared" si="0"/>
        <v>6.5333000000000002E-2</v>
      </c>
      <c r="BH130" s="35" t="str">
        <f t="shared" si="309"/>
        <v>Low</v>
      </c>
      <c r="BI130" s="110">
        <f t="shared" si="310"/>
        <v>0</v>
      </c>
      <c r="BJ130" s="83">
        <f>VLOOKUP($F130,REP_Info!$D$6:$H$250,5,FALSE)</f>
        <v>1.8160000000000001</v>
      </c>
      <c r="BK130" s="30">
        <f t="shared" si="1"/>
        <v>14.684899999999999</v>
      </c>
      <c r="BL130" s="30">
        <f t="shared" si="1"/>
        <v>14.194900000000002</v>
      </c>
      <c r="BM130" s="30">
        <f t="shared" si="1"/>
        <v>13.949900000000001</v>
      </c>
      <c r="BN130" s="29">
        <f t="shared" si="1"/>
        <v>13.868233333333334</v>
      </c>
      <c r="BO130" s="85" t="str">
        <f t="shared" si="2"/>
        <v>$$$</v>
      </c>
      <c r="BP130" s="88" t="str">
        <f t="shared" si="311"/>
        <v>$$$</v>
      </c>
      <c r="BQ130" s="88" t="str">
        <f t="shared" si="4"/>
        <v>$$$</v>
      </c>
      <c r="BR130" s="88" t="str">
        <f t="shared" si="5"/>
        <v>$$$</v>
      </c>
      <c r="BS130" s="29" t="e">
        <f t="shared" si="318"/>
        <v>#N/A</v>
      </c>
      <c r="BT130" s="29" t="e">
        <f t="shared" si="318"/>
        <v>#N/A</v>
      </c>
      <c r="BU130" s="29" t="e">
        <f t="shared" si="318"/>
        <v>#N/A</v>
      </c>
      <c r="BV130" s="29" t="e">
        <f t="shared" si="318"/>
        <v>#N/A</v>
      </c>
      <c r="BW130" s="29" t="e">
        <f t="shared" si="318"/>
        <v>#N/A</v>
      </c>
      <c r="BX130" s="29" t="e">
        <f t="shared" si="318"/>
        <v>#N/A</v>
      </c>
      <c r="BY130" s="29" t="e">
        <f t="shared" si="318"/>
        <v>#N/A</v>
      </c>
      <c r="BZ130" s="29" t="e">
        <f t="shared" si="318"/>
        <v>#N/A</v>
      </c>
      <c r="CA130" s="29" t="e">
        <f t="shared" si="318"/>
        <v>#N/A</v>
      </c>
      <c r="CB130" s="29" t="e">
        <f t="shared" si="318"/>
        <v>#N/A</v>
      </c>
      <c r="CC130" s="29" t="e">
        <f t="shared" si="318"/>
        <v>#N/A</v>
      </c>
      <c r="CD130" s="29" t="e">
        <f t="shared" si="318"/>
        <v>#N/A</v>
      </c>
      <c r="CE130" s="6" t="str">
        <f t="shared" si="296"/>
        <v/>
      </c>
      <c r="CF130" s="27" t="e">
        <f>IF(AND(CI130,NOT(AD130)),LOOKUP(CF$5,{0,750,1500},H130:J130),"")</f>
        <v>#N/A</v>
      </c>
      <c r="CG130" s="6" t="str">
        <f t="shared" si="297"/>
        <v/>
      </c>
      <c r="CH130" t="e">
        <f t="shared" si="312"/>
        <v>#N/A</v>
      </c>
      <c r="CI130" t="e">
        <f t="shared" si="313"/>
        <v>#N/A</v>
      </c>
      <c r="CJ130" s="6" t="e">
        <f t="shared" si="11"/>
        <v>#N/A</v>
      </c>
      <c r="CK130" s="6">
        <f t="shared" si="12"/>
        <v>1</v>
      </c>
      <c r="CL130" s="6">
        <f t="shared" si="26"/>
        <v>1</v>
      </c>
      <c r="CM130" s="6">
        <f t="shared" si="13"/>
        <v>1</v>
      </c>
      <c r="CN130" s="6">
        <f t="shared" si="14"/>
        <v>1</v>
      </c>
      <c r="CO130" s="6">
        <f t="shared" si="15"/>
        <v>0</v>
      </c>
      <c r="CP130" s="6">
        <f t="shared" si="16"/>
        <v>1</v>
      </c>
      <c r="CQ130" s="6">
        <f t="shared" si="314"/>
        <v>1</v>
      </c>
      <c r="CR130" s="81" t="str">
        <f t="shared" si="17"/>
        <v/>
      </c>
      <c r="CS130">
        <f t="shared" si="315"/>
        <v>0</v>
      </c>
      <c r="CT130">
        <f t="shared" si="19"/>
        <v>180</v>
      </c>
      <c r="CU130" t="str">
        <f t="shared" si="29"/>
        <v/>
      </c>
      <c r="CV130" s="81">
        <f t="shared" si="316"/>
        <v>180</v>
      </c>
      <c r="CW130" s="81">
        <f>(CV130/25)^1.5*(Calculator!$BU$4/10000)*CW$5</f>
        <v>10.047288108441309</v>
      </c>
      <c r="CX130" t="str">
        <f t="shared" si="317"/>
        <v>$180</v>
      </c>
    </row>
    <row r="131" spans="2:102" x14ac:dyDescent="0.25">
      <c r="B131" s="115" t="s">
        <v>233</v>
      </c>
      <c r="C131" s="13">
        <v>46317.620833333334</v>
      </c>
      <c r="D131">
        <v>31740</v>
      </c>
      <c r="E131" s="54" t="s">
        <v>235</v>
      </c>
      <c r="F131" s="54" t="s">
        <v>432</v>
      </c>
      <c r="G131" s="54" t="s">
        <v>2162</v>
      </c>
      <c r="H131" s="55">
        <v>13.900000000000002</v>
      </c>
      <c r="I131" s="55">
        <v>13.4</v>
      </c>
      <c r="J131" s="55">
        <v>13.100000000000001</v>
      </c>
      <c r="K131" s="54"/>
      <c r="L131" s="56" t="b">
        <v>0</v>
      </c>
      <c r="M131" s="56" t="b">
        <v>0</v>
      </c>
      <c r="N131" s="54">
        <v>1</v>
      </c>
      <c r="O131" s="54" t="s">
        <v>228</v>
      </c>
      <c r="P131" s="54">
        <v>22</v>
      </c>
      <c r="Q131" s="54">
        <v>8</v>
      </c>
      <c r="R131" s="54">
        <v>75</v>
      </c>
      <c r="S131" s="54" t="s">
        <v>433</v>
      </c>
      <c r="T131" s="54" t="s">
        <v>1653</v>
      </c>
      <c r="U131" s="54" t="s">
        <v>434</v>
      </c>
      <c r="V131" s="54" t="s">
        <v>2156</v>
      </c>
      <c r="W131" s="54" t="b">
        <v>0</v>
      </c>
      <c r="X131" s="54"/>
      <c r="Y131" s="57" t="s">
        <v>2213</v>
      </c>
      <c r="Z131" s="54" t="s">
        <v>1597</v>
      </c>
      <c r="AA131" s="54"/>
      <c r="AB131" s="54" t="s">
        <v>435</v>
      </c>
      <c r="AC131" s="56" t="b">
        <v>1</v>
      </c>
      <c r="AD131" s="56" t="b">
        <v>0</v>
      </c>
      <c r="AE131" s="54" t="s">
        <v>302</v>
      </c>
      <c r="AF131" s="58">
        <v>46299</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6.3715999999999995E-2</v>
      </c>
      <c r="BC131" s="60"/>
      <c r="BD131" s="61"/>
      <c r="BE131" s="62" t="s">
        <v>293</v>
      </c>
      <c r="BF131" s="35">
        <f t="shared" si="0"/>
        <v>4.9000000000000004</v>
      </c>
      <c r="BG131" s="35">
        <f t="shared" si="0"/>
        <v>6.5333000000000002E-2</v>
      </c>
      <c r="BH131" s="35" t="str">
        <f t="shared" si="309"/>
        <v>Low</v>
      </c>
      <c r="BI131" s="110">
        <f t="shared" si="310"/>
        <v>0</v>
      </c>
      <c r="BJ131" s="83">
        <f>VLOOKUP($F131,REP_Info!$D$6:$H$250,5,FALSE)</f>
        <v>1.8160000000000001</v>
      </c>
      <c r="BK131" s="30">
        <f t="shared" si="1"/>
        <v>13.8849</v>
      </c>
      <c r="BL131" s="30">
        <f t="shared" si="1"/>
        <v>13.394900000000002</v>
      </c>
      <c r="BM131" s="30">
        <f t="shared" si="1"/>
        <v>13.149899999999999</v>
      </c>
      <c r="BN131" s="29">
        <f t="shared" si="1"/>
        <v>13.068233333333335</v>
      </c>
      <c r="BO131" s="85" t="str">
        <f t="shared" si="2"/>
        <v>$$$</v>
      </c>
      <c r="BP131" s="88" t="str">
        <f t="shared" si="311"/>
        <v>$$$</v>
      </c>
      <c r="BQ131" s="88" t="str">
        <f t="shared" si="4"/>
        <v>$$$</v>
      </c>
      <c r="BR131" s="88" t="str">
        <f t="shared" si="5"/>
        <v>$$$</v>
      </c>
      <c r="BS131" s="29" t="e">
        <f t="shared" si="318"/>
        <v>#N/A</v>
      </c>
      <c r="BT131" s="29" t="e">
        <f t="shared" si="318"/>
        <v>#N/A</v>
      </c>
      <c r="BU131" s="29" t="e">
        <f t="shared" si="318"/>
        <v>#N/A</v>
      </c>
      <c r="BV131" s="29" t="e">
        <f t="shared" si="318"/>
        <v>#N/A</v>
      </c>
      <c r="BW131" s="29" t="e">
        <f t="shared" si="318"/>
        <v>#N/A</v>
      </c>
      <c r="BX131" s="29" t="e">
        <f t="shared" si="318"/>
        <v>#N/A</v>
      </c>
      <c r="BY131" s="29" t="e">
        <f t="shared" si="318"/>
        <v>#N/A</v>
      </c>
      <c r="BZ131" s="29" t="e">
        <f t="shared" si="318"/>
        <v>#N/A</v>
      </c>
      <c r="CA131" s="29" t="e">
        <f t="shared" si="318"/>
        <v>#N/A</v>
      </c>
      <c r="CB131" s="29" t="e">
        <f t="shared" si="318"/>
        <v>#N/A</v>
      </c>
      <c r="CC131" s="29" t="e">
        <f t="shared" si="318"/>
        <v>#N/A</v>
      </c>
      <c r="CD131" s="29" t="e">
        <f t="shared" si="318"/>
        <v>#N/A</v>
      </c>
      <c r="CE131" s="6" t="str">
        <f t="shared" si="296"/>
        <v/>
      </c>
      <c r="CF131" s="27" t="e">
        <f>IF(AND(CI131,NOT(AD131)),LOOKUP(CF$5,{0,750,1500},H131:J131),"")</f>
        <v>#N/A</v>
      </c>
      <c r="CG131" s="6" t="str">
        <f t="shared" si="297"/>
        <v/>
      </c>
      <c r="CH131" t="e">
        <f t="shared" si="312"/>
        <v>#N/A</v>
      </c>
      <c r="CI131" t="e">
        <f t="shared" si="313"/>
        <v>#N/A</v>
      </c>
      <c r="CJ131" s="6" t="e">
        <f t="shared" si="11"/>
        <v>#N/A</v>
      </c>
      <c r="CK131" s="6">
        <f t="shared" si="12"/>
        <v>1</v>
      </c>
      <c r="CL131" s="6">
        <f t="shared" si="26"/>
        <v>1</v>
      </c>
      <c r="CM131" s="6">
        <f t="shared" si="13"/>
        <v>1</v>
      </c>
      <c r="CN131" s="6">
        <f t="shared" si="14"/>
        <v>0</v>
      </c>
      <c r="CO131" s="6">
        <f t="shared" si="15"/>
        <v>1</v>
      </c>
      <c r="CP131" s="6">
        <f t="shared" si="16"/>
        <v>1</v>
      </c>
      <c r="CQ131" s="6">
        <f t="shared" si="314"/>
        <v>1</v>
      </c>
      <c r="CR131" s="81" t="str">
        <f t="shared" si="17"/>
        <v/>
      </c>
      <c r="CS131">
        <f t="shared" si="315"/>
        <v>9</v>
      </c>
      <c r="CT131">
        <f t="shared" si="19"/>
        <v>75</v>
      </c>
      <c r="CU131" t="str">
        <f t="shared" si="29"/>
        <v/>
      </c>
      <c r="CV131" s="81">
        <f t="shared" si="316"/>
        <v>75</v>
      </c>
      <c r="CW131" s="81">
        <f>(CV131/25)^1.5*(Calculator!$BU$4/10000)*CW$5</f>
        <v>2.7022902443431254</v>
      </c>
      <c r="CX131" t="str">
        <f t="shared" si="317"/>
        <v>$75</v>
      </c>
    </row>
    <row r="132" spans="2:102" x14ac:dyDescent="0.25">
      <c r="B132" s="115" t="s">
        <v>233</v>
      </c>
      <c r="C132" s="13">
        <v>46317.620833333334</v>
      </c>
      <c r="D132">
        <v>31741</v>
      </c>
      <c r="E132" s="54" t="s">
        <v>237</v>
      </c>
      <c r="F132" s="54" t="s">
        <v>432</v>
      </c>
      <c r="G132" s="54" t="s">
        <v>2162</v>
      </c>
      <c r="H132" s="55">
        <v>14.2</v>
      </c>
      <c r="I132" s="55">
        <v>13.8</v>
      </c>
      <c r="J132" s="55">
        <v>13.5</v>
      </c>
      <c r="K132" s="54"/>
      <c r="L132" s="56" t="b">
        <v>0</v>
      </c>
      <c r="M132" s="56" t="b">
        <v>0</v>
      </c>
      <c r="N132" s="54">
        <v>1</v>
      </c>
      <c r="O132" s="54" t="s">
        <v>228</v>
      </c>
      <c r="P132" s="54">
        <v>22</v>
      </c>
      <c r="Q132" s="54">
        <v>8</v>
      </c>
      <c r="R132" s="54">
        <v>75</v>
      </c>
      <c r="S132" s="54" t="s">
        <v>433</v>
      </c>
      <c r="T132" s="54" t="s">
        <v>1653</v>
      </c>
      <c r="U132" s="54" t="s">
        <v>434</v>
      </c>
      <c r="V132" s="54" t="s">
        <v>2156</v>
      </c>
      <c r="W132" s="54" t="b">
        <v>0</v>
      </c>
      <c r="X132" s="54"/>
      <c r="Y132" s="57" t="s">
        <v>2163</v>
      </c>
      <c r="Z132" s="54" t="s">
        <v>1597</v>
      </c>
      <c r="AA132" s="54"/>
      <c r="AB132" s="54" t="s">
        <v>435</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6.4796000000000006E-2</v>
      </c>
      <c r="BC132" s="60"/>
      <c r="BD132" s="61"/>
      <c r="BE132" s="62" t="s">
        <v>293</v>
      </c>
      <c r="BF132" s="35">
        <f t="shared" si="0"/>
        <v>4.0600000000000005</v>
      </c>
      <c r="BG132" s="35">
        <f t="shared" si="0"/>
        <v>6.8672999999999998E-2</v>
      </c>
      <c r="BH132" s="35" t="str">
        <f t="shared" si="309"/>
        <v>Low</v>
      </c>
      <c r="BI132" s="110">
        <f t="shared" si="310"/>
        <v>0</v>
      </c>
      <c r="BJ132" s="83">
        <f>VLOOKUP($F132,REP_Info!$D$6:$H$250,5,FALSE)</f>
        <v>1.8160000000000001</v>
      </c>
      <c r="BK132" s="30">
        <f t="shared" si="1"/>
        <v>14.158899999999999</v>
      </c>
      <c r="BL132" s="30">
        <f t="shared" si="1"/>
        <v>13.7529</v>
      </c>
      <c r="BM132" s="30">
        <f t="shared" si="1"/>
        <v>13.549900000000001</v>
      </c>
      <c r="BN132" s="29">
        <f t="shared" si="1"/>
        <v>13.482233333333332</v>
      </c>
      <c r="BO132" s="85" t="str">
        <f t="shared" si="2"/>
        <v>$$$</v>
      </c>
      <c r="BP132" s="88" t="str">
        <f t="shared" si="311"/>
        <v>$$$</v>
      </c>
      <c r="BQ132" s="88" t="str">
        <f t="shared" si="4"/>
        <v>$$$</v>
      </c>
      <c r="BR132" s="88" t="str">
        <f t="shared" si="5"/>
        <v>$$$</v>
      </c>
      <c r="BS132" s="29" t="e">
        <f t="shared" si="318"/>
        <v>#N/A</v>
      </c>
      <c r="BT132" s="29" t="e">
        <f t="shared" si="318"/>
        <v>#N/A</v>
      </c>
      <c r="BU132" s="29" t="e">
        <f t="shared" si="318"/>
        <v>#N/A</v>
      </c>
      <c r="BV132" s="29" t="e">
        <f t="shared" si="318"/>
        <v>#N/A</v>
      </c>
      <c r="BW132" s="29" t="e">
        <f t="shared" si="318"/>
        <v>#N/A</v>
      </c>
      <c r="BX132" s="29" t="e">
        <f t="shared" si="318"/>
        <v>#N/A</v>
      </c>
      <c r="BY132" s="29" t="e">
        <f t="shared" si="318"/>
        <v>#N/A</v>
      </c>
      <c r="BZ132" s="29" t="e">
        <f t="shared" si="318"/>
        <v>#N/A</v>
      </c>
      <c r="CA132" s="29" t="e">
        <f t="shared" si="318"/>
        <v>#N/A</v>
      </c>
      <c r="CB132" s="29" t="e">
        <f t="shared" si="318"/>
        <v>#N/A</v>
      </c>
      <c r="CC132" s="29" t="e">
        <f t="shared" si="318"/>
        <v>#N/A</v>
      </c>
      <c r="CD132" s="29" t="e">
        <f t="shared" si="318"/>
        <v>#N/A</v>
      </c>
      <c r="CE132" s="6" t="str">
        <f t="shared" si="296"/>
        <v/>
      </c>
      <c r="CF132" s="27" t="e">
        <f>IF(AND(CI132,NOT(AD132)),LOOKUP(CF$5,{0,750,1500},H132:J132),"")</f>
        <v>#N/A</v>
      </c>
      <c r="CG132" s="6" t="str">
        <f t="shared" si="297"/>
        <v/>
      </c>
      <c r="CH132" t="e">
        <f t="shared" si="312"/>
        <v>#N/A</v>
      </c>
      <c r="CI132" t="e">
        <f t="shared" si="313"/>
        <v>#N/A</v>
      </c>
      <c r="CJ132" s="6" t="e">
        <f t="shared" si="11"/>
        <v>#N/A</v>
      </c>
      <c r="CK132" s="6">
        <f t="shared" si="12"/>
        <v>1</v>
      </c>
      <c r="CL132" s="6">
        <f t="shared" si="26"/>
        <v>1</v>
      </c>
      <c r="CM132" s="6">
        <f t="shared" si="13"/>
        <v>1</v>
      </c>
      <c r="CN132" s="6">
        <f t="shared" si="14"/>
        <v>0</v>
      </c>
      <c r="CO132" s="6">
        <f t="shared" si="15"/>
        <v>1</v>
      </c>
      <c r="CP132" s="6">
        <f t="shared" si="16"/>
        <v>1</v>
      </c>
      <c r="CQ132" s="6">
        <f t="shared" si="314"/>
        <v>1</v>
      </c>
      <c r="CR132" s="81" t="str">
        <f t="shared" si="17"/>
        <v/>
      </c>
      <c r="CS132">
        <f t="shared" si="315"/>
        <v>9</v>
      </c>
      <c r="CT132">
        <f t="shared" si="19"/>
        <v>75</v>
      </c>
      <c r="CU132" t="str">
        <f t="shared" si="29"/>
        <v/>
      </c>
      <c r="CV132" s="81">
        <f t="shared" si="316"/>
        <v>75</v>
      </c>
      <c r="CW132" s="81">
        <f>(CV132/25)^1.5*(Calculator!$BU$4/10000)*CW$5</f>
        <v>2.7022902443431254</v>
      </c>
      <c r="CX132" t="str">
        <f t="shared" si="317"/>
        <v>$75</v>
      </c>
    </row>
    <row r="133" spans="2:102" x14ac:dyDescent="0.25">
      <c r="B133" s="115" t="s">
        <v>233</v>
      </c>
      <c r="C133" s="13">
        <v>46316.611111111109</v>
      </c>
      <c r="D133">
        <v>37204</v>
      </c>
      <c r="E133" s="54" t="s">
        <v>235</v>
      </c>
      <c r="F133" s="54" t="s">
        <v>432</v>
      </c>
      <c r="G133" s="54" t="s">
        <v>1600</v>
      </c>
      <c r="H133" s="55">
        <v>14.7</v>
      </c>
      <c r="I133" s="55">
        <v>14.2</v>
      </c>
      <c r="J133" s="55">
        <v>13.900000000000002</v>
      </c>
      <c r="K133" s="54"/>
      <c r="L133" s="56" t="b">
        <v>0</v>
      </c>
      <c r="M133" s="56" t="b">
        <v>0</v>
      </c>
      <c r="N133" s="54">
        <v>1</v>
      </c>
      <c r="O133" s="54" t="s">
        <v>228</v>
      </c>
      <c r="P133" s="54">
        <v>22</v>
      </c>
      <c r="Q133" s="54">
        <v>11</v>
      </c>
      <c r="R133" s="54">
        <v>95</v>
      </c>
      <c r="S133" s="54" t="s">
        <v>433</v>
      </c>
      <c r="T133" s="54"/>
      <c r="U133" s="54" t="s">
        <v>434</v>
      </c>
      <c r="V133" s="54" t="s">
        <v>2156</v>
      </c>
      <c r="W133" s="54" t="b">
        <v>0</v>
      </c>
      <c r="X133" s="54"/>
      <c r="Y133" s="57" t="s">
        <v>2164</v>
      </c>
      <c r="Z133" s="54" t="s">
        <v>1597</v>
      </c>
      <c r="AA133" s="54"/>
      <c r="AB133" s="54" t="s">
        <v>435</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7.1716000000000002E-2</v>
      </c>
      <c r="BC133" s="60"/>
      <c r="BD133" s="61"/>
      <c r="BE133" s="62" t="s">
        <v>293</v>
      </c>
      <c r="BF133" s="35">
        <f t="shared" si="0"/>
        <v>4.9000000000000004</v>
      </c>
      <c r="BG133" s="35">
        <f t="shared" si="0"/>
        <v>6.5333000000000002E-2</v>
      </c>
      <c r="BH133" s="35" t="str">
        <f t="shared" si="309"/>
        <v>Low</v>
      </c>
      <c r="BI133" s="110">
        <f t="shared" si="310"/>
        <v>0</v>
      </c>
      <c r="BJ133" s="83">
        <f>VLOOKUP($F133,REP_Info!$D$6:$H$250,5,FALSE)</f>
        <v>1.8160000000000001</v>
      </c>
      <c r="BK133" s="30">
        <f t="shared" si="1"/>
        <v>14.684899999999999</v>
      </c>
      <c r="BL133" s="30">
        <f t="shared" si="1"/>
        <v>14.194900000000002</v>
      </c>
      <c r="BM133" s="30">
        <f t="shared" si="1"/>
        <v>13.949900000000001</v>
      </c>
      <c r="BN133" s="29">
        <f t="shared" si="1"/>
        <v>13.868233333333334</v>
      </c>
      <c r="BO133" s="85" t="str">
        <f t="shared" si="2"/>
        <v>$$$</v>
      </c>
      <c r="BP133" s="88" t="str">
        <f t="shared" si="311"/>
        <v>$$$</v>
      </c>
      <c r="BQ133" s="88" t="str">
        <f t="shared" si="4"/>
        <v>$$$</v>
      </c>
      <c r="BR133" s="88" t="str">
        <f t="shared" si="5"/>
        <v>$$$</v>
      </c>
      <c r="BS133" s="29" t="e">
        <f t="shared" si="318"/>
        <v>#N/A</v>
      </c>
      <c r="BT133" s="29" t="e">
        <f t="shared" si="318"/>
        <v>#N/A</v>
      </c>
      <c r="BU133" s="29" t="e">
        <f t="shared" si="318"/>
        <v>#N/A</v>
      </c>
      <c r="BV133" s="29" t="e">
        <f t="shared" si="318"/>
        <v>#N/A</v>
      </c>
      <c r="BW133" s="29" t="e">
        <f t="shared" si="318"/>
        <v>#N/A</v>
      </c>
      <c r="BX133" s="29" t="e">
        <f t="shared" si="318"/>
        <v>#N/A</v>
      </c>
      <c r="BY133" s="29" t="e">
        <f t="shared" si="318"/>
        <v>#N/A</v>
      </c>
      <c r="BZ133" s="29" t="e">
        <f t="shared" si="318"/>
        <v>#N/A</v>
      </c>
      <c r="CA133" s="29" t="e">
        <f t="shared" si="318"/>
        <v>#N/A</v>
      </c>
      <c r="CB133" s="29" t="e">
        <f t="shared" si="318"/>
        <v>#N/A</v>
      </c>
      <c r="CC133" s="29" t="e">
        <f t="shared" si="318"/>
        <v>#N/A</v>
      </c>
      <c r="CD133" s="29" t="e">
        <f t="shared" si="318"/>
        <v>#N/A</v>
      </c>
      <c r="CE133" s="6" t="str">
        <f t="shared" si="296"/>
        <v/>
      </c>
      <c r="CF133" s="27" t="e">
        <f>IF(AND(CI133,NOT(AD133)),LOOKUP(CF$5,{0,750,1500},H133:J133),"")</f>
        <v>#N/A</v>
      </c>
      <c r="CG133" s="6" t="str">
        <f t="shared" si="297"/>
        <v/>
      </c>
      <c r="CH133" t="e">
        <f t="shared" si="312"/>
        <v>#N/A</v>
      </c>
      <c r="CI133" t="e">
        <f t="shared" si="313"/>
        <v>#N/A</v>
      </c>
      <c r="CJ133" s="6" t="e">
        <f t="shared" si="11"/>
        <v>#N/A</v>
      </c>
      <c r="CK133" s="6">
        <f t="shared" si="12"/>
        <v>1</v>
      </c>
      <c r="CL133" s="6">
        <f t="shared" si="26"/>
        <v>1</v>
      </c>
      <c r="CM133" s="6">
        <f t="shared" si="13"/>
        <v>1</v>
      </c>
      <c r="CN133" s="6">
        <f t="shared" si="14"/>
        <v>0</v>
      </c>
      <c r="CO133" s="6">
        <f t="shared" si="15"/>
        <v>1</v>
      </c>
      <c r="CP133" s="6">
        <f t="shared" si="16"/>
        <v>1</v>
      </c>
      <c r="CQ133" s="6">
        <f t="shared" si="314"/>
        <v>1</v>
      </c>
      <c r="CR133" s="81" t="str">
        <f t="shared" si="17"/>
        <v/>
      </c>
      <c r="CS133">
        <f t="shared" si="315"/>
        <v>1.6363636363636349</v>
      </c>
      <c r="CT133">
        <f t="shared" si="19"/>
        <v>95</v>
      </c>
      <c r="CU133" t="str">
        <f t="shared" si="29"/>
        <v/>
      </c>
      <c r="CV133" s="81">
        <f t="shared" si="316"/>
        <v>95</v>
      </c>
      <c r="CW133" s="81">
        <f>(CV133/25)^1.5*(Calculator!$BU$4/10000)*CW$5</f>
        <v>3.8523479486358254</v>
      </c>
      <c r="CX133" t="str">
        <f t="shared" si="317"/>
        <v>$95</v>
      </c>
    </row>
    <row r="134" spans="2:102" x14ac:dyDescent="0.25">
      <c r="B134" s="115" t="s">
        <v>233</v>
      </c>
      <c r="C134" s="13">
        <v>46316.611111111109</v>
      </c>
      <c r="D134">
        <v>37206</v>
      </c>
      <c r="E134" s="54" t="s">
        <v>237</v>
      </c>
      <c r="F134" s="54" t="s">
        <v>432</v>
      </c>
      <c r="G134" s="54" t="s">
        <v>1600</v>
      </c>
      <c r="H134" s="55">
        <v>14.799999999999999</v>
      </c>
      <c r="I134" s="55">
        <v>14.399999999999999</v>
      </c>
      <c r="J134" s="55">
        <v>14.099999999999998</v>
      </c>
      <c r="K134" s="54"/>
      <c r="L134" s="56" t="b">
        <v>0</v>
      </c>
      <c r="M134" s="56" t="b">
        <v>0</v>
      </c>
      <c r="N134" s="54">
        <v>1</v>
      </c>
      <c r="O134" s="54" t="s">
        <v>228</v>
      </c>
      <c r="P134" s="54">
        <v>22</v>
      </c>
      <c r="Q134" s="54">
        <v>11</v>
      </c>
      <c r="R134" s="54">
        <v>95</v>
      </c>
      <c r="S134" s="54" t="s">
        <v>433</v>
      </c>
      <c r="T134" s="54"/>
      <c r="U134" s="54" t="s">
        <v>434</v>
      </c>
      <c r="V134" s="54" t="s">
        <v>2156</v>
      </c>
      <c r="W134" s="54" t="b">
        <v>0</v>
      </c>
      <c r="X134" s="54"/>
      <c r="Y134" s="57" t="s">
        <v>2165</v>
      </c>
      <c r="Z134" s="54" t="s">
        <v>1597</v>
      </c>
      <c r="AA134" s="54"/>
      <c r="AB134" s="54" t="s">
        <v>435</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7.0795999999999998E-2</v>
      </c>
      <c r="BC134" s="60"/>
      <c r="BD134" s="61"/>
      <c r="BE134" s="62" t="s">
        <v>293</v>
      </c>
      <c r="BF134" s="35">
        <f t="shared" si="0"/>
        <v>4.0600000000000005</v>
      </c>
      <c r="BG134" s="35">
        <f t="shared" si="0"/>
        <v>6.8672999999999998E-2</v>
      </c>
      <c r="BH134" s="35" t="str">
        <f t="shared" si="309"/>
        <v>Low</v>
      </c>
      <c r="BI134" s="110">
        <f t="shared" si="310"/>
        <v>0</v>
      </c>
      <c r="BJ134" s="83">
        <f>VLOOKUP($F134,REP_Info!$D$6:$H$250,5,FALSE)</f>
        <v>1.8160000000000001</v>
      </c>
      <c r="BK134" s="30">
        <f t="shared" si="1"/>
        <v>14.758899999999999</v>
      </c>
      <c r="BL134" s="30">
        <f t="shared" si="1"/>
        <v>14.3529</v>
      </c>
      <c r="BM134" s="30">
        <f t="shared" si="1"/>
        <v>14.149899999999999</v>
      </c>
      <c r="BN134" s="29">
        <f t="shared" si="1"/>
        <v>14.082233333333333</v>
      </c>
      <c r="BO134" s="85" t="str">
        <f t="shared" si="2"/>
        <v>$$$</v>
      </c>
      <c r="BP134" s="88" t="str">
        <f t="shared" si="311"/>
        <v>$$$</v>
      </c>
      <c r="BQ134" s="88" t="str">
        <f t="shared" si="4"/>
        <v>$$$</v>
      </c>
      <c r="BR134" s="88" t="str">
        <f t="shared" si="5"/>
        <v>$$$</v>
      </c>
      <c r="BS134" s="29" t="e">
        <f t="shared" si="318"/>
        <v>#N/A</v>
      </c>
      <c r="BT134" s="29" t="e">
        <f t="shared" si="318"/>
        <v>#N/A</v>
      </c>
      <c r="BU134" s="29" t="e">
        <f t="shared" si="318"/>
        <v>#N/A</v>
      </c>
      <c r="BV134" s="29" t="e">
        <f t="shared" si="318"/>
        <v>#N/A</v>
      </c>
      <c r="BW134" s="29" t="e">
        <f t="shared" si="318"/>
        <v>#N/A</v>
      </c>
      <c r="BX134" s="29" t="e">
        <f t="shared" si="318"/>
        <v>#N/A</v>
      </c>
      <c r="BY134" s="29" t="e">
        <f t="shared" si="318"/>
        <v>#N/A</v>
      </c>
      <c r="BZ134" s="29" t="e">
        <f t="shared" si="318"/>
        <v>#N/A</v>
      </c>
      <c r="CA134" s="29" t="e">
        <f t="shared" si="318"/>
        <v>#N/A</v>
      </c>
      <c r="CB134" s="29" t="e">
        <f t="shared" si="318"/>
        <v>#N/A</v>
      </c>
      <c r="CC134" s="29" t="e">
        <f t="shared" si="318"/>
        <v>#N/A</v>
      </c>
      <c r="CD134" s="29" t="e">
        <f t="shared" si="318"/>
        <v>#N/A</v>
      </c>
      <c r="CE134" s="6" t="str">
        <f t="shared" si="296"/>
        <v/>
      </c>
      <c r="CF134" s="27" t="e">
        <f>IF(AND(CI134,NOT(AD134)),LOOKUP(CF$5,{0,750,1500},H134:J134),"")</f>
        <v>#N/A</v>
      </c>
      <c r="CG134" s="6" t="str">
        <f t="shared" si="297"/>
        <v/>
      </c>
      <c r="CH134" t="e">
        <f t="shared" si="312"/>
        <v>#N/A</v>
      </c>
      <c r="CI134" t="e">
        <f t="shared" si="313"/>
        <v>#N/A</v>
      </c>
      <c r="CJ134" s="6" t="e">
        <f t="shared" si="11"/>
        <v>#N/A</v>
      </c>
      <c r="CK134" s="6">
        <f t="shared" si="12"/>
        <v>1</v>
      </c>
      <c r="CL134" s="6">
        <f t="shared" si="26"/>
        <v>1</v>
      </c>
      <c r="CM134" s="6">
        <f t="shared" si="13"/>
        <v>1</v>
      </c>
      <c r="CN134" s="6">
        <f t="shared" si="14"/>
        <v>0</v>
      </c>
      <c r="CO134" s="6">
        <f t="shared" si="15"/>
        <v>1</v>
      </c>
      <c r="CP134" s="6">
        <f t="shared" si="16"/>
        <v>1</v>
      </c>
      <c r="CQ134" s="6">
        <f t="shared" si="314"/>
        <v>1</v>
      </c>
      <c r="CR134" s="81" t="str">
        <f t="shared" si="17"/>
        <v/>
      </c>
      <c r="CS134">
        <f t="shared" si="315"/>
        <v>1.6363636363636349</v>
      </c>
      <c r="CT134">
        <f t="shared" si="19"/>
        <v>95</v>
      </c>
      <c r="CU134" t="str">
        <f t="shared" si="29"/>
        <v/>
      </c>
      <c r="CV134" s="81">
        <f t="shared" si="316"/>
        <v>95</v>
      </c>
      <c r="CW134" s="81">
        <f>(CV134/25)^1.5*(Calculator!$BU$4/10000)*CW$5</f>
        <v>3.8523479486358254</v>
      </c>
      <c r="CX134" t="str">
        <f t="shared" si="317"/>
        <v>$95</v>
      </c>
    </row>
    <row r="135" spans="2:102" x14ac:dyDescent="0.25">
      <c r="B135" s="115" t="s">
        <v>233</v>
      </c>
      <c r="C135" s="13">
        <v>46321.660416666666</v>
      </c>
      <c r="D135">
        <v>34902</v>
      </c>
      <c r="E135" s="54" t="s">
        <v>235</v>
      </c>
      <c r="F135" s="54" t="s">
        <v>436</v>
      </c>
      <c r="G135" s="54" t="s">
        <v>437</v>
      </c>
      <c r="H135" s="55">
        <v>11.899999999999999</v>
      </c>
      <c r="I135" s="55">
        <v>11.899999999999999</v>
      </c>
      <c r="J135" s="55">
        <v>12</v>
      </c>
      <c r="K135" s="54"/>
      <c r="L135" s="56" t="b">
        <v>0</v>
      </c>
      <c r="M135" s="56" t="b">
        <v>0</v>
      </c>
      <c r="N135" s="54">
        <v>1</v>
      </c>
      <c r="O135" s="54" t="s">
        <v>228</v>
      </c>
      <c r="P135" s="54">
        <v>100</v>
      </c>
      <c r="Q135" s="54">
        <v>12</v>
      </c>
      <c r="R135" s="54" t="s">
        <v>438</v>
      </c>
      <c r="S135" s="54" t="s">
        <v>1484</v>
      </c>
      <c r="T135" s="54" t="s">
        <v>439</v>
      </c>
      <c r="U135" s="54" t="s">
        <v>440</v>
      </c>
      <c r="V135" s="54" t="s">
        <v>441</v>
      </c>
      <c r="W135" s="54" t="b">
        <v>0</v>
      </c>
      <c r="X135" s="54"/>
      <c r="Y135" s="57" t="s">
        <v>442</v>
      </c>
      <c r="Z135" s="54" t="s">
        <v>1485</v>
      </c>
      <c r="AA135" s="54"/>
      <c r="AB135" s="54" t="s">
        <v>443</v>
      </c>
      <c r="AC135" s="56" t="b">
        <v>1</v>
      </c>
      <c r="AD135" s="56" t="b">
        <v>0</v>
      </c>
      <c r="AE135" s="54" t="s">
        <v>302</v>
      </c>
      <c r="AF135" s="58">
        <v>46321</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5.4260000000000003E-2</v>
      </c>
      <c r="BC135" s="60">
        <v>4.9000000000000004</v>
      </c>
      <c r="BD135" s="61">
        <v>6.5333000000000002E-2</v>
      </c>
      <c r="BE135" s="62" t="s">
        <v>293</v>
      </c>
      <c r="BF135" s="35">
        <f t="shared" si="0"/>
        <v>4.9000000000000004</v>
      </c>
      <c r="BG135" s="35">
        <f t="shared" si="0"/>
        <v>6.5333000000000002E-2</v>
      </c>
      <c r="BH135" s="35" t="str">
        <f t="shared" si="309"/>
        <v>Low</v>
      </c>
      <c r="BI135" s="110">
        <f t="shared" si="310"/>
        <v>0</v>
      </c>
      <c r="BJ135" s="83">
        <f>VLOOKUP($F135,REP_Info!$D$6:$H$250,5,FALSE)</f>
        <v>1.5649999999999999</v>
      </c>
      <c r="BK135" s="30">
        <f t="shared" si="1"/>
        <v>11.939299999999999</v>
      </c>
      <c r="BL135" s="30">
        <f t="shared" si="1"/>
        <v>11.949299999999999</v>
      </c>
      <c r="BM135" s="30">
        <f t="shared" si="1"/>
        <v>11.954300000000002</v>
      </c>
      <c r="BN135" s="29">
        <f t="shared" si="1"/>
        <v>11.955966666666665</v>
      </c>
      <c r="BO135" s="85" t="str">
        <f t="shared" si="2"/>
        <v>$$$</v>
      </c>
      <c r="BP135" s="88" t="str">
        <f t="shared" si="311"/>
        <v>$$$</v>
      </c>
      <c r="BQ135" s="88" t="str">
        <f t="shared" si="4"/>
        <v>$$$</v>
      </c>
      <c r="BR135" s="88" t="str">
        <f t="shared" si="5"/>
        <v>$$$</v>
      </c>
      <c r="BS135" s="29" t="e">
        <f t="shared" si="318"/>
        <v>#N/A</v>
      </c>
      <c r="BT135" s="29" t="e">
        <f t="shared" si="318"/>
        <v>#N/A</v>
      </c>
      <c r="BU135" s="29" t="e">
        <f t="shared" si="318"/>
        <v>#N/A</v>
      </c>
      <c r="BV135" s="29" t="e">
        <f t="shared" si="318"/>
        <v>#N/A</v>
      </c>
      <c r="BW135" s="29" t="e">
        <f t="shared" si="318"/>
        <v>#N/A</v>
      </c>
      <c r="BX135" s="29" t="e">
        <f t="shared" si="318"/>
        <v>#N/A</v>
      </c>
      <c r="BY135" s="29" t="e">
        <f t="shared" si="318"/>
        <v>#N/A</v>
      </c>
      <c r="BZ135" s="29" t="e">
        <f t="shared" si="318"/>
        <v>#N/A</v>
      </c>
      <c r="CA135" s="29" t="e">
        <f t="shared" si="318"/>
        <v>#N/A</v>
      </c>
      <c r="CB135" s="29" t="e">
        <f t="shared" si="318"/>
        <v>#N/A</v>
      </c>
      <c r="CC135" s="29" t="e">
        <f t="shared" si="318"/>
        <v>#N/A</v>
      </c>
      <c r="CD135" s="29" t="e">
        <f t="shared" si="318"/>
        <v>#N/A</v>
      </c>
      <c r="CE135" s="6" t="str">
        <f t="shared" si="296"/>
        <v/>
      </c>
      <c r="CF135" s="27" t="e">
        <f>IF(AND(CI135,NOT(AD135)),LOOKUP(CF$5,{0,750,1500},H135:J135),"")</f>
        <v>#N/A</v>
      </c>
      <c r="CG135" s="6" t="str">
        <f t="shared" si="297"/>
        <v/>
      </c>
      <c r="CH135" t="e">
        <f t="shared" si="312"/>
        <v>#N/A</v>
      </c>
      <c r="CI135" t="e">
        <f t="shared" si="313"/>
        <v>#N/A</v>
      </c>
      <c r="CJ135" s="6" t="e">
        <f t="shared" si="11"/>
        <v>#N/A</v>
      </c>
      <c r="CK135" s="6">
        <f t="shared" si="12"/>
        <v>1</v>
      </c>
      <c r="CL135" s="6">
        <f t="shared" si="26"/>
        <v>1</v>
      </c>
      <c r="CM135" s="6">
        <f t="shared" si="13"/>
        <v>1</v>
      </c>
      <c r="CN135" s="6">
        <f t="shared" si="14"/>
        <v>1</v>
      </c>
      <c r="CO135" s="6">
        <f t="shared" si="15"/>
        <v>1</v>
      </c>
      <c r="CP135" s="6">
        <f t="shared" si="16"/>
        <v>1</v>
      </c>
      <c r="CQ135" s="6">
        <f t="shared" si="314"/>
        <v>1</v>
      </c>
      <c r="CR135" s="81" t="str">
        <f t="shared" si="17"/>
        <v/>
      </c>
      <c r="CS135">
        <f t="shared" si="315"/>
        <v>0</v>
      </c>
      <c r="CT135">
        <f t="shared" si="19"/>
        <v>20</v>
      </c>
      <c r="CU135" t="str">
        <f t="shared" si="29"/>
        <v>rm</v>
      </c>
      <c r="CV135" s="81">
        <f t="shared" si="316"/>
        <v>240</v>
      </c>
      <c r="CW135" s="81">
        <f>(CV135/25)^1.5*(Calculator!$BU$4/10000)*CW$5</f>
        <v>15.468811984091507</v>
      </c>
      <c r="CX135" t="str">
        <f t="shared" si="317"/>
        <v>$20/rm</v>
      </c>
    </row>
    <row r="136" spans="2:102" x14ac:dyDescent="0.25">
      <c r="B136" s="115" t="s">
        <v>233</v>
      </c>
      <c r="C136" s="13">
        <v>46321.660416666666</v>
      </c>
      <c r="D136">
        <v>34904</v>
      </c>
      <c r="E136" s="54" t="s">
        <v>237</v>
      </c>
      <c r="F136" s="54" t="s">
        <v>436</v>
      </c>
      <c r="G136" s="54" t="s">
        <v>437</v>
      </c>
      <c r="H136" s="55">
        <v>12</v>
      </c>
      <c r="I136" s="55">
        <v>12</v>
      </c>
      <c r="J136" s="55">
        <v>12.1</v>
      </c>
      <c r="K136" s="54"/>
      <c r="L136" s="56" t="b">
        <v>0</v>
      </c>
      <c r="M136" s="56" t="b">
        <v>0</v>
      </c>
      <c r="N136" s="54">
        <v>1</v>
      </c>
      <c r="O136" s="54" t="s">
        <v>228</v>
      </c>
      <c r="P136" s="54">
        <v>100</v>
      </c>
      <c r="Q136" s="54">
        <v>12</v>
      </c>
      <c r="R136" s="54" t="s">
        <v>438</v>
      </c>
      <c r="S136" s="54" t="s">
        <v>1484</v>
      </c>
      <c r="T136" s="54" t="s">
        <v>439</v>
      </c>
      <c r="U136" s="54" t="s">
        <v>440</v>
      </c>
      <c r="V136" s="54" t="s">
        <v>441</v>
      </c>
      <c r="W136" s="54" t="b">
        <v>0</v>
      </c>
      <c r="X136" s="54"/>
      <c r="Y136" s="57" t="s">
        <v>444</v>
      </c>
      <c r="Z136" s="54" t="s">
        <v>1486</v>
      </c>
      <c r="AA136" s="54"/>
      <c r="AB136" s="54" t="s">
        <v>443</v>
      </c>
      <c r="AC136" s="56" t="b">
        <v>1</v>
      </c>
      <c r="AD136" s="56" t="b">
        <v>0</v>
      </c>
      <c r="AE136" s="54" t="s">
        <v>302</v>
      </c>
      <c r="AF136" s="58">
        <v>46321</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5.2760000000000001E-2</v>
      </c>
      <c r="BC136" s="60">
        <v>4.0599999999999996</v>
      </c>
      <c r="BD136" s="61">
        <v>6.8672999999999998E-2</v>
      </c>
      <c r="BE136" s="62" t="s">
        <v>293</v>
      </c>
      <c r="BF136" s="35">
        <f t="shared" si="0"/>
        <v>4.0600000000000005</v>
      </c>
      <c r="BG136" s="35">
        <f t="shared" si="0"/>
        <v>6.8672999999999998E-2</v>
      </c>
      <c r="BH136" s="35" t="str">
        <f t="shared" si="309"/>
        <v>Low</v>
      </c>
      <c r="BI136" s="110">
        <f t="shared" si="310"/>
        <v>0</v>
      </c>
      <c r="BJ136" s="83">
        <f>VLOOKUP($F136,REP_Info!$D$6:$H$250,5,FALSE)</f>
        <v>1.5649999999999999</v>
      </c>
      <c r="BK136" s="30">
        <f t="shared" si="1"/>
        <v>11.955299999999999</v>
      </c>
      <c r="BL136" s="30">
        <f t="shared" si="1"/>
        <v>12.049299999999999</v>
      </c>
      <c r="BM136" s="30">
        <f t="shared" si="1"/>
        <v>12.096299999999999</v>
      </c>
      <c r="BN136" s="29">
        <f t="shared" si="1"/>
        <v>12.111966666666667</v>
      </c>
      <c r="BO136" s="85" t="str">
        <f t="shared" si="2"/>
        <v>$$$</v>
      </c>
      <c r="BP136" s="88" t="str">
        <f t="shared" si="311"/>
        <v>$$$</v>
      </c>
      <c r="BQ136" s="88" t="str">
        <f t="shared" si="4"/>
        <v>$$$</v>
      </c>
      <c r="BR136" s="88" t="str">
        <f t="shared" si="5"/>
        <v>$$$</v>
      </c>
      <c r="BS136" s="29" t="e">
        <f t="shared" si="318"/>
        <v>#N/A</v>
      </c>
      <c r="BT136" s="29" t="e">
        <f t="shared" si="318"/>
        <v>#N/A</v>
      </c>
      <c r="BU136" s="29" t="e">
        <f t="shared" si="318"/>
        <v>#N/A</v>
      </c>
      <c r="BV136" s="29" t="e">
        <f t="shared" si="318"/>
        <v>#N/A</v>
      </c>
      <c r="BW136" s="29" t="e">
        <f t="shared" si="318"/>
        <v>#N/A</v>
      </c>
      <c r="BX136" s="29" t="e">
        <f t="shared" si="318"/>
        <v>#N/A</v>
      </c>
      <c r="BY136" s="29" t="e">
        <f t="shared" si="318"/>
        <v>#N/A</v>
      </c>
      <c r="BZ136" s="29" t="e">
        <f t="shared" si="318"/>
        <v>#N/A</v>
      </c>
      <c r="CA136" s="29" t="e">
        <f t="shared" si="318"/>
        <v>#N/A</v>
      </c>
      <c r="CB136" s="29" t="e">
        <f t="shared" si="318"/>
        <v>#N/A</v>
      </c>
      <c r="CC136" s="29" t="e">
        <f t="shared" si="318"/>
        <v>#N/A</v>
      </c>
      <c r="CD136" s="29" t="e">
        <f t="shared" si="318"/>
        <v>#N/A</v>
      </c>
      <c r="CE136" s="6" t="str">
        <f t="shared" si="296"/>
        <v/>
      </c>
      <c r="CF136" s="27" t="e">
        <f>IF(AND(CI136,NOT(AD136)),LOOKUP(CF$5,{0,750,1500},H136:J136),"")</f>
        <v>#N/A</v>
      </c>
      <c r="CG136" s="6" t="str">
        <f t="shared" si="297"/>
        <v/>
      </c>
      <c r="CH136" t="e">
        <f t="shared" si="312"/>
        <v>#N/A</v>
      </c>
      <c r="CI136" t="e">
        <f t="shared" si="313"/>
        <v>#N/A</v>
      </c>
      <c r="CJ136" s="6" t="e">
        <f t="shared" si="11"/>
        <v>#N/A</v>
      </c>
      <c r="CK136" s="6">
        <f t="shared" si="12"/>
        <v>1</v>
      </c>
      <c r="CL136" s="6">
        <f t="shared" si="26"/>
        <v>1</v>
      </c>
      <c r="CM136" s="6">
        <f t="shared" si="13"/>
        <v>1</v>
      </c>
      <c r="CN136" s="6">
        <f t="shared" si="14"/>
        <v>1</v>
      </c>
      <c r="CO136" s="6">
        <f t="shared" si="15"/>
        <v>1</v>
      </c>
      <c r="CP136" s="6">
        <f t="shared" si="16"/>
        <v>1</v>
      </c>
      <c r="CQ136" s="6">
        <f t="shared" si="314"/>
        <v>1</v>
      </c>
      <c r="CR136" s="81" t="str">
        <f t="shared" si="17"/>
        <v/>
      </c>
      <c r="CS136">
        <f t="shared" si="315"/>
        <v>0</v>
      </c>
      <c r="CT136">
        <f t="shared" si="19"/>
        <v>20</v>
      </c>
      <c r="CU136" t="str">
        <f t="shared" si="29"/>
        <v>rm</v>
      </c>
      <c r="CV136" s="81">
        <f t="shared" si="316"/>
        <v>240</v>
      </c>
      <c r="CW136" s="81">
        <f>(CV136/25)^1.5*(Calculator!$BU$4/10000)*CW$5</f>
        <v>15.468811984091507</v>
      </c>
      <c r="CX136" t="str">
        <f t="shared" si="317"/>
        <v>$20/rm</v>
      </c>
    </row>
    <row r="137" spans="2:102" x14ac:dyDescent="0.25">
      <c r="B137" s="115" t="s">
        <v>233</v>
      </c>
      <c r="C137" s="13">
        <v>46321.660416666666</v>
      </c>
      <c r="D137">
        <v>34912</v>
      </c>
      <c r="E137" s="54" t="s">
        <v>235</v>
      </c>
      <c r="F137" s="54" t="s">
        <v>436</v>
      </c>
      <c r="G137" s="54" t="s">
        <v>445</v>
      </c>
      <c r="H137" s="55">
        <v>13.3</v>
      </c>
      <c r="I137" s="55">
        <v>13.3</v>
      </c>
      <c r="J137" s="55">
        <v>13.4</v>
      </c>
      <c r="K137" s="54"/>
      <c r="L137" s="56" t="b">
        <v>0</v>
      </c>
      <c r="M137" s="56" t="b">
        <v>0</v>
      </c>
      <c r="N137" s="54">
        <v>1</v>
      </c>
      <c r="O137" s="54" t="s">
        <v>228</v>
      </c>
      <c r="P137" s="54">
        <v>100</v>
      </c>
      <c r="Q137" s="54">
        <v>24</v>
      </c>
      <c r="R137" s="54" t="s">
        <v>438</v>
      </c>
      <c r="S137" s="54" t="s">
        <v>1484</v>
      </c>
      <c r="T137" s="54" t="s">
        <v>439</v>
      </c>
      <c r="U137" s="54" t="s">
        <v>440</v>
      </c>
      <c r="V137" s="54" t="s">
        <v>441</v>
      </c>
      <c r="W137" s="54" t="b">
        <v>0</v>
      </c>
      <c r="X137" s="54"/>
      <c r="Y137" s="57" t="s">
        <v>446</v>
      </c>
      <c r="Z137" s="54" t="s">
        <v>1487</v>
      </c>
      <c r="AA137" s="54"/>
      <c r="AB137" s="54" t="s">
        <v>443</v>
      </c>
      <c r="AC137" s="56" t="b">
        <v>1</v>
      </c>
      <c r="AD137" s="56" t="b">
        <v>0</v>
      </c>
      <c r="AE137" s="54" t="s">
        <v>302</v>
      </c>
      <c r="AF137" s="58">
        <v>46321</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6.8260000000000001E-2</v>
      </c>
      <c r="BC137" s="60">
        <v>4.9000000000000004</v>
      </c>
      <c r="BD137" s="61">
        <v>6.5333000000000002E-2</v>
      </c>
      <c r="BE137" s="62" t="s">
        <v>293</v>
      </c>
      <c r="BF137" s="35">
        <f t="shared" si="0"/>
        <v>4.9000000000000004</v>
      </c>
      <c r="BG137" s="35">
        <f t="shared" si="0"/>
        <v>6.5333000000000002E-2</v>
      </c>
      <c r="BH137" s="35" t="str">
        <f t="shared" si="309"/>
        <v>Low</v>
      </c>
      <c r="BI137" s="110">
        <f t="shared" si="310"/>
        <v>0</v>
      </c>
      <c r="BJ137" s="83">
        <f>VLOOKUP($F137,REP_Info!$D$6:$H$250,5,FALSE)</f>
        <v>1.5649999999999999</v>
      </c>
      <c r="BK137" s="30">
        <f t="shared" si="1"/>
        <v>13.3393</v>
      </c>
      <c r="BL137" s="30">
        <f t="shared" si="1"/>
        <v>13.349299999999999</v>
      </c>
      <c r="BM137" s="30">
        <f t="shared" si="1"/>
        <v>13.3543</v>
      </c>
      <c r="BN137" s="29">
        <f t="shared" si="1"/>
        <v>13.355966666666665</v>
      </c>
      <c r="BO137" s="85" t="str">
        <f t="shared" si="2"/>
        <v>$$$</v>
      </c>
      <c r="BP137" s="88" t="str">
        <f t="shared" si="311"/>
        <v>$$$</v>
      </c>
      <c r="BQ137" s="88" t="str">
        <f t="shared" si="4"/>
        <v>$$$</v>
      </c>
      <c r="BR137" s="88" t="str">
        <f t="shared" si="5"/>
        <v>$$$</v>
      </c>
      <c r="BS137" s="29" t="e">
        <f t="shared" si="318"/>
        <v>#N/A</v>
      </c>
      <c r="BT137" s="29" t="e">
        <f t="shared" si="318"/>
        <v>#N/A</v>
      </c>
      <c r="BU137" s="29" t="e">
        <f t="shared" si="318"/>
        <v>#N/A</v>
      </c>
      <c r="BV137" s="29" t="e">
        <f t="shared" si="318"/>
        <v>#N/A</v>
      </c>
      <c r="BW137" s="29" t="e">
        <f t="shared" si="318"/>
        <v>#N/A</v>
      </c>
      <c r="BX137" s="29" t="e">
        <f t="shared" si="318"/>
        <v>#N/A</v>
      </c>
      <c r="BY137" s="29" t="e">
        <f t="shared" si="318"/>
        <v>#N/A</v>
      </c>
      <c r="BZ137" s="29" t="e">
        <f t="shared" si="318"/>
        <v>#N/A</v>
      </c>
      <c r="CA137" s="29" t="e">
        <f t="shared" si="318"/>
        <v>#N/A</v>
      </c>
      <c r="CB137" s="29" t="e">
        <f t="shared" si="318"/>
        <v>#N/A</v>
      </c>
      <c r="CC137" s="29" t="e">
        <f t="shared" si="318"/>
        <v>#N/A</v>
      </c>
      <c r="CD137" s="29" t="e">
        <f t="shared" si="318"/>
        <v>#N/A</v>
      </c>
      <c r="CE137" s="6" t="str">
        <f t="shared" si="296"/>
        <v/>
      </c>
      <c r="CF137" s="27" t="e">
        <f>IF(AND(CI137,NOT(AD137)),LOOKUP(CF$5,{0,750,1500},H137:J137),"")</f>
        <v>#N/A</v>
      </c>
      <c r="CG137" s="6" t="str">
        <f t="shared" si="297"/>
        <v/>
      </c>
      <c r="CH137" t="e">
        <f t="shared" si="312"/>
        <v>#N/A</v>
      </c>
      <c r="CI137" t="e">
        <f t="shared" si="313"/>
        <v>#N/A</v>
      </c>
      <c r="CJ137" s="6" t="e">
        <f t="shared" si="11"/>
        <v>#N/A</v>
      </c>
      <c r="CK137" s="6">
        <f t="shared" si="12"/>
        <v>1</v>
      </c>
      <c r="CL137" s="6">
        <f t="shared" si="26"/>
        <v>1</v>
      </c>
      <c r="CM137" s="6">
        <f t="shared" si="13"/>
        <v>1</v>
      </c>
      <c r="CN137" s="6">
        <f t="shared" si="14"/>
        <v>1</v>
      </c>
      <c r="CO137" s="6">
        <f t="shared" si="15"/>
        <v>0</v>
      </c>
      <c r="CP137" s="6">
        <f t="shared" si="16"/>
        <v>1</v>
      </c>
      <c r="CQ137" s="6">
        <f t="shared" si="314"/>
        <v>1</v>
      </c>
      <c r="CR137" s="81" t="str">
        <f t="shared" si="17"/>
        <v/>
      </c>
      <c r="CS137">
        <f t="shared" si="315"/>
        <v>0</v>
      </c>
      <c r="CT137">
        <f t="shared" si="19"/>
        <v>20</v>
      </c>
      <c r="CU137" t="str">
        <f t="shared" si="29"/>
        <v>rm</v>
      </c>
      <c r="CV137" s="81">
        <f t="shared" si="316"/>
        <v>480</v>
      </c>
      <c r="CW137" s="81">
        <f>(CV137/25)^1.5*(Calculator!$BU$4/10000)*CW$5</f>
        <v>43.752407403403353</v>
      </c>
      <c r="CX137" t="str">
        <f t="shared" si="317"/>
        <v>$20/rm</v>
      </c>
    </row>
    <row r="138" spans="2:102" x14ac:dyDescent="0.25">
      <c r="B138" s="115" t="s">
        <v>233</v>
      </c>
      <c r="C138" s="13">
        <v>46321.660416666666</v>
      </c>
      <c r="D138">
        <v>34914</v>
      </c>
      <c r="E138" s="54" t="s">
        <v>237</v>
      </c>
      <c r="F138" s="54" t="s">
        <v>436</v>
      </c>
      <c r="G138" s="54" t="s">
        <v>445</v>
      </c>
      <c r="H138" s="55">
        <v>13.5</v>
      </c>
      <c r="I138" s="55">
        <v>13.5</v>
      </c>
      <c r="J138" s="55">
        <v>13.600000000000001</v>
      </c>
      <c r="K138" s="54"/>
      <c r="L138" s="56" t="b">
        <v>0</v>
      </c>
      <c r="M138" s="56" t="b">
        <v>0</v>
      </c>
      <c r="N138" s="54">
        <v>1</v>
      </c>
      <c r="O138" s="54" t="s">
        <v>228</v>
      </c>
      <c r="P138" s="54">
        <v>100</v>
      </c>
      <c r="Q138" s="54">
        <v>24</v>
      </c>
      <c r="R138" s="54" t="s">
        <v>438</v>
      </c>
      <c r="S138" s="54" t="s">
        <v>1484</v>
      </c>
      <c r="T138" s="54" t="s">
        <v>439</v>
      </c>
      <c r="U138" s="54" t="s">
        <v>440</v>
      </c>
      <c r="V138" s="54" t="s">
        <v>441</v>
      </c>
      <c r="W138" s="54" t="b">
        <v>0</v>
      </c>
      <c r="X138" s="54"/>
      <c r="Y138" s="57" t="s">
        <v>447</v>
      </c>
      <c r="Z138" s="54" t="s">
        <v>1488</v>
      </c>
      <c r="AA138" s="54"/>
      <c r="AB138" s="54" t="s">
        <v>443</v>
      </c>
      <c r="AC138" s="56" t="b">
        <v>1</v>
      </c>
      <c r="AD138" s="56" t="b">
        <v>0</v>
      </c>
      <c r="AE138" s="54" t="s">
        <v>302</v>
      </c>
      <c r="AF138" s="58">
        <v>46321</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6.7760000000000001E-2</v>
      </c>
      <c r="BC138" s="60">
        <v>4.0599999999999996</v>
      </c>
      <c r="BD138" s="61">
        <v>6.8672999999999998E-2</v>
      </c>
      <c r="BE138" s="62" t="s">
        <v>293</v>
      </c>
      <c r="BF138" s="35">
        <f t="shared" si="0"/>
        <v>4.0600000000000005</v>
      </c>
      <c r="BG138" s="35">
        <f t="shared" si="0"/>
        <v>6.8672999999999998E-2</v>
      </c>
      <c r="BH138" s="35" t="str">
        <f t="shared" si="309"/>
        <v>Low</v>
      </c>
      <c r="BI138" s="110">
        <f t="shared" si="310"/>
        <v>0</v>
      </c>
      <c r="BJ138" s="83">
        <f>VLOOKUP($F138,REP_Info!$D$6:$H$250,5,FALSE)</f>
        <v>1.5649999999999999</v>
      </c>
      <c r="BK138" s="30">
        <f t="shared" si="1"/>
        <v>13.455299999999999</v>
      </c>
      <c r="BL138" s="30">
        <f t="shared" si="1"/>
        <v>13.549299999999999</v>
      </c>
      <c r="BM138" s="30">
        <f t="shared" si="1"/>
        <v>13.596300000000003</v>
      </c>
      <c r="BN138" s="29">
        <f t="shared" si="1"/>
        <v>13.611966666666667</v>
      </c>
      <c r="BO138" s="85" t="str">
        <f t="shared" si="2"/>
        <v>$$$</v>
      </c>
      <c r="BP138" s="88" t="str">
        <f t="shared" si="311"/>
        <v>$$$</v>
      </c>
      <c r="BQ138" s="88" t="str">
        <f t="shared" si="4"/>
        <v>$$$</v>
      </c>
      <c r="BR138" s="88" t="str">
        <f t="shared" si="5"/>
        <v>$$$</v>
      </c>
      <c r="BS138" s="29" t="e">
        <f t="shared" si="318"/>
        <v>#N/A</v>
      </c>
      <c r="BT138" s="29" t="e">
        <f t="shared" si="318"/>
        <v>#N/A</v>
      </c>
      <c r="BU138" s="29" t="e">
        <f t="shared" si="318"/>
        <v>#N/A</v>
      </c>
      <c r="BV138" s="29" t="e">
        <f t="shared" si="318"/>
        <v>#N/A</v>
      </c>
      <c r="BW138" s="29" t="e">
        <f t="shared" si="318"/>
        <v>#N/A</v>
      </c>
      <c r="BX138" s="29" t="e">
        <f t="shared" si="318"/>
        <v>#N/A</v>
      </c>
      <c r="BY138" s="29" t="e">
        <f t="shared" ref="BS138:CD159" si="319">IF($CI138,IF(BY$7&gt;0,IF(BY$4&gt;$Q138,$BF138+BY$7*(BY$5+$BG138+$BI138),LOOKUP(BY$7,$AH138:$AL138,$AM138:$AQ138)+IF($AG138="Y",SUMPRODUCT($AX138:$BB138-$AW138:$BA138,BY$7-$AR138:$AV138,N(BY$7&gt;$AR138:$AV138)),BY$7*LOOKUP(BY$7,$AR138:$AV138,$AX138:$BB138))+IF($BE138="Y",$BF138,$BC138)+BY$7*IF($BE138="Y",$BG138,$BD138))*100/BY$7,""),NA())</f>
        <v>#N/A</v>
      </c>
      <c r="BZ138" s="29" t="e">
        <f t="shared" si="319"/>
        <v>#N/A</v>
      </c>
      <c r="CA138" s="29" t="e">
        <f t="shared" si="319"/>
        <v>#N/A</v>
      </c>
      <c r="CB138" s="29" t="e">
        <f t="shared" si="319"/>
        <v>#N/A</v>
      </c>
      <c r="CC138" s="29" t="e">
        <f t="shared" si="319"/>
        <v>#N/A</v>
      </c>
      <c r="CD138" s="29" t="e">
        <f t="shared" si="319"/>
        <v>#N/A</v>
      </c>
      <c r="CE138" s="6" t="str">
        <f t="shared" si="296"/>
        <v/>
      </c>
      <c r="CF138" s="27" t="e">
        <f>IF(AND(CI138,NOT(AD138)),LOOKUP(CF$5,{0,750,1500},H138:J138),"")</f>
        <v>#N/A</v>
      </c>
      <c r="CG138" s="6" t="str">
        <f t="shared" si="297"/>
        <v/>
      </c>
      <c r="CH138" t="e">
        <f t="shared" si="312"/>
        <v>#N/A</v>
      </c>
      <c r="CI138" t="e">
        <f t="shared" si="313"/>
        <v>#N/A</v>
      </c>
      <c r="CJ138" s="6" t="e">
        <f t="shared" si="11"/>
        <v>#N/A</v>
      </c>
      <c r="CK138" s="6">
        <f t="shared" si="12"/>
        <v>1</v>
      </c>
      <c r="CL138" s="6">
        <f t="shared" si="26"/>
        <v>1</v>
      </c>
      <c r="CM138" s="6">
        <f t="shared" si="13"/>
        <v>1</v>
      </c>
      <c r="CN138" s="6">
        <f t="shared" si="14"/>
        <v>1</v>
      </c>
      <c r="CO138" s="6">
        <f t="shared" si="15"/>
        <v>0</v>
      </c>
      <c r="CP138" s="6">
        <f t="shared" si="16"/>
        <v>1</v>
      </c>
      <c r="CQ138" s="6">
        <f t="shared" si="314"/>
        <v>1</v>
      </c>
      <c r="CR138" s="81" t="str">
        <f t="shared" si="17"/>
        <v/>
      </c>
      <c r="CS138">
        <f t="shared" si="315"/>
        <v>0</v>
      </c>
      <c r="CT138">
        <f t="shared" si="19"/>
        <v>20</v>
      </c>
      <c r="CU138" t="str">
        <f t="shared" si="29"/>
        <v>rm</v>
      </c>
      <c r="CV138" s="81">
        <f t="shared" si="316"/>
        <v>480</v>
      </c>
      <c r="CW138" s="81">
        <f>(CV138/25)^1.5*(Calculator!$BU$4/10000)*CW$5</f>
        <v>43.752407403403353</v>
      </c>
      <c r="CX138" t="str">
        <f t="shared" si="317"/>
        <v>$20/rm</v>
      </c>
    </row>
    <row r="139" spans="2:102" x14ac:dyDescent="0.25">
      <c r="B139" s="115" t="s">
        <v>233</v>
      </c>
      <c r="C139" s="13">
        <v>46309.581944444442</v>
      </c>
      <c r="D139">
        <v>34922</v>
      </c>
      <c r="E139" s="54" t="s">
        <v>235</v>
      </c>
      <c r="F139" s="54" t="s">
        <v>436</v>
      </c>
      <c r="G139" s="54" t="s">
        <v>448</v>
      </c>
      <c r="H139" s="55">
        <v>14.099999999999998</v>
      </c>
      <c r="I139" s="55">
        <v>14.099999999999998</v>
      </c>
      <c r="J139" s="55">
        <v>14.099999999999998</v>
      </c>
      <c r="K139" s="54"/>
      <c r="L139" s="56" t="b">
        <v>0</v>
      </c>
      <c r="M139" s="56" t="b">
        <v>0</v>
      </c>
      <c r="N139" s="54">
        <v>1</v>
      </c>
      <c r="O139" s="54" t="s">
        <v>228</v>
      </c>
      <c r="P139" s="54">
        <v>100</v>
      </c>
      <c r="Q139" s="54">
        <v>36</v>
      </c>
      <c r="R139" s="54" t="s">
        <v>438</v>
      </c>
      <c r="S139" s="54" t="s">
        <v>1484</v>
      </c>
      <c r="T139" s="54" t="s">
        <v>439</v>
      </c>
      <c r="U139" s="54" t="s">
        <v>440</v>
      </c>
      <c r="V139" s="54" t="s">
        <v>441</v>
      </c>
      <c r="W139" s="54" t="b">
        <v>0</v>
      </c>
      <c r="X139" s="54"/>
      <c r="Y139" s="57" t="s">
        <v>449</v>
      </c>
      <c r="Z139" s="54" t="s">
        <v>1489</v>
      </c>
      <c r="AA139" s="54"/>
      <c r="AB139" s="54" t="s">
        <v>443</v>
      </c>
      <c r="AC139" s="56" t="b">
        <v>1</v>
      </c>
      <c r="AD139" s="56" t="b">
        <v>0</v>
      </c>
      <c r="AE139" s="54" t="s">
        <v>302</v>
      </c>
      <c r="AF139" s="58">
        <v>46309</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7.6130000000000003E-2</v>
      </c>
      <c r="BC139" s="60">
        <v>4.9000000000000004</v>
      </c>
      <c r="BD139" s="61">
        <v>6.5333000000000002E-2</v>
      </c>
      <c r="BE139" s="62" t="s">
        <v>293</v>
      </c>
      <c r="BF139" s="35">
        <f t="shared" si="0"/>
        <v>4.9000000000000004</v>
      </c>
      <c r="BG139" s="35">
        <f t="shared" si="0"/>
        <v>6.5333000000000002E-2</v>
      </c>
      <c r="BH139" s="35" t="str">
        <f t="shared" si="309"/>
        <v>Low</v>
      </c>
      <c r="BI139" s="110">
        <f t="shared" si="310"/>
        <v>0</v>
      </c>
      <c r="BJ139" s="83">
        <f>VLOOKUP($F139,REP_Info!$D$6:$H$250,5,FALSE)</f>
        <v>1.5649999999999999</v>
      </c>
      <c r="BK139" s="30">
        <f t="shared" si="1"/>
        <v>14.126300000000001</v>
      </c>
      <c r="BL139" s="30">
        <f t="shared" si="1"/>
        <v>14.136299999999999</v>
      </c>
      <c r="BM139" s="30">
        <f t="shared" si="1"/>
        <v>14.141300000000001</v>
      </c>
      <c r="BN139" s="29">
        <f t="shared" si="1"/>
        <v>14.142966666666668</v>
      </c>
      <c r="BO139" s="85" t="str">
        <f t="shared" si="2"/>
        <v>$$$</v>
      </c>
      <c r="BP139" s="88" t="str">
        <f t="shared" si="311"/>
        <v>$$$</v>
      </c>
      <c r="BQ139" s="88" t="str">
        <f t="shared" si="4"/>
        <v>$$$</v>
      </c>
      <c r="BR139" s="88" t="str">
        <f t="shared" si="5"/>
        <v>$$$</v>
      </c>
      <c r="BS139" s="29" t="e">
        <f t="shared" si="319"/>
        <v>#N/A</v>
      </c>
      <c r="BT139" s="29" t="e">
        <f t="shared" si="319"/>
        <v>#N/A</v>
      </c>
      <c r="BU139" s="29" t="e">
        <f t="shared" si="319"/>
        <v>#N/A</v>
      </c>
      <c r="BV139" s="29" t="e">
        <f t="shared" si="319"/>
        <v>#N/A</v>
      </c>
      <c r="BW139" s="29" t="e">
        <f t="shared" si="319"/>
        <v>#N/A</v>
      </c>
      <c r="BX139" s="29" t="e">
        <f t="shared" si="319"/>
        <v>#N/A</v>
      </c>
      <c r="BY139" s="29" t="e">
        <f t="shared" si="319"/>
        <v>#N/A</v>
      </c>
      <c r="BZ139" s="29" t="e">
        <f t="shared" si="319"/>
        <v>#N/A</v>
      </c>
      <c r="CA139" s="29" t="e">
        <f t="shared" si="319"/>
        <v>#N/A</v>
      </c>
      <c r="CB139" s="29" t="e">
        <f t="shared" si="319"/>
        <v>#N/A</v>
      </c>
      <c r="CC139" s="29" t="e">
        <f t="shared" si="319"/>
        <v>#N/A</v>
      </c>
      <c r="CD139" s="29" t="e">
        <f t="shared" si="319"/>
        <v>#N/A</v>
      </c>
      <c r="CE139" s="6" t="str">
        <f t="shared" si="296"/>
        <v/>
      </c>
      <c r="CF139" s="27" t="e">
        <f>IF(AND(CI139,NOT(AD139)),LOOKUP(CF$5,{0,750,1500},H139:J139),"")</f>
        <v>#N/A</v>
      </c>
      <c r="CG139" s="6" t="str">
        <f t="shared" si="297"/>
        <v/>
      </c>
      <c r="CH139" t="e">
        <f t="shared" si="312"/>
        <v>#N/A</v>
      </c>
      <c r="CI139" t="e">
        <f t="shared" si="313"/>
        <v>#N/A</v>
      </c>
      <c r="CJ139" s="6" t="e">
        <f t="shared" si="11"/>
        <v>#N/A</v>
      </c>
      <c r="CK139" s="6">
        <f t="shared" si="12"/>
        <v>1</v>
      </c>
      <c r="CL139" s="6">
        <f t="shared" si="26"/>
        <v>1</v>
      </c>
      <c r="CM139" s="6">
        <f t="shared" si="13"/>
        <v>1</v>
      </c>
      <c r="CN139" s="6">
        <f t="shared" si="14"/>
        <v>1</v>
      </c>
      <c r="CO139" s="6">
        <f t="shared" si="15"/>
        <v>0</v>
      </c>
      <c r="CP139" s="6">
        <f t="shared" si="16"/>
        <v>1</v>
      </c>
      <c r="CQ139" s="6">
        <f t="shared" si="314"/>
        <v>1</v>
      </c>
      <c r="CR139" s="81" t="str">
        <f t="shared" si="17"/>
        <v/>
      </c>
      <c r="CS139">
        <f t="shared" si="315"/>
        <v>0</v>
      </c>
      <c r="CT139">
        <f t="shared" si="19"/>
        <v>20</v>
      </c>
      <c r="CU139" t="str">
        <f t="shared" si="29"/>
        <v>rm</v>
      </c>
      <c r="CV139" s="81">
        <f t="shared" si="316"/>
        <v>720</v>
      </c>
      <c r="CW139" s="81">
        <f>(CV139/25)^1.5*(Calculator!$BU$4/10000)*CW$5</f>
        <v>80.37830486753046</v>
      </c>
      <c r="CX139" t="str">
        <f t="shared" si="317"/>
        <v>$20/rm</v>
      </c>
    </row>
    <row r="140" spans="2:102" x14ac:dyDescent="0.25">
      <c r="B140" s="115" t="s">
        <v>233</v>
      </c>
      <c r="C140" s="13">
        <v>46321.660416666666</v>
      </c>
      <c r="D140">
        <v>34924</v>
      </c>
      <c r="E140" s="54" t="s">
        <v>237</v>
      </c>
      <c r="F140" s="54" t="s">
        <v>436</v>
      </c>
      <c r="G140" s="54" t="s">
        <v>448</v>
      </c>
      <c r="H140" s="55">
        <v>13.8</v>
      </c>
      <c r="I140" s="55">
        <v>13.8</v>
      </c>
      <c r="J140" s="55">
        <v>13.900000000000002</v>
      </c>
      <c r="K140" s="54"/>
      <c r="L140" s="56" t="b">
        <v>0</v>
      </c>
      <c r="M140" s="56" t="b">
        <v>0</v>
      </c>
      <c r="N140" s="54">
        <v>1</v>
      </c>
      <c r="O140" s="54" t="s">
        <v>228</v>
      </c>
      <c r="P140" s="54">
        <v>100</v>
      </c>
      <c r="Q140" s="54">
        <v>36</v>
      </c>
      <c r="R140" s="54" t="s">
        <v>438</v>
      </c>
      <c r="S140" s="54" t="s">
        <v>1484</v>
      </c>
      <c r="T140" s="54" t="s">
        <v>439</v>
      </c>
      <c r="U140" s="54" t="s">
        <v>440</v>
      </c>
      <c r="V140" s="54" t="s">
        <v>441</v>
      </c>
      <c r="W140" s="54" t="b">
        <v>0</v>
      </c>
      <c r="X140" s="54"/>
      <c r="Y140" s="57" t="s">
        <v>450</v>
      </c>
      <c r="Z140" s="54" t="s">
        <v>1490</v>
      </c>
      <c r="AA140" s="54"/>
      <c r="AB140" s="54" t="s">
        <v>443</v>
      </c>
      <c r="AC140" s="56" t="b">
        <v>1</v>
      </c>
      <c r="AD140" s="56" t="b">
        <v>0</v>
      </c>
      <c r="AE140" s="54" t="s">
        <v>302</v>
      </c>
      <c r="AF140" s="58">
        <v>46321</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7.0760000000000003E-2</v>
      </c>
      <c r="BC140" s="60">
        <v>4.0599999999999996</v>
      </c>
      <c r="BD140" s="61">
        <v>6.8672999999999998E-2</v>
      </c>
      <c r="BE140" s="62" t="s">
        <v>293</v>
      </c>
      <c r="BF140" s="35">
        <f t="shared" si="0"/>
        <v>4.0600000000000005</v>
      </c>
      <c r="BG140" s="35">
        <f t="shared" si="0"/>
        <v>6.8672999999999998E-2</v>
      </c>
      <c r="BH140" s="35" t="str">
        <f t="shared" si="309"/>
        <v>Low</v>
      </c>
      <c r="BI140" s="110">
        <f t="shared" si="310"/>
        <v>0</v>
      </c>
      <c r="BJ140" s="83">
        <f>VLOOKUP($F140,REP_Info!$D$6:$H$250,5,FALSE)</f>
        <v>1.5649999999999999</v>
      </c>
      <c r="BK140" s="30">
        <f t="shared" si="1"/>
        <v>13.7553</v>
      </c>
      <c r="BL140" s="30">
        <f t="shared" si="1"/>
        <v>13.849299999999999</v>
      </c>
      <c r="BM140" s="30">
        <f t="shared" si="1"/>
        <v>13.896300000000004</v>
      </c>
      <c r="BN140" s="29">
        <f t="shared" si="1"/>
        <v>13.911966666666666</v>
      </c>
      <c r="BO140" s="85" t="str">
        <f t="shared" si="2"/>
        <v>$$$</v>
      </c>
      <c r="BP140" s="88" t="str">
        <f t="shared" si="311"/>
        <v>$$$</v>
      </c>
      <c r="BQ140" s="88" t="str">
        <f t="shared" si="4"/>
        <v>$$$</v>
      </c>
      <c r="BR140" s="88" t="str">
        <f t="shared" si="5"/>
        <v>$$$</v>
      </c>
      <c r="BS140" s="29" t="e">
        <f t="shared" si="319"/>
        <v>#N/A</v>
      </c>
      <c r="BT140" s="29" t="e">
        <f t="shared" si="319"/>
        <v>#N/A</v>
      </c>
      <c r="BU140" s="29" t="e">
        <f t="shared" si="319"/>
        <v>#N/A</v>
      </c>
      <c r="BV140" s="29" t="e">
        <f t="shared" si="319"/>
        <v>#N/A</v>
      </c>
      <c r="BW140" s="29" t="e">
        <f t="shared" si="319"/>
        <v>#N/A</v>
      </c>
      <c r="BX140" s="29" t="e">
        <f t="shared" si="319"/>
        <v>#N/A</v>
      </c>
      <c r="BY140" s="29" t="e">
        <f t="shared" si="319"/>
        <v>#N/A</v>
      </c>
      <c r="BZ140" s="29" t="e">
        <f t="shared" si="319"/>
        <v>#N/A</v>
      </c>
      <c r="CA140" s="29" t="e">
        <f t="shared" si="319"/>
        <v>#N/A</v>
      </c>
      <c r="CB140" s="29" t="e">
        <f t="shared" si="319"/>
        <v>#N/A</v>
      </c>
      <c r="CC140" s="29" t="e">
        <f t="shared" si="319"/>
        <v>#N/A</v>
      </c>
      <c r="CD140" s="29" t="e">
        <f t="shared" si="319"/>
        <v>#N/A</v>
      </c>
      <c r="CE140" s="6" t="str">
        <f t="shared" si="296"/>
        <v/>
      </c>
      <c r="CF140" s="27" t="e">
        <f>IF(AND(CI140,NOT(AD140)),LOOKUP(CF$5,{0,750,1500},H140:J140),"")</f>
        <v>#N/A</v>
      </c>
      <c r="CG140" s="6" t="str">
        <f t="shared" si="297"/>
        <v/>
      </c>
      <c r="CH140" t="e">
        <f t="shared" si="312"/>
        <v>#N/A</v>
      </c>
      <c r="CI140" t="e">
        <f t="shared" si="313"/>
        <v>#N/A</v>
      </c>
      <c r="CJ140" s="6" t="e">
        <f t="shared" si="11"/>
        <v>#N/A</v>
      </c>
      <c r="CK140" s="6">
        <f t="shared" si="12"/>
        <v>1</v>
      </c>
      <c r="CL140" s="6">
        <f t="shared" si="26"/>
        <v>1</v>
      </c>
      <c r="CM140" s="6">
        <f t="shared" si="13"/>
        <v>1</v>
      </c>
      <c r="CN140" s="6">
        <f t="shared" si="14"/>
        <v>1</v>
      </c>
      <c r="CO140" s="6">
        <f t="shared" si="15"/>
        <v>0</v>
      </c>
      <c r="CP140" s="6">
        <f t="shared" si="16"/>
        <v>1</v>
      </c>
      <c r="CQ140" s="6">
        <f t="shared" si="314"/>
        <v>1</v>
      </c>
      <c r="CR140" s="81" t="str">
        <f t="shared" si="17"/>
        <v/>
      </c>
      <c r="CS140">
        <f t="shared" si="315"/>
        <v>0</v>
      </c>
      <c r="CT140">
        <f t="shared" si="19"/>
        <v>20</v>
      </c>
      <c r="CU140" t="str">
        <f t="shared" si="29"/>
        <v>rm</v>
      </c>
      <c r="CV140" s="81">
        <f t="shared" si="316"/>
        <v>720</v>
      </c>
      <c r="CW140" s="81">
        <f>(CV140/25)^1.5*(Calculator!$BU$4/10000)*CW$5</f>
        <v>80.37830486753046</v>
      </c>
      <c r="CX140" t="str">
        <f t="shared" si="317"/>
        <v>$20/rm</v>
      </c>
    </row>
    <row r="141" spans="2:102" x14ac:dyDescent="0.25">
      <c r="B141" s="115" t="s">
        <v>233</v>
      </c>
      <c r="C141" s="13">
        <v>46317.620833333334</v>
      </c>
      <c r="D141">
        <v>38331</v>
      </c>
      <c r="E141" s="54" t="s">
        <v>235</v>
      </c>
      <c r="F141" s="54" t="s">
        <v>436</v>
      </c>
      <c r="G141" s="54" t="s">
        <v>1958</v>
      </c>
      <c r="H141" s="55">
        <v>10.5</v>
      </c>
      <c r="I141" s="55">
        <v>10.5</v>
      </c>
      <c r="J141" s="55">
        <v>10.6</v>
      </c>
      <c r="K141" s="54"/>
      <c r="L141" s="56" t="b">
        <v>0</v>
      </c>
      <c r="M141" s="56" t="b">
        <v>0</v>
      </c>
      <c r="N141" s="54">
        <v>1</v>
      </c>
      <c r="O141" s="54" t="s">
        <v>228</v>
      </c>
      <c r="P141" s="54">
        <v>100</v>
      </c>
      <c r="Q141" s="54">
        <v>3</v>
      </c>
      <c r="R141" s="54" t="s">
        <v>438</v>
      </c>
      <c r="S141" s="54" t="s">
        <v>1959</v>
      </c>
      <c r="T141" s="54" t="s">
        <v>1960</v>
      </c>
      <c r="U141" s="54" t="s">
        <v>440</v>
      </c>
      <c r="V141" s="54" t="s">
        <v>441</v>
      </c>
      <c r="W141" s="54" t="b">
        <v>0</v>
      </c>
      <c r="X141" s="54"/>
      <c r="Y141" s="57" t="s">
        <v>1961</v>
      </c>
      <c r="Z141" s="54" t="s">
        <v>1962</v>
      </c>
      <c r="AA141" s="54"/>
      <c r="AB141" s="54" t="s">
        <v>443</v>
      </c>
      <c r="AC141" s="56" t="b">
        <v>1</v>
      </c>
      <c r="AD141" s="56" t="b">
        <v>0</v>
      </c>
      <c r="AE141" s="54" t="s">
        <v>302</v>
      </c>
      <c r="AF141" s="58">
        <v>46317</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4.0259999999999997E-2</v>
      </c>
      <c r="BC141" s="60">
        <v>4.9000000000000004</v>
      </c>
      <c r="BD141" s="61">
        <v>6.5333000000000002E-2</v>
      </c>
      <c r="BE141" s="62" t="s">
        <v>293</v>
      </c>
      <c r="BF141" s="35">
        <f t="shared" si="0"/>
        <v>4.9000000000000004</v>
      </c>
      <c r="BG141" s="35">
        <f t="shared" si="0"/>
        <v>6.5333000000000002E-2</v>
      </c>
      <c r="BH141" s="35" t="str">
        <f t="shared" si="309"/>
        <v>Low</v>
      </c>
      <c r="BI141" s="110">
        <f t="shared" si="310"/>
        <v>0</v>
      </c>
      <c r="BJ141" s="83">
        <f>VLOOKUP($F141,REP_Info!$D$6:$H$250,5,FALSE)</f>
        <v>1.5649999999999999</v>
      </c>
      <c r="BK141" s="30">
        <f t="shared" si="1"/>
        <v>10.539299999999999</v>
      </c>
      <c r="BL141" s="30">
        <f t="shared" si="1"/>
        <v>10.549299999999999</v>
      </c>
      <c r="BM141" s="30">
        <f t="shared" si="1"/>
        <v>10.554300000000001</v>
      </c>
      <c r="BN141" s="29">
        <f t="shared" si="1"/>
        <v>10.555966666666666</v>
      </c>
      <c r="BO141" s="85" t="str">
        <f t="shared" si="2"/>
        <v>$$$</v>
      </c>
      <c r="BP141" s="88" t="str">
        <f t="shared" si="311"/>
        <v>$$$</v>
      </c>
      <c r="BQ141" s="88" t="str">
        <f t="shared" si="4"/>
        <v>$$$</v>
      </c>
      <c r="BR141" s="88" t="str">
        <f t="shared" si="5"/>
        <v>$$$</v>
      </c>
      <c r="BS141" s="29" t="e">
        <f t="shared" si="319"/>
        <v>#N/A</v>
      </c>
      <c r="BT141" s="29" t="e">
        <f t="shared" si="319"/>
        <v>#N/A</v>
      </c>
      <c r="BU141" s="29" t="e">
        <f t="shared" si="319"/>
        <v>#N/A</v>
      </c>
      <c r="BV141" s="29" t="e">
        <f t="shared" si="319"/>
        <v>#N/A</v>
      </c>
      <c r="BW141" s="29" t="e">
        <f t="shared" si="319"/>
        <v>#N/A</v>
      </c>
      <c r="BX141" s="29" t="e">
        <f t="shared" si="319"/>
        <v>#N/A</v>
      </c>
      <c r="BY141" s="29" t="e">
        <f t="shared" si="319"/>
        <v>#N/A</v>
      </c>
      <c r="BZ141" s="29" t="e">
        <f t="shared" si="319"/>
        <v>#N/A</v>
      </c>
      <c r="CA141" s="29" t="e">
        <f t="shared" si="319"/>
        <v>#N/A</v>
      </c>
      <c r="CB141" s="29" t="e">
        <f t="shared" si="319"/>
        <v>#N/A</v>
      </c>
      <c r="CC141" s="29" t="e">
        <f t="shared" si="319"/>
        <v>#N/A</v>
      </c>
      <c r="CD141" s="29" t="e">
        <f t="shared" si="319"/>
        <v>#N/A</v>
      </c>
      <c r="CE141" s="6" t="str">
        <f t="shared" si="296"/>
        <v/>
      </c>
      <c r="CF141" s="27" t="e">
        <f>IF(AND(CI141,NOT(AD141)),LOOKUP(CF$5,{0,750,1500},H141:J141),"")</f>
        <v>#N/A</v>
      </c>
      <c r="CG141" s="6" t="str">
        <f t="shared" si="297"/>
        <v/>
      </c>
      <c r="CH141" t="e">
        <f t="shared" si="312"/>
        <v>#N/A</v>
      </c>
      <c r="CI141" t="e">
        <f t="shared" si="313"/>
        <v>#N/A</v>
      </c>
      <c r="CJ141" s="6" t="e">
        <f t="shared" si="11"/>
        <v>#N/A</v>
      </c>
      <c r="CK141" s="6">
        <f t="shared" si="12"/>
        <v>1</v>
      </c>
      <c r="CL141" s="6">
        <f t="shared" si="26"/>
        <v>1</v>
      </c>
      <c r="CM141" s="6">
        <f t="shared" si="13"/>
        <v>1</v>
      </c>
      <c r="CN141" s="6">
        <f t="shared" si="14"/>
        <v>0</v>
      </c>
      <c r="CO141" s="6">
        <f t="shared" si="15"/>
        <v>1</v>
      </c>
      <c r="CP141" s="6">
        <f t="shared" si="16"/>
        <v>1</v>
      </c>
      <c r="CQ141" s="6">
        <f t="shared" si="314"/>
        <v>1</v>
      </c>
      <c r="CR141" s="81" t="str">
        <f t="shared" si="17"/>
        <v/>
      </c>
      <c r="CS141">
        <f t="shared" si="315"/>
        <v>54</v>
      </c>
      <c r="CT141">
        <f t="shared" si="19"/>
        <v>20</v>
      </c>
      <c r="CU141" t="str">
        <f t="shared" si="29"/>
        <v>rm</v>
      </c>
      <c r="CV141" s="81">
        <f t="shared" si="316"/>
        <v>60</v>
      </c>
      <c r="CW141" s="81">
        <f>(CV141/25)^1.5*(Calculator!$BU$4/10000)*CW$5</f>
        <v>1.933601498011438</v>
      </c>
      <c r="CX141" t="str">
        <f t="shared" si="317"/>
        <v>$20/rm</v>
      </c>
    </row>
    <row r="142" spans="2:102" x14ac:dyDescent="0.25">
      <c r="B142" s="115" t="s">
        <v>233</v>
      </c>
      <c r="C142" s="13">
        <v>46317.620833333334</v>
      </c>
      <c r="D142">
        <v>38333</v>
      </c>
      <c r="E142" s="54" t="s">
        <v>237</v>
      </c>
      <c r="F142" s="54" t="s">
        <v>436</v>
      </c>
      <c r="G142" s="54" t="s">
        <v>1958</v>
      </c>
      <c r="H142" s="55">
        <v>11</v>
      </c>
      <c r="I142" s="55">
        <v>11</v>
      </c>
      <c r="J142" s="55">
        <v>11.1</v>
      </c>
      <c r="K142" s="54"/>
      <c r="L142" s="56" t="b">
        <v>0</v>
      </c>
      <c r="M142" s="56" t="b">
        <v>0</v>
      </c>
      <c r="N142" s="54">
        <v>1</v>
      </c>
      <c r="O142" s="54" t="s">
        <v>228</v>
      </c>
      <c r="P142" s="54">
        <v>100</v>
      </c>
      <c r="Q142" s="54">
        <v>3</v>
      </c>
      <c r="R142" s="54" t="s">
        <v>438</v>
      </c>
      <c r="S142" s="54" t="s">
        <v>1959</v>
      </c>
      <c r="T142" s="54" t="s">
        <v>1960</v>
      </c>
      <c r="U142" s="54" t="s">
        <v>440</v>
      </c>
      <c r="V142" s="54" t="s">
        <v>441</v>
      </c>
      <c r="W142" s="54" t="b">
        <v>0</v>
      </c>
      <c r="X142" s="54"/>
      <c r="Y142" s="57" t="s">
        <v>1963</v>
      </c>
      <c r="Z142" s="54" t="s">
        <v>1964</v>
      </c>
      <c r="AA142" s="54"/>
      <c r="AB142" s="54" t="s">
        <v>443</v>
      </c>
      <c r="AC142" s="56" t="b">
        <v>1</v>
      </c>
      <c r="AD142" s="56" t="b">
        <v>0</v>
      </c>
      <c r="AE142" s="54" t="s">
        <v>302</v>
      </c>
      <c r="AF142" s="58">
        <v>46317</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4.2759999999999999E-2</v>
      </c>
      <c r="BC142" s="60">
        <v>4.0599999999999996</v>
      </c>
      <c r="BD142" s="61">
        <v>6.8672999999999998E-2</v>
      </c>
      <c r="BE142" s="62" t="s">
        <v>293</v>
      </c>
      <c r="BF142" s="35">
        <f t="shared" si="0"/>
        <v>4.0600000000000005</v>
      </c>
      <c r="BG142" s="35">
        <f t="shared" si="0"/>
        <v>6.8672999999999998E-2</v>
      </c>
      <c r="BH142" s="35" t="str">
        <f t="shared" si="309"/>
        <v>Low</v>
      </c>
      <c r="BI142" s="110">
        <f t="shared" si="310"/>
        <v>0</v>
      </c>
      <c r="BJ142" s="83">
        <f>VLOOKUP($F142,REP_Info!$D$6:$H$250,5,FALSE)</f>
        <v>1.5649999999999999</v>
      </c>
      <c r="BK142" s="30">
        <f t="shared" si="1"/>
        <v>10.955299999999999</v>
      </c>
      <c r="BL142" s="30">
        <f t="shared" si="1"/>
        <v>11.049299999999999</v>
      </c>
      <c r="BM142" s="30">
        <f t="shared" si="1"/>
        <v>11.096299999999999</v>
      </c>
      <c r="BN142" s="29">
        <f t="shared" si="1"/>
        <v>11.111966666666667</v>
      </c>
      <c r="BO142" s="85" t="str">
        <f t="shared" si="2"/>
        <v>$$$</v>
      </c>
      <c r="BP142" s="88" t="str">
        <f t="shared" si="311"/>
        <v>$$$</v>
      </c>
      <c r="BQ142" s="88" t="str">
        <f t="shared" si="4"/>
        <v>$$$</v>
      </c>
      <c r="BR142" s="88" t="str">
        <f t="shared" si="5"/>
        <v>$$$</v>
      </c>
      <c r="BS142" s="29" t="e">
        <f t="shared" si="319"/>
        <v>#N/A</v>
      </c>
      <c r="BT142" s="29" t="e">
        <f t="shared" si="319"/>
        <v>#N/A</v>
      </c>
      <c r="BU142" s="29" t="e">
        <f t="shared" si="319"/>
        <v>#N/A</v>
      </c>
      <c r="BV142" s="29" t="e">
        <f t="shared" si="319"/>
        <v>#N/A</v>
      </c>
      <c r="BW142" s="29" t="e">
        <f t="shared" si="319"/>
        <v>#N/A</v>
      </c>
      <c r="BX142" s="29" t="e">
        <f t="shared" si="319"/>
        <v>#N/A</v>
      </c>
      <c r="BY142" s="29" t="e">
        <f t="shared" si="319"/>
        <v>#N/A</v>
      </c>
      <c r="BZ142" s="29" t="e">
        <f t="shared" si="319"/>
        <v>#N/A</v>
      </c>
      <c r="CA142" s="29" t="e">
        <f t="shared" si="319"/>
        <v>#N/A</v>
      </c>
      <c r="CB142" s="29" t="e">
        <f t="shared" si="319"/>
        <v>#N/A</v>
      </c>
      <c r="CC142" s="29" t="e">
        <f t="shared" si="319"/>
        <v>#N/A</v>
      </c>
      <c r="CD142" s="29" t="e">
        <f t="shared" si="319"/>
        <v>#N/A</v>
      </c>
      <c r="CE142" s="6" t="str">
        <f t="shared" si="296"/>
        <v/>
      </c>
      <c r="CF142" s="27" t="e">
        <f>IF(AND(CI142,NOT(AD142)),LOOKUP(CF$5,{0,750,1500},H142:J142),"")</f>
        <v>#N/A</v>
      </c>
      <c r="CG142" s="6" t="str">
        <f t="shared" si="297"/>
        <v/>
      </c>
      <c r="CH142" t="e">
        <f t="shared" si="312"/>
        <v>#N/A</v>
      </c>
      <c r="CI142" t="e">
        <f t="shared" si="313"/>
        <v>#N/A</v>
      </c>
      <c r="CJ142" s="6" t="e">
        <f t="shared" si="11"/>
        <v>#N/A</v>
      </c>
      <c r="CK142" s="6">
        <f t="shared" si="12"/>
        <v>1</v>
      </c>
      <c r="CL142" s="6">
        <f t="shared" si="26"/>
        <v>1</v>
      </c>
      <c r="CM142" s="6">
        <f t="shared" si="13"/>
        <v>1</v>
      </c>
      <c r="CN142" s="6">
        <f t="shared" si="14"/>
        <v>0</v>
      </c>
      <c r="CO142" s="6">
        <f t="shared" si="15"/>
        <v>1</v>
      </c>
      <c r="CP142" s="6">
        <f t="shared" si="16"/>
        <v>1</v>
      </c>
      <c r="CQ142" s="6">
        <f t="shared" si="314"/>
        <v>1</v>
      </c>
      <c r="CR142" s="81" t="str">
        <f t="shared" si="17"/>
        <v/>
      </c>
      <c r="CS142">
        <f t="shared" si="315"/>
        <v>54</v>
      </c>
      <c r="CT142">
        <f t="shared" si="19"/>
        <v>20</v>
      </c>
      <c r="CU142" t="str">
        <f t="shared" si="29"/>
        <v>rm</v>
      </c>
      <c r="CV142" s="81">
        <f t="shared" si="316"/>
        <v>60</v>
      </c>
      <c r="CW142" s="81">
        <f>(CV142/25)^1.5*(Calculator!$BU$4/10000)*CW$5</f>
        <v>1.933601498011438</v>
      </c>
      <c r="CX142" t="str">
        <f t="shared" si="317"/>
        <v>$20/rm</v>
      </c>
    </row>
    <row r="143" spans="2:102" x14ac:dyDescent="0.25">
      <c r="B143" s="115" t="s">
        <v>233</v>
      </c>
      <c r="C143" s="13">
        <v>46317.620833333334</v>
      </c>
      <c r="D143">
        <v>38341</v>
      </c>
      <c r="E143" s="54" t="s">
        <v>235</v>
      </c>
      <c r="F143" s="54" t="s">
        <v>436</v>
      </c>
      <c r="G143" s="54" t="s">
        <v>1965</v>
      </c>
      <c r="H143" s="55">
        <v>11</v>
      </c>
      <c r="I143" s="55">
        <v>11</v>
      </c>
      <c r="J143" s="55">
        <v>11.1</v>
      </c>
      <c r="K143" s="54"/>
      <c r="L143" s="56" t="b">
        <v>0</v>
      </c>
      <c r="M143" s="56" t="b">
        <v>0</v>
      </c>
      <c r="N143" s="54">
        <v>1</v>
      </c>
      <c r="O143" s="54" t="s">
        <v>228</v>
      </c>
      <c r="P143" s="54">
        <v>100</v>
      </c>
      <c r="Q143" s="54">
        <v>6</v>
      </c>
      <c r="R143" s="54" t="s">
        <v>438</v>
      </c>
      <c r="S143" s="54" t="s">
        <v>1959</v>
      </c>
      <c r="T143" s="54" t="s">
        <v>439</v>
      </c>
      <c r="U143" s="54" t="s">
        <v>440</v>
      </c>
      <c r="V143" s="54" t="s">
        <v>441</v>
      </c>
      <c r="W143" s="54" t="b">
        <v>0</v>
      </c>
      <c r="X143" s="54"/>
      <c r="Y143" s="57" t="s">
        <v>1966</v>
      </c>
      <c r="Z143" s="54" t="s">
        <v>1967</v>
      </c>
      <c r="AA143" s="54"/>
      <c r="AB143" s="54" t="s">
        <v>443</v>
      </c>
      <c r="AC143" s="56" t="b">
        <v>1</v>
      </c>
      <c r="AD143" s="56" t="b">
        <v>0</v>
      </c>
      <c r="AE143" s="54" t="s">
        <v>302</v>
      </c>
      <c r="AF143" s="58">
        <v>46317</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4.5260000000000002E-2</v>
      </c>
      <c r="BC143" s="60">
        <v>4.9000000000000004</v>
      </c>
      <c r="BD143" s="61">
        <v>6.5333000000000002E-2</v>
      </c>
      <c r="BE143" s="62" t="s">
        <v>293</v>
      </c>
      <c r="BF143" s="35">
        <f t="shared" si="0"/>
        <v>4.9000000000000004</v>
      </c>
      <c r="BG143" s="35">
        <f t="shared" si="0"/>
        <v>6.5333000000000002E-2</v>
      </c>
      <c r="BH143" s="35" t="str">
        <f t="shared" si="309"/>
        <v>Low</v>
      </c>
      <c r="BI143" s="110">
        <f t="shared" si="310"/>
        <v>0</v>
      </c>
      <c r="BJ143" s="83">
        <f>VLOOKUP($F143,REP_Info!$D$6:$H$250,5,FALSE)</f>
        <v>1.5649999999999999</v>
      </c>
      <c r="BK143" s="30">
        <f t="shared" si="1"/>
        <v>11.039299999999999</v>
      </c>
      <c r="BL143" s="30">
        <f t="shared" si="1"/>
        <v>11.049299999999999</v>
      </c>
      <c r="BM143" s="30">
        <f t="shared" si="1"/>
        <v>11.054300000000001</v>
      </c>
      <c r="BN143" s="29">
        <f t="shared" si="1"/>
        <v>11.055966666666665</v>
      </c>
      <c r="BO143" s="85" t="str">
        <f t="shared" si="2"/>
        <v>$$$</v>
      </c>
      <c r="BP143" s="88" t="str">
        <f t="shared" si="311"/>
        <v>$$$</v>
      </c>
      <c r="BQ143" s="88" t="str">
        <f t="shared" si="4"/>
        <v>$$$</v>
      </c>
      <c r="BR143" s="88" t="str">
        <f t="shared" si="5"/>
        <v>$$$</v>
      </c>
      <c r="BS143" s="29" t="e">
        <f t="shared" si="319"/>
        <v>#N/A</v>
      </c>
      <c r="BT143" s="29" t="e">
        <f t="shared" si="319"/>
        <v>#N/A</v>
      </c>
      <c r="BU143" s="29" t="e">
        <f t="shared" si="319"/>
        <v>#N/A</v>
      </c>
      <c r="BV143" s="29" t="e">
        <f t="shared" si="319"/>
        <v>#N/A</v>
      </c>
      <c r="BW143" s="29" t="e">
        <f t="shared" si="319"/>
        <v>#N/A</v>
      </c>
      <c r="BX143" s="29" t="e">
        <f t="shared" si="319"/>
        <v>#N/A</v>
      </c>
      <c r="BY143" s="29" t="e">
        <f t="shared" si="319"/>
        <v>#N/A</v>
      </c>
      <c r="BZ143" s="29" t="e">
        <f t="shared" si="319"/>
        <v>#N/A</v>
      </c>
      <c r="CA143" s="29" t="e">
        <f t="shared" si="319"/>
        <v>#N/A</v>
      </c>
      <c r="CB143" s="29" t="e">
        <f t="shared" si="319"/>
        <v>#N/A</v>
      </c>
      <c r="CC143" s="29" t="e">
        <f t="shared" si="319"/>
        <v>#N/A</v>
      </c>
      <c r="CD143" s="29" t="e">
        <f t="shared" si="319"/>
        <v>#N/A</v>
      </c>
      <c r="CE143" s="6" t="str">
        <f t="shared" si="296"/>
        <v/>
      </c>
      <c r="CF143" s="27" t="e">
        <f>IF(AND(CI143,NOT(AD143)),LOOKUP(CF$5,{0,750,1500},H143:J143),"")</f>
        <v>#N/A</v>
      </c>
      <c r="CG143" s="6" t="str">
        <f t="shared" si="297"/>
        <v/>
      </c>
      <c r="CH143" t="e">
        <f t="shared" si="312"/>
        <v>#N/A</v>
      </c>
      <c r="CI143" t="e">
        <f t="shared" si="313"/>
        <v>#N/A</v>
      </c>
      <c r="CJ143" s="6" t="e">
        <f t="shared" si="11"/>
        <v>#N/A</v>
      </c>
      <c r="CK143" s="6">
        <f t="shared" si="12"/>
        <v>1</v>
      </c>
      <c r="CL143" s="6">
        <f t="shared" si="26"/>
        <v>1</v>
      </c>
      <c r="CM143" s="6">
        <f t="shared" si="13"/>
        <v>1</v>
      </c>
      <c r="CN143" s="6">
        <f t="shared" si="14"/>
        <v>0</v>
      </c>
      <c r="CO143" s="6">
        <f t="shared" si="15"/>
        <v>1</v>
      </c>
      <c r="CP143" s="6">
        <f t="shared" si="16"/>
        <v>1</v>
      </c>
      <c r="CQ143" s="6">
        <f t="shared" si="314"/>
        <v>1</v>
      </c>
      <c r="CR143" s="81" t="str">
        <f t="shared" si="17"/>
        <v/>
      </c>
      <c r="CS143">
        <f t="shared" si="315"/>
        <v>18</v>
      </c>
      <c r="CT143">
        <f t="shared" si="19"/>
        <v>20</v>
      </c>
      <c r="CU143" t="str">
        <f t="shared" si="29"/>
        <v>rm</v>
      </c>
      <c r="CV143" s="81">
        <f t="shared" si="316"/>
        <v>120</v>
      </c>
      <c r="CW143" s="81">
        <f>(CV143/25)^1.5*(Calculator!$BU$4/10000)*CW$5</f>
        <v>5.4690509254254183</v>
      </c>
      <c r="CX143" t="str">
        <f t="shared" si="317"/>
        <v>$20/rm</v>
      </c>
    </row>
    <row r="144" spans="2:102" x14ac:dyDescent="0.25">
      <c r="B144" s="115" t="s">
        <v>233</v>
      </c>
      <c r="C144" s="13">
        <v>46308.549305555556</v>
      </c>
      <c r="D144">
        <v>38343</v>
      </c>
      <c r="E144" s="54" t="s">
        <v>237</v>
      </c>
      <c r="F144" s="54" t="s">
        <v>436</v>
      </c>
      <c r="G144" s="54" t="s">
        <v>1965</v>
      </c>
      <c r="H144" s="55">
        <v>11.5</v>
      </c>
      <c r="I144" s="55">
        <v>11.5</v>
      </c>
      <c r="J144" s="55">
        <v>11.600000000000001</v>
      </c>
      <c r="K144" s="54"/>
      <c r="L144" s="56" t="b">
        <v>0</v>
      </c>
      <c r="M144" s="56" t="b">
        <v>0</v>
      </c>
      <c r="N144" s="54">
        <v>1</v>
      </c>
      <c r="O144" s="54" t="s">
        <v>228</v>
      </c>
      <c r="P144" s="54">
        <v>100</v>
      </c>
      <c r="Q144" s="54">
        <v>6</v>
      </c>
      <c r="R144" s="54" t="s">
        <v>438</v>
      </c>
      <c r="S144" s="54" t="s">
        <v>1959</v>
      </c>
      <c r="T144" s="54" t="s">
        <v>439</v>
      </c>
      <c r="U144" s="54" t="s">
        <v>440</v>
      </c>
      <c r="V144" s="54" t="s">
        <v>441</v>
      </c>
      <c r="W144" s="54" t="b">
        <v>0</v>
      </c>
      <c r="X144" s="54"/>
      <c r="Y144" s="57" t="s">
        <v>1968</v>
      </c>
      <c r="Z144" s="54" t="s">
        <v>1969</v>
      </c>
      <c r="AA144" s="54"/>
      <c r="AB144" s="54" t="s">
        <v>443</v>
      </c>
      <c r="AC144" s="56" t="b">
        <v>1</v>
      </c>
      <c r="AD144" s="56" t="b">
        <v>0</v>
      </c>
      <c r="AE144" s="54" t="s">
        <v>302</v>
      </c>
      <c r="AF144" s="58">
        <v>46308</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4.7759999999999997E-2</v>
      </c>
      <c r="BC144" s="60">
        <v>4.0599999999999996</v>
      </c>
      <c r="BD144" s="61">
        <v>6.8672999999999998E-2</v>
      </c>
      <c r="BE144" s="62" t="s">
        <v>293</v>
      </c>
      <c r="BF144" s="35">
        <f t="shared" si="0"/>
        <v>4.0600000000000005</v>
      </c>
      <c r="BG144" s="35">
        <f t="shared" si="0"/>
        <v>6.8672999999999998E-2</v>
      </c>
      <c r="BH144" s="35" t="str">
        <f t="shared" si="309"/>
        <v>Low</v>
      </c>
      <c r="BI144" s="110">
        <f t="shared" si="310"/>
        <v>0</v>
      </c>
      <c r="BJ144" s="83">
        <f>VLOOKUP($F144,REP_Info!$D$6:$H$250,5,FALSE)</f>
        <v>1.5649999999999999</v>
      </c>
      <c r="BK144" s="30">
        <f t="shared" si="1"/>
        <v>11.455299999999999</v>
      </c>
      <c r="BL144" s="30">
        <f t="shared" si="1"/>
        <v>11.549299999999999</v>
      </c>
      <c r="BM144" s="30">
        <f t="shared" si="1"/>
        <v>11.596299999999999</v>
      </c>
      <c r="BN144" s="29">
        <f t="shared" si="1"/>
        <v>11.611966666666667</v>
      </c>
      <c r="BO144" s="85" t="str">
        <f t="shared" si="2"/>
        <v>$$$</v>
      </c>
      <c r="BP144" s="88" t="str">
        <f t="shared" si="311"/>
        <v>$$$</v>
      </c>
      <c r="BQ144" s="88" t="str">
        <f t="shared" si="4"/>
        <v>$$$</v>
      </c>
      <c r="BR144" s="88" t="str">
        <f t="shared" si="5"/>
        <v>$$$</v>
      </c>
      <c r="BS144" s="29" t="e">
        <f t="shared" si="319"/>
        <v>#N/A</v>
      </c>
      <c r="BT144" s="29" t="e">
        <f t="shared" si="319"/>
        <v>#N/A</v>
      </c>
      <c r="BU144" s="29" t="e">
        <f t="shared" si="319"/>
        <v>#N/A</v>
      </c>
      <c r="BV144" s="29" t="e">
        <f t="shared" si="319"/>
        <v>#N/A</v>
      </c>
      <c r="BW144" s="29" t="e">
        <f t="shared" si="319"/>
        <v>#N/A</v>
      </c>
      <c r="BX144" s="29" t="e">
        <f t="shared" si="319"/>
        <v>#N/A</v>
      </c>
      <c r="BY144" s="29" t="e">
        <f t="shared" si="319"/>
        <v>#N/A</v>
      </c>
      <c r="BZ144" s="29" t="e">
        <f t="shared" si="319"/>
        <v>#N/A</v>
      </c>
      <c r="CA144" s="29" t="e">
        <f t="shared" si="319"/>
        <v>#N/A</v>
      </c>
      <c r="CB144" s="29" t="e">
        <f t="shared" si="319"/>
        <v>#N/A</v>
      </c>
      <c r="CC144" s="29" t="e">
        <f t="shared" si="319"/>
        <v>#N/A</v>
      </c>
      <c r="CD144" s="29" t="e">
        <f t="shared" si="319"/>
        <v>#N/A</v>
      </c>
      <c r="CE144" s="6" t="str">
        <f t="shared" si="296"/>
        <v/>
      </c>
      <c r="CF144" s="27" t="e">
        <f>IF(AND(CI144,NOT(AD144)),LOOKUP(CF$5,{0,750,1500},H144:J144),"")</f>
        <v>#N/A</v>
      </c>
      <c r="CG144" s="6" t="str">
        <f t="shared" si="297"/>
        <v/>
      </c>
      <c r="CH144" t="e">
        <f t="shared" si="312"/>
        <v>#N/A</v>
      </c>
      <c r="CI144" t="e">
        <f t="shared" si="313"/>
        <v>#N/A</v>
      </c>
      <c r="CJ144" s="6" t="e">
        <f t="shared" si="11"/>
        <v>#N/A</v>
      </c>
      <c r="CK144" s="6">
        <f t="shared" si="12"/>
        <v>1</v>
      </c>
      <c r="CL144" s="6">
        <f t="shared" si="26"/>
        <v>1</v>
      </c>
      <c r="CM144" s="6">
        <f t="shared" si="13"/>
        <v>1</v>
      </c>
      <c r="CN144" s="6">
        <f t="shared" si="14"/>
        <v>0</v>
      </c>
      <c r="CO144" s="6">
        <f t="shared" si="15"/>
        <v>1</v>
      </c>
      <c r="CP144" s="6">
        <f t="shared" si="16"/>
        <v>1</v>
      </c>
      <c r="CQ144" s="6">
        <f t="shared" si="314"/>
        <v>1</v>
      </c>
      <c r="CR144" s="81" t="str">
        <f t="shared" si="17"/>
        <v/>
      </c>
      <c r="CS144">
        <f t="shared" si="315"/>
        <v>18</v>
      </c>
      <c r="CT144">
        <f t="shared" si="19"/>
        <v>20</v>
      </c>
      <c r="CU144" t="str">
        <f t="shared" si="29"/>
        <v>rm</v>
      </c>
      <c r="CV144" s="81">
        <f t="shared" si="316"/>
        <v>120</v>
      </c>
      <c r="CW144" s="81">
        <f>(CV144/25)^1.5*(Calculator!$BU$4/10000)*CW$5</f>
        <v>5.4690509254254183</v>
      </c>
      <c r="CX144" t="str">
        <f t="shared" si="317"/>
        <v>$20/rm</v>
      </c>
    </row>
    <row r="145" spans="2:102" x14ac:dyDescent="0.25">
      <c r="B145" s="115" t="s">
        <v>233</v>
      </c>
      <c r="C145" s="13">
        <v>46317.620833333334</v>
      </c>
      <c r="D145">
        <v>21211</v>
      </c>
      <c r="E145" s="54" t="s">
        <v>237</v>
      </c>
      <c r="F145" s="54" t="s">
        <v>1213</v>
      </c>
      <c r="G145" s="54" t="s">
        <v>1517</v>
      </c>
      <c r="H145" s="55">
        <v>12.5</v>
      </c>
      <c r="I145" s="55">
        <v>12.1</v>
      </c>
      <c r="J145" s="55">
        <v>11.899999999999999</v>
      </c>
      <c r="K145" s="54"/>
      <c r="L145" s="56" t="b">
        <v>0</v>
      </c>
      <c r="M145" s="56" t="b">
        <v>0</v>
      </c>
      <c r="N145" s="54">
        <v>1</v>
      </c>
      <c r="O145" s="54" t="s">
        <v>228</v>
      </c>
      <c r="P145" s="54">
        <v>3</v>
      </c>
      <c r="Q145" s="54">
        <v>12</v>
      </c>
      <c r="R145" s="54" t="s">
        <v>466</v>
      </c>
      <c r="S145" s="54" t="s">
        <v>1520</v>
      </c>
      <c r="T145" s="54" t="s">
        <v>2089</v>
      </c>
      <c r="U145" s="54" t="s">
        <v>1506</v>
      </c>
      <c r="V145" s="54" t="s">
        <v>1518</v>
      </c>
      <c r="W145" s="54" t="b">
        <v>0</v>
      </c>
      <c r="X145" s="54"/>
      <c r="Y145" s="57" t="s">
        <v>1519</v>
      </c>
      <c r="Z145" s="54" t="s">
        <v>1520</v>
      </c>
      <c r="AA145" s="54"/>
      <c r="AB145" s="54" t="s">
        <v>1870</v>
      </c>
      <c r="AC145" s="56" t="b">
        <v>1</v>
      </c>
      <c r="AD145" s="56" t="b">
        <v>0</v>
      </c>
      <c r="AE145" s="54" t="s">
        <v>302</v>
      </c>
      <c r="AF145" s="58">
        <v>46317</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4.8297E-2</v>
      </c>
      <c r="BC145" s="60"/>
      <c r="BD145" s="61"/>
      <c r="BE145" s="62" t="e">
        <v>#N/A</v>
      </c>
      <c r="BF145" s="35">
        <f t="shared" si="0"/>
        <v>4.0600000000000005</v>
      </c>
      <c r="BG145" s="35">
        <f t="shared" si="0"/>
        <v>6.8672999999999998E-2</v>
      </c>
      <c r="BH145" s="35" t="str">
        <f t="shared" si="309"/>
        <v>?</v>
      </c>
      <c r="BI145" s="110">
        <f t="shared" si="310"/>
        <v>0</v>
      </c>
      <c r="BJ145" s="83" t="str">
        <f>VLOOKUP($F145,REP_Info!$D$6:$H$250,5,FALSE)</f>
        <v/>
      </c>
      <c r="BK145" s="30" t="e">
        <f t="shared" si="1"/>
        <v>#N/A</v>
      </c>
      <c r="BL145" s="30" t="e">
        <f t="shared" si="1"/>
        <v>#N/A</v>
      </c>
      <c r="BM145" s="30" t="e">
        <f t="shared" si="1"/>
        <v>#N/A</v>
      </c>
      <c r="BN145" s="29" t="e">
        <f t="shared" si="1"/>
        <v>#N/A</v>
      </c>
      <c r="BO145" s="85" t="str">
        <f t="shared" si="2"/>
        <v>$$$</v>
      </c>
      <c r="BP145" s="88" t="str">
        <f t="shared" si="311"/>
        <v>$$$</v>
      </c>
      <c r="BQ145" s="88" t="str">
        <f t="shared" si="4"/>
        <v>$$$</v>
      </c>
      <c r="BR145" s="88" t="str">
        <f t="shared" si="5"/>
        <v>$$$</v>
      </c>
      <c r="BS145" s="29" t="e">
        <f t="shared" si="319"/>
        <v>#N/A</v>
      </c>
      <c r="BT145" s="29" t="e">
        <f t="shared" si="319"/>
        <v>#N/A</v>
      </c>
      <c r="BU145" s="29" t="e">
        <f t="shared" si="319"/>
        <v>#N/A</v>
      </c>
      <c r="BV145" s="29" t="e">
        <f t="shared" si="319"/>
        <v>#N/A</v>
      </c>
      <c r="BW145" s="29" t="e">
        <f t="shared" si="319"/>
        <v>#N/A</v>
      </c>
      <c r="BX145" s="29" t="e">
        <f t="shared" si="319"/>
        <v>#N/A</v>
      </c>
      <c r="BY145" s="29" t="e">
        <f t="shared" si="319"/>
        <v>#N/A</v>
      </c>
      <c r="BZ145" s="29" t="e">
        <f t="shared" si="319"/>
        <v>#N/A</v>
      </c>
      <c r="CA145" s="29" t="e">
        <f t="shared" si="319"/>
        <v>#N/A</v>
      </c>
      <c r="CB145" s="29" t="e">
        <f t="shared" si="319"/>
        <v>#N/A</v>
      </c>
      <c r="CC145" s="29" t="e">
        <f t="shared" si="319"/>
        <v>#N/A</v>
      </c>
      <c r="CD145" s="29" t="e">
        <f t="shared" si="319"/>
        <v>#N/A</v>
      </c>
      <c r="CE145" s="6" t="str">
        <f t="shared" ref="CE145:CE208" si="320">IF(ISNUMBER(CF145),RANK($CF145,$CF$8:$CF$360,1),"")</f>
        <v/>
      </c>
      <c r="CF145" s="27" t="e">
        <f>IF(AND(CI145,NOT(AD145)),LOOKUP(CF$5,{0,750,1500},H145:J145),"")</f>
        <v>#N/A</v>
      </c>
      <c r="CG145" s="6" t="str">
        <f t="shared" ref="CG145:CG208" si="321">IF(ISNUMBER(CH145),RANK($CH145,$CH$8:$CH$360,1),"")</f>
        <v/>
      </c>
      <c r="CH145" t="e">
        <f t="shared" si="312"/>
        <v>#N/A</v>
      </c>
      <c r="CI145" t="e">
        <f t="shared" si="313"/>
        <v>#N/A</v>
      </c>
      <c r="CJ145" s="6" t="e">
        <f t="shared" si="11"/>
        <v>#N/A</v>
      </c>
      <c r="CK145" s="6">
        <f t="shared" si="12"/>
        <v>1</v>
      </c>
      <c r="CL145" s="6">
        <f t="shared" si="26"/>
        <v>1</v>
      </c>
      <c r="CM145" s="6">
        <f t="shared" si="13"/>
        <v>1</v>
      </c>
      <c r="CN145" s="6">
        <f t="shared" si="14"/>
        <v>1</v>
      </c>
      <c r="CO145" s="6">
        <f t="shared" si="15"/>
        <v>1</v>
      </c>
      <c r="CP145" s="6">
        <f t="shared" si="16"/>
        <v>1</v>
      </c>
      <c r="CQ145" s="6">
        <f t="shared" si="314"/>
        <v>1</v>
      </c>
      <c r="CR145" s="81" t="str">
        <f t="shared" si="17"/>
        <v/>
      </c>
      <c r="CS145">
        <f t="shared" si="315"/>
        <v>0</v>
      </c>
      <c r="CT145">
        <f t="shared" si="19"/>
        <v>20</v>
      </c>
      <c r="CU145" t="str">
        <f t="shared" si="29"/>
        <v>rm</v>
      </c>
      <c r="CV145" s="81">
        <f t="shared" si="316"/>
        <v>240</v>
      </c>
      <c r="CW145" s="81">
        <f>(CV145/25)^1.5*(Calculator!$BU$4/10000)*CW$5</f>
        <v>15.468811984091507</v>
      </c>
      <c r="CX145" t="str">
        <f t="shared" si="317"/>
        <v>$20/rm</v>
      </c>
    </row>
    <row r="146" spans="2:102" x14ac:dyDescent="0.25">
      <c r="B146" s="115" t="s">
        <v>233</v>
      </c>
      <c r="C146" s="13">
        <v>46317.620833333334</v>
      </c>
      <c r="D146">
        <v>21212</v>
      </c>
      <c r="E146" s="54" t="s">
        <v>235</v>
      </c>
      <c r="F146" s="54" t="s">
        <v>1213</v>
      </c>
      <c r="G146" s="54" t="s">
        <v>1517</v>
      </c>
      <c r="H146" s="55">
        <v>12.4</v>
      </c>
      <c r="I146" s="55">
        <v>11.899999999999999</v>
      </c>
      <c r="J146" s="55">
        <v>11.700000000000001</v>
      </c>
      <c r="K146" s="54"/>
      <c r="L146" s="56" t="b">
        <v>0</v>
      </c>
      <c r="M146" s="56" t="b">
        <v>0</v>
      </c>
      <c r="N146" s="54">
        <v>1</v>
      </c>
      <c r="O146" s="54" t="s">
        <v>228</v>
      </c>
      <c r="P146" s="54">
        <v>3</v>
      </c>
      <c r="Q146" s="54">
        <v>12</v>
      </c>
      <c r="R146" s="54" t="s">
        <v>466</v>
      </c>
      <c r="S146" s="54" t="s">
        <v>1520</v>
      </c>
      <c r="T146" s="54" t="s">
        <v>2089</v>
      </c>
      <c r="U146" s="54" t="s">
        <v>1509</v>
      </c>
      <c r="V146" s="54" t="s">
        <v>1521</v>
      </c>
      <c r="W146" s="54" t="b">
        <v>0</v>
      </c>
      <c r="X146" s="54"/>
      <c r="Y146" s="57" t="s">
        <v>1522</v>
      </c>
      <c r="Z146" s="54" t="s">
        <v>1520</v>
      </c>
      <c r="AA146" s="54"/>
      <c r="AB146" s="54" t="s">
        <v>1870</v>
      </c>
      <c r="AC146" s="56" t="b">
        <v>1</v>
      </c>
      <c r="AD146" s="56" t="b">
        <v>0</v>
      </c>
      <c r="AE146" s="54" t="s">
        <v>302</v>
      </c>
      <c r="AF146" s="58">
        <v>46317</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4.9216999999999997E-2</v>
      </c>
      <c r="BC146" s="60"/>
      <c r="BD146" s="61"/>
      <c r="BE146" s="62" t="e">
        <v>#N/A</v>
      </c>
      <c r="BF146" s="35">
        <f t="shared" si="0"/>
        <v>4.9000000000000004</v>
      </c>
      <c r="BG146" s="35">
        <f t="shared" si="0"/>
        <v>6.5333000000000002E-2</v>
      </c>
      <c r="BH146" s="35" t="str">
        <f t="shared" si="309"/>
        <v>?</v>
      </c>
      <c r="BI146" s="110">
        <f t="shared" si="310"/>
        <v>0</v>
      </c>
      <c r="BJ146" s="83" t="str">
        <f>VLOOKUP($F146,REP_Info!$D$6:$H$250,5,FALSE)</f>
        <v/>
      </c>
      <c r="BK146" s="30" t="e">
        <f t="shared" si="1"/>
        <v>#N/A</v>
      </c>
      <c r="BL146" s="30" t="e">
        <f t="shared" si="1"/>
        <v>#N/A</v>
      </c>
      <c r="BM146" s="30" t="e">
        <f t="shared" si="1"/>
        <v>#N/A</v>
      </c>
      <c r="BN146" s="29" t="e">
        <f t="shared" si="1"/>
        <v>#N/A</v>
      </c>
      <c r="BO146" s="85" t="str">
        <f t="shared" si="2"/>
        <v>$$$</v>
      </c>
      <c r="BP146" s="88" t="str">
        <f t="shared" si="311"/>
        <v>$$$</v>
      </c>
      <c r="BQ146" s="88" t="str">
        <f t="shared" si="4"/>
        <v>$$$</v>
      </c>
      <c r="BR146" s="88" t="str">
        <f t="shared" si="5"/>
        <v>$$$</v>
      </c>
      <c r="BS146" s="29" t="e">
        <f t="shared" si="319"/>
        <v>#N/A</v>
      </c>
      <c r="BT146" s="29" t="e">
        <f t="shared" si="319"/>
        <v>#N/A</v>
      </c>
      <c r="BU146" s="29" t="e">
        <f t="shared" si="319"/>
        <v>#N/A</v>
      </c>
      <c r="BV146" s="29" t="e">
        <f t="shared" si="319"/>
        <v>#N/A</v>
      </c>
      <c r="BW146" s="29" t="e">
        <f t="shared" si="319"/>
        <v>#N/A</v>
      </c>
      <c r="BX146" s="29" t="e">
        <f t="shared" si="319"/>
        <v>#N/A</v>
      </c>
      <c r="BY146" s="29" t="e">
        <f t="shared" si="319"/>
        <v>#N/A</v>
      </c>
      <c r="BZ146" s="29" t="e">
        <f t="shared" si="319"/>
        <v>#N/A</v>
      </c>
      <c r="CA146" s="29" t="e">
        <f t="shared" si="319"/>
        <v>#N/A</v>
      </c>
      <c r="CB146" s="29" t="e">
        <f t="shared" si="319"/>
        <v>#N/A</v>
      </c>
      <c r="CC146" s="29" t="e">
        <f t="shared" si="319"/>
        <v>#N/A</v>
      </c>
      <c r="CD146" s="29" t="e">
        <f t="shared" si="319"/>
        <v>#N/A</v>
      </c>
      <c r="CE146" s="6" t="str">
        <f t="shared" si="320"/>
        <v/>
      </c>
      <c r="CF146" s="27" t="e">
        <f>IF(AND(CI146,NOT(AD146)),LOOKUP(CF$5,{0,750,1500},H146:J146),"")</f>
        <v>#N/A</v>
      </c>
      <c r="CG146" s="6" t="str">
        <f t="shared" si="321"/>
        <v/>
      </c>
      <c r="CH146" t="e">
        <f t="shared" si="312"/>
        <v>#N/A</v>
      </c>
      <c r="CI146" t="e">
        <f t="shared" si="313"/>
        <v>#N/A</v>
      </c>
      <c r="CJ146" s="6" t="e">
        <f t="shared" si="11"/>
        <v>#N/A</v>
      </c>
      <c r="CK146" s="6">
        <f t="shared" si="12"/>
        <v>1</v>
      </c>
      <c r="CL146" s="6">
        <f t="shared" si="26"/>
        <v>1</v>
      </c>
      <c r="CM146" s="6">
        <f t="shared" si="13"/>
        <v>1</v>
      </c>
      <c r="CN146" s="6">
        <f t="shared" si="14"/>
        <v>1</v>
      </c>
      <c r="CO146" s="6">
        <f t="shared" si="15"/>
        <v>1</v>
      </c>
      <c r="CP146" s="6">
        <f t="shared" si="16"/>
        <v>1</v>
      </c>
      <c r="CQ146" s="6">
        <f t="shared" si="314"/>
        <v>1</v>
      </c>
      <c r="CR146" s="81" t="str">
        <f t="shared" si="17"/>
        <v/>
      </c>
      <c r="CS146">
        <f t="shared" si="315"/>
        <v>0</v>
      </c>
      <c r="CT146">
        <f t="shared" si="19"/>
        <v>20</v>
      </c>
      <c r="CU146" t="str">
        <f t="shared" si="29"/>
        <v>rm</v>
      </c>
      <c r="CV146" s="81">
        <f t="shared" si="316"/>
        <v>240</v>
      </c>
      <c r="CW146" s="81">
        <f>(CV146/25)^1.5*(Calculator!$BU$4/10000)*CW$5</f>
        <v>15.468811984091507</v>
      </c>
      <c r="CX146" t="str">
        <f t="shared" si="317"/>
        <v>$20/rm</v>
      </c>
    </row>
    <row r="147" spans="2:102" x14ac:dyDescent="0.25">
      <c r="B147" s="115" t="s">
        <v>233</v>
      </c>
      <c r="C147" s="13">
        <v>46314.470138888886</v>
      </c>
      <c r="D147">
        <v>36618</v>
      </c>
      <c r="E147" s="54" t="s">
        <v>237</v>
      </c>
      <c r="F147" s="54" t="s">
        <v>1213</v>
      </c>
      <c r="G147" s="54" t="s">
        <v>1523</v>
      </c>
      <c r="H147" s="55">
        <v>20.3</v>
      </c>
      <c r="I147" s="55">
        <v>7.3999999999999995</v>
      </c>
      <c r="J147" s="55">
        <v>13.5</v>
      </c>
      <c r="K147" s="54" t="s">
        <v>2090</v>
      </c>
      <c r="L147" s="56" t="b">
        <v>0</v>
      </c>
      <c r="M147" s="56" t="b">
        <v>0</v>
      </c>
      <c r="N147" s="54">
        <v>1</v>
      </c>
      <c r="O147" s="54" t="s">
        <v>228</v>
      </c>
      <c r="P147" s="54">
        <v>3</v>
      </c>
      <c r="Q147" s="54">
        <v>12</v>
      </c>
      <c r="R147" s="54" t="s">
        <v>1524</v>
      </c>
      <c r="S147" s="54" t="s">
        <v>1520</v>
      </c>
      <c r="T147" s="54"/>
      <c r="U147" s="54" t="s">
        <v>1511</v>
      </c>
      <c r="V147" s="54" t="s">
        <v>1525</v>
      </c>
      <c r="W147" s="54" t="b">
        <v>0</v>
      </c>
      <c r="X147" s="54"/>
      <c r="Y147" s="57" t="s">
        <v>1526</v>
      </c>
      <c r="Z147" s="54" t="s">
        <v>1520</v>
      </c>
      <c r="AA147" s="54"/>
      <c r="AB147" s="54" t="s">
        <v>1870</v>
      </c>
      <c r="AC147" s="56" t="b">
        <v>1</v>
      </c>
      <c r="AD147" s="56" t="b">
        <v>1</v>
      </c>
      <c r="AE147" s="54" t="s">
        <v>302</v>
      </c>
      <c r="AF147" s="58">
        <v>46314</v>
      </c>
      <c r="AG147" s="62" t="s">
        <v>293</v>
      </c>
      <c r="AH147" s="54">
        <v>0</v>
      </c>
      <c r="AI147" s="54">
        <v>1000</v>
      </c>
      <c r="AJ147" s="54"/>
      <c r="AK147" s="54"/>
      <c r="AL147" s="54"/>
      <c r="AM147" s="54">
        <v>0</v>
      </c>
      <c r="AN147" s="54">
        <v>-125</v>
      </c>
      <c r="AO147" s="54"/>
      <c r="AP147" s="54"/>
      <c r="AQ147" s="54"/>
      <c r="AR147" s="54"/>
      <c r="AS147" s="54"/>
      <c r="AT147" s="54"/>
      <c r="AU147" s="54"/>
      <c r="AV147" s="54"/>
      <c r="AW147" s="54"/>
      <c r="AX147" s="59"/>
      <c r="AY147" s="59"/>
      <c r="AZ147" s="59"/>
      <c r="BA147" s="59"/>
      <c r="BB147" s="59">
        <v>0.12664500000000001</v>
      </c>
      <c r="BC147" s="60"/>
      <c r="BD147" s="61"/>
      <c r="BE147" s="62" t="e">
        <v>#N/A</v>
      </c>
      <c r="BF147" s="35">
        <f t="shared" si="0"/>
        <v>4.0600000000000005</v>
      </c>
      <c r="BG147" s="35">
        <f t="shared" si="0"/>
        <v>6.8672999999999998E-2</v>
      </c>
      <c r="BH147" s="35" t="str">
        <f t="shared" si="309"/>
        <v>?</v>
      </c>
      <c r="BI147" s="110">
        <f t="shared" si="310"/>
        <v>0</v>
      </c>
      <c r="BJ147" s="83" t="str">
        <f>VLOOKUP($F147,REP_Info!$D$6:$H$250,5,FALSE)</f>
        <v/>
      </c>
      <c r="BK147" s="30" t="e">
        <f t="shared" si="1"/>
        <v>#N/A</v>
      </c>
      <c r="BL147" s="30" t="e">
        <f t="shared" si="1"/>
        <v>#N/A</v>
      </c>
      <c r="BM147" s="30" t="e">
        <f t="shared" si="1"/>
        <v>#N/A</v>
      </c>
      <c r="BN147" s="29" t="e">
        <f t="shared" si="1"/>
        <v>#N/A</v>
      </c>
      <c r="BO147" s="85" t="str">
        <f t="shared" si="2"/>
        <v>$$$</v>
      </c>
      <c r="BP147" s="88" t="str">
        <f t="shared" si="311"/>
        <v>$$$</v>
      </c>
      <c r="BQ147" s="88" t="str">
        <f t="shared" si="4"/>
        <v>$$$</v>
      </c>
      <c r="BR147" s="88" t="str">
        <f t="shared" si="5"/>
        <v>$$$</v>
      </c>
      <c r="BS147" s="29" t="e">
        <f t="shared" si="319"/>
        <v>#N/A</v>
      </c>
      <c r="BT147" s="29" t="e">
        <f t="shared" si="319"/>
        <v>#N/A</v>
      </c>
      <c r="BU147" s="29" t="e">
        <f t="shared" si="319"/>
        <v>#N/A</v>
      </c>
      <c r="BV147" s="29" t="e">
        <f t="shared" si="319"/>
        <v>#N/A</v>
      </c>
      <c r="BW147" s="29" t="e">
        <f t="shared" si="319"/>
        <v>#N/A</v>
      </c>
      <c r="BX147" s="29" t="e">
        <f t="shared" si="319"/>
        <v>#N/A</v>
      </c>
      <c r="BY147" s="29" t="e">
        <f t="shared" si="319"/>
        <v>#N/A</v>
      </c>
      <c r="BZ147" s="29" t="e">
        <f t="shared" si="319"/>
        <v>#N/A</v>
      </c>
      <c r="CA147" s="29" t="e">
        <f t="shared" si="319"/>
        <v>#N/A</v>
      </c>
      <c r="CB147" s="29" t="e">
        <f t="shared" si="319"/>
        <v>#N/A</v>
      </c>
      <c r="CC147" s="29" t="e">
        <f t="shared" si="319"/>
        <v>#N/A</v>
      </c>
      <c r="CD147" s="29" t="e">
        <f t="shared" si="319"/>
        <v>#N/A</v>
      </c>
      <c r="CE147" s="6" t="str">
        <f t="shared" si="320"/>
        <v/>
      </c>
      <c r="CF147" s="27" t="e">
        <f>IF(AND(CI147,NOT(AD147)),LOOKUP(CF$5,{0,750,1500},H147:J147),"")</f>
        <v>#N/A</v>
      </c>
      <c r="CG147" s="6" t="str">
        <f t="shared" si="321"/>
        <v/>
      </c>
      <c r="CH147" t="e">
        <f t="shared" si="312"/>
        <v>#N/A</v>
      </c>
      <c r="CI147" t="e">
        <f t="shared" si="313"/>
        <v>#N/A</v>
      </c>
      <c r="CJ147" s="6" t="e">
        <f t="shared" si="11"/>
        <v>#N/A</v>
      </c>
      <c r="CK147" s="6">
        <f t="shared" si="12"/>
        <v>1</v>
      </c>
      <c r="CL147" s="6">
        <f t="shared" si="26"/>
        <v>1</v>
      </c>
      <c r="CM147" s="6">
        <f t="shared" si="13"/>
        <v>1</v>
      </c>
      <c r="CN147" s="6">
        <f t="shared" si="14"/>
        <v>1</v>
      </c>
      <c r="CO147" s="6">
        <f t="shared" si="15"/>
        <v>1</v>
      </c>
      <c r="CP147" s="6">
        <f t="shared" si="16"/>
        <v>1</v>
      </c>
      <c r="CQ147" s="6">
        <f t="shared" si="314"/>
        <v>1</v>
      </c>
      <c r="CR147" s="81" t="str">
        <f t="shared" si="17"/>
        <v/>
      </c>
      <c r="CS147">
        <f t="shared" si="315"/>
        <v>0</v>
      </c>
      <c r="CT147">
        <f t="shared" si="19"/>
        <v>20</v>
      </c>
      <c r="CU147" t="str">
        <f t="shared" si="29"/>
        <v>rm</v>
      </c>
      <c r="CV147" s="81">
        <f t="shared" si="316"/>
        <v>240</v>
      </c>
      <c r="CW147" s="81">
        <f>(CV147/25)^1.5*(Calculator!$BU$4/10000)*CW$5</f>
        <v>15.468811984091507</v>
      </c>
      <c r="CX147" t="str">
        <f t="shared" si="317"/>
        <v>$20/rm</v>
      </c>
    </row>
    <row r="148" spans="2:102" x14ac:dyDescent="0.25">
      <c r="B148" s="115" t="s">
        <v>233</v>
      </c>
      <c r="C148" s="13">
        <v>46314.470138888886</v>
      </c>
      <c r="D148">
        <v>36619</v>
      </c>
      <c r="E148" s="54" t="s">
        <v>235</v>
      </c>
      <c r="F148" s="54" t="s">
        <v>1213</v>
      </c>
      <c r="G148" s="54" t="s">
        <v>1523</v>
      </c>
      <c r="H148" s="55">
        <v>20.599999999999998</v>
      </c>
      <c r="I148" s="55">
        <v>7.6</v>
      </c>
      <c r="J148" s="55">
        <v>13.600000000000001</v>
      </c>
      <c r="K148" s="54" t="s">
        <v>2090</v>
      </c>
      <c r="L148" s="56" t="b">
        <v>0</v>
      </c>
      <c r="M148" s="56" t="b">
        <v>0</v>
      </c>
      <c r="N148" s="54">
        <v>1</v>
      </c>
      <c r="O148" s="54" t="s">
        <v>228</v>
      </c>
      <c r="P148" s="54">
        <v>3</v>
      </c>
      <c r="Q148" s="54">
        <v>12</v>
      </c>
      <c r="R148" s="54" t="s">
        <v>1524</v>
      </c>
      <c r="S148" s="54" t="s">
        <v>1520</v>
      </c>
      <c r="T148" s="54"/>
      <c r="U148" s="54" t="s">
        <v>1513</v>
      </c>
      <c r="V148" s="54" t="s">
        <v>1527</v>
      </c>
      <c r="W148" s="54" t="b">
        <v>0</v>
      </c>
      <c r="X148" s="54"/>
      <c r="Y148" s="57" t="s">
        <v>1528</v>
      </c>
      <c r="Z148" s="54" t="s">
        <v>1520</v>
      </c>
      <c r="AA148" s="54"/>
      <c r="AB148" s="54" t="s">
        <v>1870</v>
      </c>
      <c r="AC148" s="56" t="b">
        <v>1</v>
      </c>
      <c r="AD148" s="56" t="b">
        <v>1</v>
      </c>
      <c r="AE148" s="54" t="s">
        <v>302</v>
      </c>
      <c r="AF148" s="58">
        <v>46314</v>
      </c>
      <c r="AG148" s="62" t="s">
        <v>293</v>
      </c>
      <c r="AH148" s="54">
        <v>0</v>
      </c>
      <c r="AI148" s="54">
        <v>1000</v>
      </c>
      <c r="AJ148" s="54"/>
      <c r="AK148" s="54"/>
      <c r="AL148" s="54"/>
      <c r="AM148" s="54">
        <v>0</v>
      </c>
      <c r="AN148" s="54">
        <v>-125</v>
      </c>
      <c r="AO148" s="54"/>
      <c r="AP148" s="54"/>
      <c r="AQ148" s="54"/>
      <c r="AR148" s="54"/>
      <c r="AS148" s="54"/>
      <c r="AT148" s="54"/>
      <c r="AU148" s="54"/>
      <c r="AV148" s="54"/>
      <c r="AW148" s="54"/>
      <c r="AX148" s="59"/>
      <c r="AY148" s="59"/>
      <c r="AZ148" s="59"/>
      <c r="BA148" s="59"/>
      <c r="BB148" s="59">
        <v>0.13097</v>
      </c>
      <c r="BC148" s="60"/>
      <c r="BD148" s="61"/>
      <c r="BE148" s="62" t="e">
        <v>#N/A</v>
      </c>
      <c r="BF148" s="35">
        <f t="shared" si="0"/>
        <v>4.9000000000000004</v>
      </c>
      <c r="BG148" s="35">
        <f t="shared" si="0"/>
        <v>6.5333000000000002E-2</v>
      </c>
      <c r="BH148" s="35" t="str">
        <f t="shared" si="309"/>
        <v>?</v>
      </c>
      <c r="BI148" s="110">
        <f t="shared" si="310"/>
        <v>0</v>
      </c>
      <c r="BJ148" s="83" t="str">
        <f>VLOOKUP($F148,REP_Info!$D$6:$H$250,5,FALSE)</f>
        <v/>
      </c>
      <c r="BK148" s="30" t="e">
        <f t="shared" si="1"/>
        <v>#N/A</v>
      </c>
      <c r="BL148" s="30" t="e">
        <f t="shared" si="1"/>
        <v>#N/A</v>
      </c>
      <c r="BM148" s="30" t="e">
        <f t="shared" si="1"/>
        <v>#N/A</v>
      </c>
      <c r="BN148" s="29" t="e">
        <f t="shared" si="1"/>
        <v>#N/A</v>
      </c>
      <c r="BO148" s="85" t="str">
        <f t="shared" si="2"/>
        <v>$$$</v>
      </c>
      <c r="BP148" s="88" t="str">
        <f t="shared" si="311"/>
        <v>$$$</v>
      </c>
      <c r="BQ148" s="88" t="str">
        <f t="shared" si="4"/>
        <v>$$$</v>
      </c>
      <c r="BR148" s="88" t="str">
        <f t="shared" si="5"/>
        <v>$$$</v>
      </c>
      <c r="BS148" s="29" t="e">
        <f t="shared" si="319"/>
        <v>#N/A</v>
      </c>
      <c r="BT148" s="29" t="e">
        <f t="shared" si="319"/>
        <v>#N/A</v>
      </c>
      <c r="BU148" s="29" t="e">
        <f t="shared" si="319"/>
        <v>#N/A</v>
      </c>
      <c r="BV148" s="29" t="e">
        <f t="shared" si="319"/>
        <v>#N/A</v>
      </c>
      <c r="BW148" s="29" t="e">
        <f t="shared" si="319"/>
        <v>#N/A</v>
      </c>
      <c r="BX148" s="29" t="e">
        <f t="shared" si="319"/>
        <v>#N/A</v>
      </c>
      <c r="BY148" s="29" t="e">
        <f t="shared" si="319"/>
        <v>#N/A</v>
      </c>
      <c r="BZ148" s="29" t="e">
        <f t="shared" si="319"/>
        <v>#N/A</v>
      </c>
      <c r="CA148" s="29" t="e">
        <f t="shared" si="319"/>
        <v>#N/A</v>
      </c>
      <c r="CB148" s="29" t="e">
        <f t="shared" si="319"/>
        <v>#N/A</v>
      </c>
      <c r="CC148" s="29" t="e">
        <f t="shared" si="319"/>
        <v>#N/A</v>
      </c>
      <c r="CD148" s="29" t="e">
        <f t="shared" si="319"/>
        <v>#N/A</v>
      </c>
      <c r="CE148" s="6" t="str">
        <f t="shared" si="320"/>
        <v/>
      </c>
      <c r="CF148" s="27" t="e">
        <f>IF(AND(CI148,NOT(AD148)),LOOKUP(CF$5,{0,750,1500},H148:J148),"")</f>
        <v>#N/A</v>
      </c>
      <c r="CG148" s="6" t="str">
        <f t="shared" si="321"/>
        <v/>
      </c>
      <c r="CH148" t="e">
        <f t="shared" si="312"/>
        <v>#N/A</v>
      </c>
      <c r="CI148" t="e">
        <f t="shared" si="313"/>
        <v>#N/A</v>
      </c>
      <c r="CJ148" s="6" t="e">
        <f t="shared" si="11"/>
        <v>#N/A</v>
      </c>
      <c r="CK148" s="6">
        <f t="shared" si="12"/>
        <v>1</v>
      </c>
      <c r="CL148" s="6">
        <f t="shared" si="26"/>
        <v>1</v>
      </c>
      <c r="CM148" s="6">
        <f t="shared" si="13"/>
        <v>1</v>
      </c>
      <c r="CN148" s="6">
        <f t="shared" si="14"/>
        <v>1</v>
      </c>
      <c r="CO148" s="6">
        <f t="shared" si="15"/>
        <v>1</v>
      </c>
      <c r="CP148" s="6">
        <f t="shared" si="16"/>
        <v>1</v>
      </c>
      <c r="CQ148" s="6">
        <f t="shared" si="314"/>
        <v>1</v>
      </c>
      <c r="CR148" s="81" t="str">
        <f t="shared" si="17"/>
        <v/>
      </c>
      <c r="CS148">
        <f t="shared" si="315"/>
        <v>0</v>
      </c>
      <c r="CT148">
        <f t="shared" si="19"/>
        <v>20</v>
      </c>
      <c r="CU148" t="str">
        <f t="shared" si="29"/>
        <v>rm</v>
      </c>
      <c r="CV148" s="81">
        <f t="shared" si="316"/>
        <v>240</v>
      </c>
      <c r="CW148" s="81">
        <f>(CV148/25)^1.5*(Calculator!$BU$4/10000)*CW$5</f>
        <v>15.468811984091507</v>
      </c>
      <c r="CX148" t="str">
        <f t="shared" si="317"/>
        <v>$20/rm</v>
      </c>
    </row>
    <row r="149" spans="2:102" x14ac:dyDescent="0.25">
      <c r="B149" s="115" t="s">
        <v>233</v>
      </c>
      <c r="C149" s="13">
        <v>46304.647222222222</v>
      </c>
      <c r="D149">
        <v>35882</v>
      </c>
      <c r="E149" s="54" t="s">
        <v>237</v>
      </c>
      <c r="F149" s="54" t="s">
        <v>451</v>
      </c>
      <c r="G149" s="54" t="s">
        <v>452</v>
      </c>
      <c r="H149" s="55">
        <v>12.8</v>
      </c>
      <c r="I149" s="55">
        <v>12.4</v>
      </c>
      <c r="J149" s="55">
        <v>12.2</v>
      </c>
      <c r="K149" s="54"/>
      <c r="L149" s="56" t="b">
        <v>0</v>
      </c>
      <c r="M149" s="56" t="b">
        <v>0</v>
      </c>
      <c r="N149" s="54">
        <v>1</v>
      </c>
      <c r="O149" s="54" t="s">
        <v>228</v>
      </c>
      <c r="P149" s="54">
        <v>30</v>
      </c>
      <c r="Q149" s="54">
        <v>12</v>
      </c>
      <c r="R149" s="54">
        <v>150</v>
      </c>
      <c r="S149" s="54" t="s">
        <v>1914</v>
      </c>
      <c r="T149" s="54" t="s">
        <v>453</v>
      </c>
      <c r="U149" s="54" t="s">
        <v>454</v>
      </c>
      <c r="V149" s="54" t="s">
        <v>455</v>
      </c>
      <c r="W149" s="54" t="b">
        <v>0</v>
      </c>
      <c r="X149" s="54"/>
      <c r="Y149" s="57" t="s">
        <v>1992</v>
      </c>
      <c r="Z149" s="54" t="s">
        <v>1915</v>
      </c>
      <c r="AA149" s="54"/>
      <c r="AB149" s="54" t="s">
        <v>456</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5.1700000000000003E-2</v>
      </c>
      <c r="BC149" s="60">
        <v>4.0599999999999996</v>
      </c>
      <c r="BD149" s="61">
        <v>6.8672999999999998E-2</v>
      </c>
      <c r="BE149" s="62" t="s">
        <v>293</v>
      </c>
      <c r="BF149" s="35">
        <f t="shared" si="0"/>
        <v>4.0600000000000005</v>
      </c>
      <c r="BG149" s="35">
        <f t="shared" si="0"/>
        <v>6.8672999999999998E-2</v>
      </c>
      <c r="BH149" s="35" t="str">
        <f t="shared" si="309"/>
        <v>Low</v>
      </c>
      <c r="BI149" s="110">
        <f t="shared" si="310"/>
        <v>0</v>
      </c>
      <c r="BJ149" s="83" t="str">
        <f>VLOOKUP($F149,REP_Info!$D$6:$H$250,5,FALSE)</f>
        <v/>
      </c>
      <c r="BK149" s="30">
        <f t="shared" si="1"/>
        <v>12.849299999999999</v>
      </c>
      <c r="BL149" s="30">
        <f t="shared" si="1"/>
        <v>12.443300000000001</v>
      </c>
      <c r="BM149" s="30">
        <f t="shared" si="1"/>
        <v>12.240300000000001</v>
      </c>
      <c r="BN149" s="29">
        <f t="shared" si="1"/>
        <v>12.172633333333334</v>
      </c>
      <c r="BO149" s="85" t="str">
        <f t="shared" si="2"/>
        <v>$$$</v>
      </c>
      <c r="BP149" s="88" t="str">
        <f t="shared" si="311"/>
        <v>$$$</v>
      </c>
      <c r="BQ149" s="88" t="str">
        <f t="shared" si="4"/>
        <v>$$$</v>
      </c>
      <c r="BR149" s="88" t="str">
        <f t="shared" si="5"/>
        <v>$$$</v>
      </c>
      <c r="BS149" s="29" t="e">
        <f t="shared" si="319"/>
        <v>#N/A</v>
      </c>
      <c r="BT149" s="29" t="e">
        <f t="shared" si="319"/>
        <v>#N/A</v>
      </c>
      <c r="BU149" s="29" t="e">
        <f t="shared" si="319"/>
        <v>#N/A</v>
      </c>
      <c r="BV149" s="29" t="e">
        <f t="shared" si="319"/>
        <v>#N/A</v>
      </c>
      <c r="BW149" s="29" t="e">
        <f t="shared" si="319"/>
        <v>#N/A</v>
      </c>
      <c r="BX149" s="29" t="e">
        <f t="shared" si="319"/>
        <v>#N/A</v>
      </c>
      <c r="BY149" s="29" t="e">
        <f t="shared" si="319"/>
        <v>#N/A</v>
      </c>
      <c r="BZ149" s="29" t="e">
        <f t="shared" si="319"/>
        <v>#N/A</v>
      </c>
      <c r="CA149" s="29" t="e">
        <f t="shared" si="319"/>
        <v>#N/A</v>
      </c>
      <c r="CB149" s="29" t="e">
        <f t="shared" si="319"/>
        <v>#N/A</v>
      </c>
      <c r="CC149" s="29" t="e">
        <f t="shared" si="319"/>
        <v>#N/A</v>
      </c>
      <c r="CD149" s="29" t="e">
        <f t="shared" si="319"/>
        <v>#N/A</v>
      </c>
      <c r="CE149" s="6" t="str">
        <f t="shared" si="320"/>
        <v/>
      </c>
      <c r="CF149" s="27" t="e">
        <f>IF(AND(CI149,NOT(AD149)),LOOKUP(CF$5,{0,750,1500},H149:J149),"")</f>
        <v>#N/A</v>
      </c>
      <c r="CG149" s="6" t="str">
        <f t="shared" si="321"/>
        <v/>
      </c>
      <c r="CH149" t="e">
        <f t="shared" si="312"/>
        <v>#N/A</v>
      </c>
      <c r="CI149" t="e">
        <f t="shared" si="313"/>
        <v>#N/A</v>
      </c>
      <c r="CJ149" s="6" t="e">
        <f t="shared" si="11"/>
        <v>#N/A</v>
      </c>
      <c r="CK149" s="6">
        <f t="shared" si="12"/>
        <v>1</v>
      </c>
      <c r="CL149" s="6">
        <f t="shared" si="26"/>
        <v>1</v>
      </c>
      <c r="CM149" s="6">
        <f t="shared" si="13"/>
        <v>1</v>
      </c>
      <c r="CN149" s="6">
        <f t="shared" si="14"/>
        <v>1</v>
      </c>
      <c r="CO149" s="6">
        <f t="shared" si="15"/>
        <v>1</v>
      </c>
      <c r="CP149" s="6">
        <f t="shared" si="16"/>
        <v>1</v>
      </c>
      <c r="CQ149" s="6">
        <f t="shared" si="314"/>
        <v>1</v>
      </c>
      <c r="CR149" s="81" t="str">
        <f t="shared" si="17"/>
        <v/>
      </c>
      <c r="CS149">
        <f t="shared" si="315"/>
        <v>0</v>
      </c>
      <c r="CT149">
        <f t="shared" si="19"/>
        <v>150</v>
      </c>
      <c r="CU149" t="str">
        <f t="shared" si="29"/>
        <v/>
      </c>
      <c r="CV149" s="81">
        <f t="shared" si="316"/>
        <v>150</v>
      </c>
      <c r="CW149" s="81">
        <f>(CV149/25)^1.5*(Calculator!$BU$4/10000)*CW$5</f>
        <v>7.6432310260371077</v>
      </c>
      <c r="CX149" t="str">
        <f t="shared" si="317"/>
        <v>$150</v>
      </c>
    </row>
    <row r="150" spans="2:102" x14ac:dyDescent="0.25">
      <c r="B150" s="115" t="s">
        <v>233</v>
      </c>
      <c r="C150" s="13">
        <v>46304.647222222222</v>
      </c>
      <c r="D150">
        <v>35884</v>
      </c>
      <c r="E150" s="54" t="s">
        <v>235</v>
      </c>
      <c r="F150" s="54" t="s">
        <v>451</v>
      </c>
      <c r="G150" s="54" t="s">
        <v>452</v>
      </c>
      <c r="H150" s="55">
        <v>12.9</v>
      </c>
      <c r="I150" s="55">
        <v>12.4</v>
      </c>
      <c r="J150" s="55">
        <v>12.2</v>
      </c>
      <c r="K150" s="54"/>
      <c r="L150" s="56" t="b">
        <v>0</v>
      </c>
      <c r="M150" s="56" t="b">
        <v>0</v>
      </c>
      <c r="N150" s="54">
        <v>1</v>
      </c>
      <c r="O150" s="54" t="s">
        <v>228</v>
      </c>
      <c r="P150" s="54">
        <v>30</v>
      </c>
      <c r="Q150" s="54">
        <v>12</v>
      </c>
      <c r="R150" s="54">
        <v>150</v>
      </c>
      <c r="S150" s="54" t="s">
        <v>1916</v>
      </c>
      <c r="T150" s="54" t="s">
        <v>453</v>
      </c>
      <c r="U150" s="54" t="s">
        <v>454</v>
      </c>
      <c r="V150" s="54" t="s">
        <v>455</v>
      </c>
      <c r="W150" s="54" t="b">
        <v>0</v>
      </c>
      <c r="X150" s="54"/>
      <c r="Y150" s="57" t="s">
        <v>1993</v>
      </c>
      <c r="Z150" s="54" t="s">
        <v>1917</v>
      </c>
      <c r="AA150" s="54"/>
      <c r="AB150" s="54" t="s">
        <v>456</v>
      </c>
      <c r="AC150" s="56" t="b">
        <v>1</v>
      </c>
      <c r="AD150" s="56" t="b">
        <v>0</v>
      </c>
      <c r="AE150" s="54" t="s">
        <v>302</v>
      </c>
      <c r="AF150" s="58">
        <v>46304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5.4199999999999998E-2</v>
      </c>
      <c r="BC150" s="60">
        <v>4.9000000000000004</v>
      </c>
      <c r="BD150" s="61">
        <v>6.5333000000000002E-2</v>
      </c>
      <c r="BE150" s="62" t="s">
        <v>293</v>
      </c>
      <c r="BF150" s="35">
        <f t="shared" si="0"/>
        <v>4.9000000000000004</v>
      </c>
      <c r="BG150" s="35">
        <f t="shared" si="0"/>
        <v>6.5333000000000002E-2</v>
      </c>
      <c r="BH150" s="35" t="str">
        <f t="shared" si="309"/>
        <v>Low</v>
      </c>
      <c r="BI150" s="110">
        <f t="shared" si="310"/>
        <v>0</v>
      </c>
      <c r="BJ150" s="83" t="str">
        <f>VLOOKUP($F150,REP_Info!$D$6:$H$250,5,FALSE)</f>
        <v/>
      </c>
      <c r="BK150" s="30">
        <f t="shared" si="1"/>
        <v>12.933299999999999</v>
      </c>
      <c r="BL150" s="30">
        <f t="shared" si="1"/>
        <v>12.443299999999999</v>
      </c>
      <c r="BM150" s="30">
        <f t="shared" si="1"/>
        <v>12.198300000000001</v>
      </c>
      <c r="BN150" s="29">
        <f t="shared" si="1"/>
        <v>12.116633333333334</v>
      </c>
      <c r="BO150" s="85" t="str">
        <f t="shared" si="2"/>
        <v>$$$</v>
      </c>
      <c r="BP150" s="88" t="str">
        <f t="shared" si="311"/>
        <v>$$$</v>
      </c>
      <c r="BQ150" s="88" t="str">
        <f t="shared" si="4"/>
        <v>$$$</v>
      </c>
      <c r="BR150" s="88" t="str">
        <f t="shared" si="5"/>
        <v>$$$</v>
      </c>
      <c r="BS150" s="29" t="e">
        <f t="shared" si="319"/>
        <v>#N/A</v>
      </c>
      <c r="BT150" s="29" t="e">
        <f t="shared" si="319"/>
        <v>#N/A</v>
      </c>
      <c r="BU150" s="29" t="e">
        <f t="shared" si="319"/>
        <v>#N/A</v>
      </c>
      <c r="BV150" s="29" t="e">
        <f t="shared" si="319"/>
        <v>#N/A</v>
      </c>
      <c r="BW150" s="29" t="e">
        <f t="shared" si="319"/>
        <v>#N/A</v>
      </c>
      <c r="BX150" s="29" t="e">
        <f t="shared" si="319"/>
        <v>#N/A</v>
      </c>
      <c r="BY150" s="29" t="e">
        <f t="shared" si="319"/>
        <v>#N/A</v>
      </c>
      <c r="BZ150" s="29" t="e">
        <f t="shared" si="319"/>
        <v>#N/A</v>
      </c>
      <c r="CA150" s="29" t="e">
        <f t="shared" si="319"/>
        <v>#N/A</v>
      </c>
      <c r="CB150" s="29" t="e">
        <f t="shared" si="319"/>
        <v>#N/A</v>
      </c>
      <c r="CC150" s="29" t="e">
        <f t="shared" si="319"/>
        <v>#N/A</v>
      </c>
      <c r="CD150" s="29" t="e">
        <f t="shared" si="319"/>
        <v>#N/A</v>
      </c>
      <c r="CE150" s="6" t="str">
        <f t="shared" si="320"/>
        <v/>
      </c>
      <c r="CF150" s="27" t="e">
        <f>IF(AND(CI150,NOT(AD150)),LOOKUP(CF$5,{0,750,1500},H150:J150),"")</f>
        <v>#N/A</v>
      </c>
      <c r="CG150" s="6" t="str">
        <f t="shared" si="321"/>
        <v/>
      </c>
      <c r="CH150" t="e">
        <f t="shared" si="312"/>
        <v>#N/A</v>
      </c>
      <c r="CI150" t="e">
        <f t="shared" si="313"/>
        <v>#N/A</v>
      </c>
      <c r="CJ150" s="6" t="e">
        <f t="shared" si="11"/>
        <v>#N/A</v>
      </c>
      <c r="CK150" s="6">
        <f t="shared" si="12"/>
        <v>1</v>
      </c>
      <c r="CL150" s="6">
        <f t="shared" si="26"/>
        <v>1</v>
      </c>
      <c r="CM150" s="6">
        <f t="shared" si="13"/>
        <v>1</v>
      </c>
      <c r="CN150" s="6">
        <f t="shared" si="14"/>
        <v>1</v>
      </c>
      <c r="CO150" s="6">
        <f t="shared" si="15"/>
        <v>1</v>
      </c>
      <c r="CP150" s="6">
        <f t="shared" si="16"/>
        <v>1</v>
      </c>
      <c r="CQ150" s="6">
        <f t="shared" si="314"/>
        <v>1</v>
      </c>
      <c r="CR150" s="81" t="str">
        <f t="shared" si="17"/>
        <v/>
      </c>
      <c r="CS150">
        <f t="shared" si="315"/>
        <v>0</v>
      </c>
      <c r="CT150">
        <f t="shared" si="19"/>
        <v>150</v>
      </c>
      <c r="CU150" t="str">
        <f t="shared" si="29"/>
        <v/>
      </c>
      <c r="CV150" s="81">
        <f t="shared" si="316"/>
        <v>150</v>
      </c>
      <c r="CW150" s="81">
        <f>(CV150/25)^1.5*(Calculator!$BU$4/10000)*CW$5</f>
        <v>7.6432310260371077</v>
      </c>
      <c r="CX150" t="str">
        <f t="shared" si="317"/>
        <v>$150</v>
      </c>
    </row>
    <row r="151" spans="2:102" x14ac:dyDescent="0.25">
      <c r="B151" s="115" t="s">
        <v>233</v>
      </c>
      <c r="C151" s="13">
        <v>46317.620833333334</v>
      </c>
      <c r="D151">
        <v>35895</v>
      </c>
      <c r="E151" s="54" t="s">
        <v>237</v>
      </c>
      <c r="F151" s="54" t="s">
        <v>451</v>
      </c>
      <c r="G151" s="54" t="s">
        <v>1723</v>
      </c>
      <c r="H151" s="55">
        <v>12</v>
      </c>
      <c r="I151" s="55">
        <v>11.600000000000001</v>
      </c>
      <c r="J151" s="55">
        <v>11.4</v>
      </c>
      <c r="K151" s="54"/>
      <c r="L151" s="56" t="b">
        <v>0</v>
      </c>
      <c r="M151" s="56" t="b">
        <v>0</v>
      </c>
      <c r="N151" s="54">
        <v>1</v>
      </c>
      <c r="O151" s="54" t="s">
        <v>228</v>
      </c>
      <c r="P151" s="54">
        <v>30</v>
      </c>
      <c r="Q151" s="54">
        <v>8</v>
      </c>
      <c r="R151" s="54">
        <v>150</v>
      </c>
      <c r="S151" s="54" t="s">
        <v>1918</v>
      </c>
      <c r="T151" s="54" t="s">
        <v>453</v>
      </c>
      <c r="U151" s="54" t="s">
        <v>454</v>
      </c>
      <c r="V151" s="54" t="s">
        <v>455</v>
      </c>
      <c r="W151" s="54" t="b">
        <v>0</v>
      </c>
      <c r="X151" s="54"/>
      <c r="Y151" s="57" t="s">
        <v>2214</v>
      </c>
      <c r="Z151" s="54" t="s">
        <v>1919</v>
      </c>
      <c r="AA151" s="54"/>
      <c r="AB151" s="54" t="s">
        <v>456</v>
      </c>
      <c r="AC151" s="56" t="b">
        <v>1</v>
      </c>
      <c r="AD151" s="56" t="b">
        <v>0</v>
      </c>
      <c r="AE151" s="54" t="s">
        <v>302</v>
      </c>
      <c r="AF151" s="58">
        <v>46317</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4.3700000000000003E-2</v>
      </c>
      <c r="BC151" s="60">
        <v>4.0599999999999996</v>
      </c>
      <c r="BD151" s="61">
        <v>6.8672999999999998E-2</v>
      </c>
      <c r="BE151" s="62" t="s">
        <v>293</v>
      </c>
      <c r="BF151" s="35">
        <f t="shared" si="0"/>
        <v>4.0600000000000005</v>
      </c>
      <c r="BG151" s="35">
        <f t="shared" si="0"/>
        <v>6.8672999999999998E-2</v>
      </c>
      <c r="BH151" s="35" t="str">
        <f t="shared" si="309"/>
        <v>Low</v>
      </c>
      <c r="BI151" s="110">
        <f t="shared" si="310"/>
        <v>0</v>
      </c>
      <c r="BJ151" s="83" t="str">
        <f>VLOOKUP($F151,REP_Info!$D$6:$H$250,5,FALSE)</f>
        <v/>
      </c>
      <c r="BK151" s="30">
        <f t="shared" si="1"/>
        <v>12.049300000000001</v>
      </c>
      <c r="BL151" s="30">
        <f t="shared" si="1"/>
        <v>11.643300000000002</v>
      </c>
      <c r="BM151" s="30">
        <f t="shared" si="1"/>
        <v>11.440300000000001</v>
      </c>
      <c r="BN151" s="29">
        <f t="shared" si="1"/>
        <v>11.372633333333331</v>
      </c>
      <c r="BO151" s="85" t="str">
        <f t="shared" si="2"/>
        <v>$$$</v>
      </c>
      <c r="BP151" s="88" t="str">
        <f t="shared" si="311"/>
        <v>$$$</v>
      </c>
      <c r="BQ151" s="88" t="str">
        <f t="shared" si="4"/>
        <v>$$$</v>
      </c>
      <c r="BR151" s="88" t="str">
        <f t="shared" si="5"/>
        <v>$$$</v>
      </c>
      <c r="BS151" s="29" t="e">
        <f t="shared" si="319"/>
        <v>#N/A</v>
      </c>
      <c r="BT151" s="29" t="e">
        <f t="shared" si="319"/>
        <v>#N/A</v>
      </c>
      <c r="BU151" s="29" t="e">
        <f t="shared" si="319"/>
        <v>#N/A</v>
      </c>
      <c r="BV151" s="29" t="e">
        <f t="shared" si="319"/>
        <v>#N/A</v>
      </c>
      <c r="BW151" s="29" t="e">
        <f t="shared" si="319"/>
        <v>#N/A</v>
      </c>
      <c r="BX151" s="29" t="e">
        <f t="shared" si="319"/>
        <v>#N/A</v>
      </c>
      <c r="BY151" s="29" t="e">
        <f t="shared" si="319"/>
        <v>#N/A</v>
      </c>
      <c r="BZ151" s="29" t="e">
        <f t="shared" si="319"/>
        <v>#N/A</v>
      </c>
      <c r="CA151" s="29" t="e">
        <f t="shared" si="319"/>
        <v>#N/A</v>
      </c>
      <c r="CB151" s="29" t="e">
        <f t="shared" si="319"/>
        <v>#N/A</v>
      </c>
      <c r="CC151" s="29" t="e">
        <f t="shared" si="319"/>
        <v>#N/A</v>
      </c>
      <c r="CD151" s="29" t="e">
        <f t="shared" si="319"/>
        <v>#N/A</v>
      </c>
      <c r="CE151" s="6" t="str">
        <f t="shared" si="320"/>
        <v/>
      </c>
      <c r="CF151" s="27" t="e">
        <f>IF(AND(CI151,NOT(AD151)),LOOKUP(CF$5,{0,750,1500},H151:J151),"")</f>
        <v>#N/A</v>
      </c>
      <c r="CG151" s="6" t="str">
        <f t="shared" si="321"/>
        <v/>
      </c>
      <c r="CH151" t="e">
        <f t="shared" si="312"/>
        <v>#N/A</v>
      </c>
      <c r="CI151" t="e">
        <f t="shared" si="313"/>
        <v>#N/A</v>
      </c>
      <c r="CJ151" s="6" t="e">
        <f t="shared" si="11"/>
        <v>#N/A</v>
      </c>
      <c r="CK151" s="6">
        <f t="shared" si="12"/>
        <v>1</v>
      </c>
      <c r="CL151" s="6">
        <f t="shared" si="26"/>
        <v>1</v>
      </c>
      <c r="CM151" s="6">
        <f t="shared" si="13"/>
        <v>1</v>
      </c>
      <c r="CN151" s="6">
        <f t="shared" si="14"/>
        <v>0</v>
      </c>
      <c r="CO151" s="6">
        <f t="shared" si="15"/>
        <v>1</v>
      </c>
      <c r="CP151" s="6">
        <f t="shared" si="16"/>
        <v>1</v>
      </c>
      <c r="CQ151" s="6">
        <f t="shared" si="314"/>
        <v>1</v>
      </c>
      <c r="CR151" s="81" t="str">
        <f t="shared" si="17"/>
        <v/>
      </c>
      <c r="CS151">
        <f t="shared" si="315"/>
        <v>9</v>
      </c>
      <c r="CT151">
        <f t="shared" si="19"/>
        <v>150</v>
      </c>
      <c r="CU151" t="str">
        <f t="shared" si="29"/>
        <v/>
      </c>
      <c r="CV151" s="81">
        <f t="shared" si="316"/>
        <v>150</v>
      </c>
      <c r="CW151" s="81">
        <f>(CV151/25)^1.5*(Calculator!$BU$4/10000)*CW$5</f>
        <v>7.6432310260371077</v>
      </c>
      <c r="CX151" t="str">
        <f t="shared" si="317"/>
        <v>$150</v>
      </c>
    </row>
    <row r="152" spans="2:102" x14ac:dyDescent="0.25">
      <c r="B152" s="115" t="s">
        <v>233</v>
      </c>
      <c r="C152" s="13">
        <v>46317.620833333334</v>
      </c>
      <c r="D152">
        <v>35897</v>
      </c>
      <c r="E152" s="54" t="s">
        <v>235</v>
      </c>
      <c r="F152" s="54" t="s">
        <v>451</v>
      </c>
      <c r="G152" s="54" t="s">
        <v>1723</v>
      </c>
      <c r="H152" s="55">
        <v>11.899999999999999</v>
      </c>
      <c r="I152" s="55">
        <v>11.4</v>
      </c>
      <c r="J152" s="55">
        <v>11.200000000000001</v>
      </c>
      <c r="K152" s="54"/>
      <c r="L152" s="56" t="b">
        <v>0</v>
      </c>
      <c r="M152" s="56" t="b">
        <v>0</v>
      </c>
      <c r="N152" s="54">
        <v>1</v>
      </c>
      <c r="O152" s="54" t="s">
        <v>228</v>
      </c>
      <c r="P152" s="54">
        <v>30</v>
      </c>
      <c r="Q152" s="54">
        <v>8</v>
      </c>
      <c r="R152" s="54">
        <v>150</v>
      </c>
      <c r="S152" s="54" t="s">
        <v>1920</v>
      </c>
      <c r="T152" s="54" t="s">
        <v>453</v>
      </c>
      <c r="U152" s="54" t="s">
        <v>454</v>
      </c>
      <c r="V152" s="54" t="s">
        <v>455</v>
      </c>
      <c r="W152" s="54" t="b">
        <v>0</v>
      </c>
      <c r="X152" s="54"/>
      <c r="Y152" s="57" t="s">
        <v>2215</v>
      </c>
      <c r="Z152" s="54" t="s">
        <v>1921</v>
      </c>
      <c r="AA152" s="54"/>
      <c r="AB152" s="54" t="s">
        <v>456</v>
      </c>
      <c r="AC152" s="56" t="b">
        <v>1</v>
      </c>
      <c r="AD152" s="56" t="b">
        <v>0</v>
      </c>
      <c r="AE152" s="54" t="s">
        <v>302</v>
      </c>
      <c r="AF152" s="58">
        <v>46317</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4.4200000000000003E-2</v>
      </c>
      <c r="BC152" s="60">
        <v>4.9000000000000004</v>
      </c>
      <c r="BD152" s="61">
        <v>6.5333000000000002E-2</v>
      </c>
      <c r="BE152" s="62" t="s">
        <v>293</v>
      </c>
      <c r="BF152" s="35">
        <f t="shared" si="0"/>
        <v>4.9000000000000004</v>
      </c>
      <c r="BG152" s="35">
        <f t="shared" si="0"/>
        <v>6.5333000000000002E-2</v>
      </c>
      <c r="BH152" s="35" t="str">
        <f t="shared" si="309"/>
        <v>Low</v>
      </c>
      <c r="BI152" s="110">
        <f t="shared" si="310"/>
        <v>0</v>
      </c>
      <c r="BJ152" s="83" t="str">
        <f>VLOOKUP($F152,REP_Info!$D$6:$H$250,5,FALSE)</f>
        <v/>
      </c>
      <c r="BK152" s="30">
        <f t="shared" si="1"/>
        <v>11.933299999999999</v>
      </c>
      <c r="BL152" s="30">
        <f t="shared" si="1"/>
        <v>11.443299999999999</v>
      </c>
      <c r="BM152" s="30">
        <f t="shared" si="1"/>
        <v>11.198300000000001</v>
      </c>
      <c r="BN152" s="29">
        <f t="shared" si="1"/>
        <v>11.116633333333334</v>
      </c>
      <c r="BO152" s="85" t="str">
        <f t="shared" si="2"/>
        <v>$$$</v>
      </c>
      <c r="BP152" s="88" t="str">
        <f t="shared" si="311"/>
        <v>$$$</v>
      </c>
      <c r="BQ152" s="88" t="str">
        <f t="shared" si="4"/>
        <v>$$$</v>
      </c>
      <c r="BR152" s="88" t="str">
        <f t="shared" si="5"/>
        <v>$$$</v>
      </c>
      <c r="BS152" s="29" t="e">
        <f t="shared" si="319"/>
        <v>#N/A</v>
      </c>
      <c r="BT152" s="29" t="e">
        <f t="shared" si="319"/>
        <v>#N/A</v>
      </c>
      <c r="BU152" s="29" t="e">
        <f t="shared" si="319"/>
        <v>#N/A</v>
      </c>
      <c r="BV152" s="29" t="e">
        <f t="shared" si="319"/>
        <v>#N/A</v>
      </c>
      <c r="BW152" s="29" t="e">
        <f t="shared" si="319"/>
        <v>#N/A</v>
      </c>
      <c r="BX152" s="29" t="e">
        <f t="shared" si="319"/>
        <v>#N/A</v>
      </c>
      <c r="BY152" s="29" t="e">
        <f t="shared" si="319"/>
        <v>#N/A</v>
      </c>
      <c r="BZ152" s="29" t="e">
        <f t="shared" si="319"/>
        <v>#N/A</v>
      </c>
      <c r="CA152" s="29" t="e">
        <f t="shared" si="319"/>
        <v>#N/A</v>
      </c>
      <c r="CB152" s="29" t="e">
        <f t="shared" si="319"/>
        <v>#N/A</v>
      </c>
      <c r="CC152" s="29" t="e">
        <f t="shared" si="319"/>
        <v>#N/A</v>
      </c>
      <c r="CD152" s="29" t="e">
        <f t="shared" si="319"/>
        <v>#N/A</v>
      </c>
      <c r="CE152" s="6" t="str">
        <f t="shared" si="320"/>
        <v/>
      </c>
      <c r="CF152" s="27" t="e">
        <f>IF(AND(CI152,NOT(AD152)),LOOKUP(CF$5,{0,750,1500},H152:J152),"")</f>
        <v>#N/A</v>
      </c>
      <c r="CG152" s="6" t="str">
        <f t="shared" si="321"/>
        <v/>
      </c>
      <c r="CH152" t="e">
        <f t="shared" si="312"/>
        <v>#N/A</v>
      </c>
      <c r="CI152" t="e">
        <f t="shared" si="313"/>
        <v>#N/A</v>
      </c>
      <c r="CJ152" s="6" t="e">
        <f t="shared" si="11"/>
        <v>#N/A</v>
      </c>
      <c r="CK152" s="6">
        <f t="shared" si="12"/>
        <v>1</v>
      </c>
      <c r="CL152" s="6">
        <f t="shared" si="26"/>
        <v>1</v>
      </c>
      <c r="CM152" s="6">
        <f t="shared" si="13"/>
        <v>1</v>
      </c>
      <c r="CN152" s="6">
        <f t="shared" si="14"/>
        <v>0</v>
      </c>
      <c r="CO152" s="6">
        <f t="shared" si="15"/>
        <v>1</v>
      </c>
      <c r="CP152" s="6">
        <f t="shared" si="16"/>
        <v>1</v>
      </c>
      <c r="CQ152" s="6">
        <f t="shared" si="314"/>
        <v>1</v>
      </c>
      <c r="CR152" s="81" t="str">
        <f t="shared" si="17"/>
        <v/>
      </c>
      <c r="CS152">
        <f t="shared" si="315"/>
        <v>9</v>
      </c>
      <c r="CT152">
        <f t="shared" si="19"/>
        <v>150</v>
      </c>
      <c r="CU152" t="str">
        <f t="shared" si="29"/>
        <v/>
      </c>
      <c r="CV152" s="81">
        <f t="shared" si="316"/>
        <v>150</v>
      </c>
      <c r="CW152" s="81">
        <f>(CV152/25)^1.5*(Calculator!$BU$4/10000)*CW$5</f>
        <v>7.6432310260371077</v>
      </c>
      <c r="CX152" t="str">
        <f t="shared" si="317"/>
        <v>$150</v>
      </c>
    </row>
    <row r="153" spans="2:102" x14ac:dyDescent="0.25">
      <c r="B153" s="115" t="s">
        <v>233</v>
      </c>
      <c r="C153" s="13">
        <v>46304.647222222222</v>
      </c>
      <c r="D153">
        <v>37972</v>
      </c>
      <c r="E153" s="54" t="s">
        <v>237</v>
      </c>
      <c r="F153" s="54" t="s">
        <v>451</v>
      </c>
      <c r="G153" s="54" t="s">
        <v>1753</v>
      </c>
      <c r="H153" s="55">
        <v>10.7</v>
      </c>
      <c r="I153" s="55">
        <v>10.299999999999999</v>
      </c>
      <c r="J153" s="55">
        <v>10.100000000000001</v>
      </c>
      <c r="K153" s="54"/>
      <c r="L153" s="56" t="b">
        <v>0</v>
      </c>
      <c r="M153" s="56" t="b">
        <v>0</v>
      </c>
      <c r="N153" s="54">
        <v>1</v>
      </c>
      <c r="O153" s="54" t="s">
        <v>228</v>
      </c>
      <c r="P153" s="54">
        <v>30</v>
      </c>
      <c r="Q153" s="54">
        <v>3</v>
      </c>
      <c r="R153" s="54">
        <v>150</v>
      </c>
      <c r="S153" s="54" t="s">
        <v>1922</v>
      </c>
      <c r="T153" s="54" t="s">
        <v>453</v>
      </c>
      <c r="U153" s="54" t="s">
        <v>454</v>
      </c>
      <c r="V153" s="54" t="s">
        <v>455</v>
      </c>
      <c r="W153" s="54" t="b">
        <v>0</v>
      </c>
      <c r="X153" s="54"/>
      <c r="Y153" s="57" t="s">
        <v>1994</v>
      </c>
      <c r="Z153" s="54" t="s">
        <v>1923</v>
      </c>
      <c r="AA153" s="54"/>
      <c r="AB153" s="54" t="s">
        <v>456</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3.0700000000000002E-2</v>
      </c>
      <c r="BC153" s="60">
        <v>4.0599999999999996</v>
      </c>
      <c r="BD153" s="61">
        <v>6.8672999999999998E-2</v>
      </c>
      <c r="BE153" s="62" t="s">
        <v>293</v>
      </c>
      <c r="BF153" s="35">
        <f t="shared" si="0"/>
        <v>4.0600000000000005</v>
      </c>
      <c r="BG153" s="35">
        <f t="shared" si="0"/>
        <v>6.8672999999999998E-2</v>
      </c>
      <c r="BH153" s="35" t="str">
        <f t="shared" si="309"/>
        <v>Low</v>
      </c>
      <c r="BI153" s="110">
        <f t="shared" si="310"/>
        <v>0</v>
      </c>
      <c r="BJ153" s="83" t="str">
        <f>VLOOKUP($F153,REP_Info!$D$6:$H$250,5,FALSE)</f>
        <v/>
      </c>
      <c r="BK153" s="30">
        <f t="shared" si="1"/>
        <v>10.749300000000002</v>
      </c>
      <c r="BL153" s="30">
        <f t="shared" si="1"/>
        <v>10.343300000000001</v>
      </c>
      <c r="BM153" s="30">
        <f t="shared" si="1"/>
        <v>10.140300000000002</v>
      </c>
      <c r="BN153" s="29">
        <f t="shared" si="1"/>
        <v>10.072633333333334</v>
      </c>
      <c r="BO153" s="85" t="str">
        <f t="shared" si="2"/>
        <v>$$$</v>
      </c>
      <c r="BP153" s="88" t="str">
        <f t="shared" si="311"/>
        <v>$$$</v>
      </c>
      <c r="BQ153" s="88" t="str">
        <f t="shared" si="4"/>
        <v>$$$</v>
      </c>
      <c r="BR153" s="88" t="str">
        <f t="shared" si="5"/>
        <v>$$$</v>
      </c>
      <c r="BS153" s="29" t="e">
        <f t="shared" si="319"/>
        <v>#N/A</v>
      </c>
      <c r="BT153" s="29" t="e">
        <f t="shared" si="319"/>
        <v>#N/A</v>
      </c>
      <c r="BU153" s="29" t="e">
        <f t="shared" si="319"/>
        <v>#N/A</v>
      </c>
      <c r="BV153" s="29" t="e">
        <f t="shared" si="319"/>
        <v>#N/A</v>
      </c>
      <c r="BW153" s="29" t="e">
        <f t="shared" si="319"/>
        <v>#N/A</v>
      </c>
      <c r="BX153" s="29" t="e">
        <f t="shared" si="319"/>
        <v>#N/A</v>
      </c>
      <c r="BY153" s="29" t="e">
        <f t="shared" si="319"/>
        <v>#N/A</v>
      </c>
      <c r="BZ153" s="29" t="e">
        <f t="shared" si="319"/>
        <v>#N/A</v>
      </c>
      <c r="CA153" s="29" t="e">
        <f t="shared" si="319"/>
        <v>#N/A</v>
      </c>
      <c r="CB153" s="29" t="e">
        <f t="shared" si="319"/>
        <v>#N/A</v>
      </c>
      <c r="CC153" s="29" t="e">
        <f t="shared" si="319"/>
        <v>#N/A</v>
      </c>
      <c r="CD153" s="29" t="e">
        <f t="shared" si="319"/>
        <v>#N/A</v>
      </c>
      <c r="CE153" s="6" t="str">
        <f t="shared" si="320"/>
        <v/>
      </c>
      <c r="CF153" s="27" t="e">
        <f>IF(AND(CI153,NOT(AD153)),LOOKUP(CF$5,{0,750,1500},H153:J153),"")</f>
        <v>#N/A</v>
      </c>
      <c r="CG153" s="6" t="str">
        <f t="shared" si="321"/>
        <v/>
      </c>
      <c r="CH153" t="e">
        <f t="shared" si="312"/>
        <v>#N/A</v>
      </c>
      <c r="CI153" t="e">
        <f t="shared" si="313"/>
        <v>#N/A</v>
      </c>
      <c r="CJ153" s="6" t="e">
        <f t="shared" si="11"/>
        <v>#N/A</v>
      </c>
      <c r="CK153" s="6">
        <f t="shared" si="12"/>
        <v>1</v>
      </c>
      <c r="CL153" s="6">
        <f t="shared" si="26"/>
        <v>1</v>
      </c>
      <c r="CM153" s="6">
        <f t="shared" si="13"/>
        <v>1</v>
      </c>
      <c r="CN153" s="6">
        <f t="shared" si="14"/>
        <v>0</v>
      </c>
      <c r="CO153" s="6">
        <f t="shared" si="15"/>
        <v>1</v>
      </c>
      <c r="CP153" s="6">
        <f t="shared" si="16"/>
        <v>1</v>
      </c>
      <c r="CQ153" s="6">
        <f t="shared" si="314"/>
        <v>1</v>
      </c>
      <c r="CR153" s="81" t="str">
        <f t="shared" si="17"/>
        <v/>
      </c>
      <c r="CS153">
        <f t="shared" si="315"/>
        <v>54</v>
      </c>
      <c r="CT153">
        <f t="shared" si="19"/>
        <v>150</v>
      </c>
      <c r="CU153" t="str">
        <f t="shared" si="29"/>
        <v/>
      </c>
      <c r="CV153" s="81">
        <f t="shared" si="316"/>
        <v>150</v>
      </c>
      <c r="CW153" s="81">
        <f>(CV153/25)^1.5*(Calculator!$BU$4/10000)*CW$5</f>
        <v>7.6432310260371077</v>
      </c>
      <c r="CX153" t="str">
        <f t="shared" si="317"/>
        <v>$150</v>
      </c>
    </row>
    <row r="154" spans="2:102" x14ac:dyDescent="0.25">
      <c r="B154" s="115" t="s">
        <v>233</v>
      </c>
      <c r="C154" s="13">
        <v>46302.234722222223</v>
      </c>
      <c r="D154">
        <v>37974</v>
      </c>
      <c r="E154" s="54" t="s">
        <v>235</v>
      </c>
      <c r="F154" s="54" t="s">
        <v>451</v>
      </c>
      <c r="G154" s="54" t="s">
        <v>1753</v>
      </c>
      <c r="H154" s="55">
        <v>11</v>
      </c>
      <c r="I154" s="55">
        <v>10.5</v>
      </c>
      <c r="J154" s="55">
        <v>10.299999999999999</v>
      </c>
      <c r="K154" s="54"/>
      <c r="L154" s="56" t="b">
        <v>0</v>
      </c>
      <c r="M154" s="56" t="b">
        <v>0</v>
      </c>
      <c r="N154" s="54">
        <v>1</v>
      </c>
      <c r="O154" s="54" t="s">
        <v>228</v>
      </c>
      <c r="P154" s="54">
        <v>30</v>
      </c>
      <c r="Q154" s="54">
        <v>3</v>
      </c>
      <c r="R154" s="54">
        <v>150</v>
      </c>
      <c r="S154" s="54" t="s">
        <v>1924</v>
      </c>
      <c r="T154" s="54" t="s">
        <v>453</v>
      </c>
      <c r="U154" s="54" t="s">
        <v>454</v>
      </c>
      <c r="V154" s="54" t="s">
        <v>455</v>
      </c>
      <c r="W154" s="54" t="b">
        <v>0</v>
      </c>
      <c r="X154" s="54"/>
      <c r="Y154" s="57" t="s">
        <v>1943</v>
      </c>
      <c r="Z154" s="54" t="s">
        <v>1925</v>
      </c>
      <c r="AA154" s="54"/>
      <c r="AB154" s="54" t="s">
        <v>456</v>
      </c>
      <c r="AC154" s="56" t="b">
        <v>1</v>
      </c>
      <c r="AD154" s="56" t="b">
        <v>0</v>
      </c>
      <c r="AE154" s="54" t="s">
        <v>302</v>
      </c>
      <c r="AF154" s="58">
        <v>46302</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3.5200000000000002E-2</v>
      </c>
      <c r="BC154" s="60">
        <v>4.9000000000000004</v>
      </c>
      <c r="BD154" s="61">
        <v>6.5333000000000002E-2</v>
      </c>
      <c r="BE154" s="62" t="s">
        <v>293</v>
      </c>
      <c r="BF154" s="35">
        <f t="shared" si="0"/>
        <v>4.9000000000000004</v>
      </c>
      <c r="BG154" s="35">
        <f t="shared" si="0"/>
        <v>6.5333000000000002E-2</v>
      </c>
      <c r="BH154" s="35" t="str">
        <f t="shared" si="309"/>
        <v>Low</v>
      </c>
      <c r="BI154" s="110">
        <f t="shared" si="310"/>
        <v>0</v>
      </c>
      <c r="BJ154" s="83" t="str">
        <f>VLOOKUP($F154,REP_Info!$D$6:$H$250,5,FALSE)</f>
        <v/>
      </c>
      <c r="BK154" s="30">
        <f t="shared" si="1"/>
        <v>11.033299999999999</v>
      </c>
      <c r="BL154" s="30">
        <f t="shared" si="1"/>
        <v>10.543299999999999</v>
      </c>
      <c r="BM154" s="30">
        <f t="shared" si="1"/>
        <v>10.298300000000001</v>
      </c>
      <c r="BN154" s="29">
        <f t="shared" ref="BK154:BN162" si="322">IF(BN$7&gt;0,(LOOKUP(BN$7,$AH154:$AL154,$AM154:$AQ154)+IF($AG154="Y",SUMPRODUCT($AX154:$BB154-$AW154:$BA154,BN$7-$AR154:$AV154,N(BN$7&gt;$AR154:$AV154)),BN$7*LOOKUP(BN$7,$AR154:$AV154,$AX154:$BB154))+IF($BE154="Y",$BF154,$BC154)+BN$7*IF($BE154="Y",$BG154,$BD154))*100/BN$7,"")</f>
        <v>10.216633333333334</v>
      </c>
      <c r="BO154" s="85" t="str">
        <f t="shared" si="2"/>
        <v>$$$</v>
      </c>
      <c r="BP154" s="88" t="str">
        <f t="shared" si="311"/>
        <v>$$$</v>
      </c>
      <c r="BQ154" s="88" t="str">
        <f t="shared" si="4"/>
        <v>$$$</v>
      </c>
      <c r="BR154" s="88" t="str">
        <f t="shared" si="5"/>
        <v>$$$</v>
      </c>
      <c r="BS154" s="29" t="e">
        <f t="shared" si="319"/>
        <v>#N/A</v>
      </c>
      <c r="BT154" s="29" t="e">
        <f t="shared" si="319"/>
        <v>#N/A</v>
      </c>
      <c r="BU154" s="29" t="e">
        <f t="shared" si="319"/>
        <v>#N/A</v>
      </c>
      <c r="BV154" s="29" t="e">
        <f t="shared" si="319"/>
        <v>#N/A</v>
      </c>
      <c r="BW154" s="29" t="e">
        <f t="shared" si="319"/>
        <v>#N/A</v>
      </c>
      <c r="BX154" s="29" t="e">
        <f t="shared" si="319"/>
        <v>#N/A</v>
      </c>
      <c r="BY154" s="29" t="e">
        <f t="shared" si="319"/>
        <v>#N/A</v>
      </c>
      <c r="BZ154" s="29" t="e">
        <f t="shared" si="319"/>
        <v>#N/A</v>
      </c>
      <c r="CA154" s="29" t="e">
        <f t="shared" si="319"/>
        <v>#N/A</v>
      </c>
      <c r="CB154" s="29" t="e">
        <f t="shared" si="319"/>
        <v>#N/A</v>
      </c>
      <c r="CC154" s="29" t="e">
        <f t="shared" si="319"/>
        <v>#N/A</v>
      </c>
      <c r="CD154" s="29" t="e">
        <f t="shared" si="319"/>
        <v>#N/A</v>
      </c>
      <c r="CE154" s="6" t="str">
        <f t="shared" si="320"/>
        <v/>
      </c>
      <c r="CF154" s="27" t="e">
        <f>IF(AND(CI154,NOT(AD154)),LOOKUP(CF$5,{0,750,1500},H154:J154),"")</f>
        <v>#N/A</v>
      </c>
      <c r="CG154" s="6" t="str">
        <f t="shared" si="321"/>
        <v/>
      </c>
      <c r="CH154" t="e">
        <f t="shared" si="312"/>
        <v>#N/A</v>
      </c>
      <c r="CI154" t="e">
        <f t="shared" si="313"/>
        <v>#N/A</v>
      </c>
      <c r="CJ154" s="6" t="e">
        <f t="shared" si="11"/>
        <v>#N/A</v>
      </c>
      <c r="CK154" s="6">
        <f t="shared" si="12"/>
        <v>1</v>
      </c>
      <c r="CL154" s="6">
        <f t="shared" si="26"/>
        <v>1</v>
      </c>
      <c r="CM154" s="6">
        <f t="shared" si="13"/>
        <v>1</v>
      </c>
      <c r="CN154" s="6">
        <f t="shared" si="14"/>
        <v>0</v>
      </c>
      <c r="CO154" s="6">
        <f t="shared" si="15"/>
        <v>1</v>
      </c>
      <c r="CP154" s="6">
        <f t="shared" si="16"/>
        <v>1</v>
      </c>
      <c r="CQ154" s="6">
        <f t="shared" si="314"/>
        <v>1</v>
      </c>
      <c r="CR154" s="81" t="str">
        <f t="shared" si="17"/>
        <v/>
      </c>
      <c r="CS154">
        <f t="shared" si="315"/>
        <v>54</v>
      </c>
      <c r="CT154">
        <f t="shared" si="19"/>
        <v>150</v>
      </c>
      <c r="CU154" t="str">
        <f t="shared" si="29"/>
        <v/>
      </c>
      <c r="CV154" s="81">
        <f t="shared" si="316"/>
        <v>150</v>
      </c>
      <c r="CW154" s="81">
        <f>(CV154/25)^1.5*(Calculator!$BU$4/10000)*CW$5</f>
        <v>7.6432310260371077</v>
      </c>
      <c r="CX154" t="str">
        <f t="shared" si="317"/>
        <v>$150</v>
      </c>
    </row>
    <row r="155" spans="2:102" x14ac:dyDescent="0.25">
      <c r="B155" s="115" t="s">
        <v>233</v>
      </c>
      <c r="C155" s="13">
        <v>46304.647222222222</v>
      </c>
      <c r="D155">
        <v>28046</v>
      </c>
      <c r="E155" s="54" t="s">
        <v>237</v>
      </c>
      <c r="F155" s="54" t="s">
        <v>457</v>
      </c>
      <c r="G155" s="54" t="s">
        <v>1754</v>
      </c>
      <c r="H155" s="55">
        <v>10.7</v>
      </c>
      <c r="I155" s="55">
        <v>10.299999999999999</v>
      </c>
      <c r="J155" s="55">
        <v>10.100000000000001</v>
      </c>
      <c r="K155" s="54"/>
      <c r="L155" s="56" t="b">
        <v>0</v>
      </c>
      <c r="M155" s="56" t="b">
        <v>0</v>
      </c>
      <c r="N155" s="54">
        <v>1</v>
      </c>
      <c r="O155" s="54" t="s">
        <v>228</v>
      </c>
      <c r="P155" s="54">
        <v>100</v>
      </c>
      <c r="Q155" s="54">
        <v>3</v>
      </c>
      <c r="R155" s="54">
        <v>150</v>
      </c>
      <c r="S155" s="54" t="s">
        <v>459</v>
      </c>
      <c r="T155" s="54" t="s">
        <v>1755</v>
      </c>
      <c r="U155" s="54" t="s">
        <v>460</v>
      </c>
      <c r="V155" s="54" t="s">
        <v>461</v>
      </c>
      <c r="W155" s="54" t="b">
        <v>0</v>
      </c>
      <c r="X155" s="54"/>
      <c r="Y155" s="57" t="s">
        <v>1995</v>
      </c>
      <c r="Z155" s="54" t="s">
        <v>1756</v>
      </c>
      <c r="AA155" s="54"/>
      <c r="AB155" s="54" t="s">
        <v>463</v>
      </c>
      <c r="AC155" s="56" t="b">
        <v>1</v>
      </c>
      <c r="AD155" s="56" t="b">
        <v>0</v>
      </c>
      <c r="AE155" s="54" t="s">
        <v>302</v>
      </c>
      <c r="AF155" s="58">
        <v>46304</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3.0700000000000002E-2</v>
      </c>
      <c r="BC155" s="60">
        <v>4.0599999999999996</v>
      </c>
      <c r="BD155" s="61">
        <v>6.8672999999999998E-2</v>
      </c>
      <c r="BE155" s="62" t="s">
        <v>293</v>
      </c>
      <c r="BF155" s="35">
        <f t="shared" si="0"/>
        <v>4.0600000000000005</v>
      </c>
      <c r="BG155" s="35">
        <f t="shared" si="0"/>
        <v>6.8672999999999998E-2</v>
      </c>
      <c r="BH155" s="35" t="str">
        <f t="shared" si="309"/>
        <v>Low</v>
      </c>
      <c r="BI155" s="110">
        <f t="shared" si="310"/>
        <v>0</v>
      </c>
      <c r="BJ155" s="83">
        <f>VLOOKUP($F155,REP_Info!$D$6:$H$250,5,FALSE)</f>
        <v>1.165</v>
      </c>
      <c r="BK155" s="30">
        <f t="shared" si="322"/>
        <v>10.749300000000002</v>
      </c>
      <c r="BL155" s="30">
        <f t="shared" si="322"/>
        <v>10.343300000000001</v>
      </c>
      <c r="BM155" s="30">
        <f t="shared" si="322"/>
        <v>10.140300000000002</v>
      </c>
      <c r="BN155" s="29">
        <f t="shared" si="322"/>
        <v>10.072633333333334</v>
      </c>
      <c r="BO155" s="85" t="str">
        <f t="shared" si="2"/>
        <v>$$$</v>
      </c>
      <c r="BP155" s="88" t="str">
        <f t="shared" si="311"/>
        <v>$$$</v>
      </c>
      <c r="BQ155" s="88" t="str">
        <f t="shared" si="4"/>
        <v>$$$</v>
      </c>
      <c r="BR155" s="88" t="str">
        <f t="shared" si="5"/>
        <v>$$$</v>
      </c>
      <c r="BS155" s="29" t="e">
        <f t="shared" si="319"/>
        <v>#N/A</v>
      </c>
      <c r="BT155" s="29" t="e">
        <f t="shared" si="319"/>
        <v>#N/A</v>
      </c>
      <c r="BU155" s="29" t="e">
        <f t="shared" si="319"/>
        <v>#N/A</v>
      </c>
      <c r="BV155" s="29" t="e">
        <f t="shared" si="319"/>
        <v>#N/A</v>
      </c>
      <c r="BW155" s="29" t="e">
        <f t="shared" si="319"/>
        <v>#N/A</v>
      </c>
      <c r="BX155" s="29" t="e">
        <f t="shared" si="319"/>
        <v>#N/A</v>
      </c>
      <c r="BY155" s="29" t="e">
        <f t="shared" si="319"/>
        <v>#N/A</v>
      </c>
      <c r="BZ155" s="29" t="e">
        <f t="shared" si="319"/>
        <v>#N/A</v>
      </c>
      <c r="CA155" s="29" t="e">
        <f t="shared" si="319"/>
        <v>#N/A</v>
      </c>
      <c r="CB155" s="29" t="e">
        <f t="shared" si="319"/>
        <v>#N/A</v>
      </c>
      <c r="CC155" s="29" t="e">
        <f t="shared" si="319"/>
        <v>#N/A</v>
      </c>
      <c r="CD155" s="29" t="e">
        <f t="shared" si="319"/>
        <v>#N/A</v>
      </c>
      <c r="CE155" s="6" t="str">
        <f t="shared" si="320"/>
        <v/>
      </c>
      <c r="CF155" s="27" t="e">
        <f>IF(AND(CI155,NOT(AD155)),LOOKUP(CF$5,{0,750,1500},H155:J155),"")</f>
        <v>#N/A</v>
      </c>
      <c r="CG155" s="6" t="str">
        <f t="shared" si="321"/>
        <v/>
      </c>
      <c r="CH155" t="e">
        <f t="shared" si="312"/>
        <v>#N/A</v>
      </c>
      <c r="CI155" t="e">
        <f t="shared" si="313"/>
        <v>#N/A</v>
      </c>
      <c r="CJ155" s="6" t="e">
        <f t="shared" si="11"/>
        <v>#N/A</v>
      </c>
      <c r="CK155" s="6">
        <f t="shared" si="12"/>
        <v>1</v>
      </c>
      <c r="CL155" s="6">
        <f t="shared" si="26"/>
        <v>1</v>
      </c>
      <c r="CM155" s="6">
        <f t="shared" si="13"/>
        <v>1</v>
      </c>
      <c r="CN155" s="6">
        <f t="shared" si="14"/>
        <v>0</v>
      </c>
      <c r="CO155" s="6">
        <f t="shared" si="15"/>
        <v>1</v>
      </c>
      <c r="CP155" s="6">
        <f t="shared" si="16"/>
        <v>1</v>
      </c>
      <c r="CQ155" s="6">
        <f t="shared" si="314"/>
        <v>1</v>
      </c>
      <c r="CR155" s="81" t="str">
        <f t="shared" si="17"/>
        <v/>
      </c>
      <c r="CS155">
        <f t="shared" si="315"/>
        <v>54</v>
      </c>
      <c r="CT155">
        <f t="shared" si="19"/>
        <v>150</v>
      </c>
      <c r="CU155" t="str">
        <f t="shared" si="29"/>
        <v/>
      </c>
      <c r="CV155" s="81">
        <f t="shared" si="316"/>
        <v>150</v>
      </c>
      <c r="CW155" s="81">
        <f>(CV155/25)^1.5*(Calculator!$BU$4/10000)*CW$5</f>
        <v>7.6432310260371077</v>
      </c>
      <c r="CX155" t="str">
        <f t="shared" si="317"/>
        <v>$150</v>
      </c>
    </row>
    <row r="156" spans="2:102" x14ac:dyDescent="0.25">
      <c r="B156" s="115" t="s">
        <v>233</v>
      </c>
      <c r="C156" s="13">
        <v>46302.234722222223</v>
      </c>
      <c r="D156">
        <v>28048</v>
      </c>
      <c r="E156" s="54" t="s">
        <v>235</v>
      </c>
      <c r="F156" s="54" t="s">
        <v>457</v>
      </c>
      <c r="G156" s="54" t="s">
        <v>1754</v>
      </c>
      <c r="H156" s="55">
        <v>11</v>
      </c>
      <c r="I156" s="55">
        <v>10.5</v>
      </c>
      <c r="J156" s="55">
        <v>10.299999999999999</v>
      </c>
      <c r="K156" s="54"/>
      <c r="L156" s="56" t="b">
        <v>0</v>
      </c>
      <c r="M156" s="56" t="b">
        <v>0</v>
      </c>
      <c r="N156" s="54">
        <v>1</v>
      </c>
      <c r="O156" s="54" t="s">
        <v>228</v>
      </c>
      <c r="P156" s="54">
        <v>100</v>
      </c>
      <c r="Q156" s="54">
        <v>3</v>
      </c>
      <c r="R156" s="54">
        <v>150</v>
      </c>
      <c r="S156" s="54" t="s">
        <v>459</v>
      </c>
      <c r="T156" s="54" t="s">
        <v>1755</v>
      </c>
      <c r="U156" s="54" t="s">
        <v>460</v>
      </c>
      <c r="V156" s="54" t="s">
        <v>461</v>
      </c>
      <c r="W156" s="54" t="b">
        <v>0</v>
      </c>
      <c r="X156" s="54"/>
      <c r="Y156" s="57" t="s">
        <v>1944</v>
      </c>
      <c r="Z156" s="54" t="s">
        <v>1757</v>
      </c>
      <c r="AA156" s="54"/>
      <c r="AB156" s="54" t="s">
        <v>463</v>
      </c>
      <c r="AC156" s="56" t="b">
        <v>1</v>
      </c>
      <c r="AD156" s="56" t="b">
        <v>0</v>
      </c>
      <c r="AE156" s="54" t="s">
        <v>302</v>
      </c>
      <c r="AF156" s="58">
        <v>46302</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3.5200000000000002E-2</v>
      </c>
      <c r="BC156" s="60">
        <v>4.9000000000000004</v>
      </c>
      <c r="BD156" s="61">
        <v>6.5333000000000002E-2</v>
      </c>
      <c r="BE156" s="62" t="s">
        <v>293</v>
      </c>
      <c r="BF156" s="35">
        <f t="shared" si="0"/>
        <v>4.9000000000000004</v>
      </c>
      <c r="BG156" s="35">
        <f t="shared" si="0"/>
        <v>6.5333000000000002E-2</v>
      </c>
      <c r="BH156" s="35" t="str">
        <f t="shared" si="309"/>
        <v>Low</v>
      </c>
      <c r="BI156" s="110">
        <f t="shared" si="310"/>
        <v>0</v>
      </c>
      <c r="BJ156" s="83">
        <f>VLOOKUP($F156,REP_Info!$D$6:$H$250,5,FALSE)</f>
        <v>1.165</v>
      </c>
      <c r="BK156" s="30">
        <f t="shared" si="322"/>
        <v>11.033299999999999</v>
      </c>
      <c r="BL156" s="30">
        <f t="shared" si="322"/>
        <v>10.543299999999999</v>
      </c>
      <c r="BM156" s="30">
        <f t="shared" si="322"/>
        <v>10.298300000000001</v>
      </c>
      <c r="BN156" s="29">
        <f t="shared" si="322"/>
        <v>10.216633333333334</v>
      </c>
      <c r="BO156" s="85" t="str">
        <f t="shared" si="2"/>
        <v>$$$</v>
      </c>
      <c r="BP156" s="88" t="str">
        <f t="shared" si="311"/>
        <v>$$$</v>
      </c>
      <c r="BQ156" s="88" t="str">
        <f t="shared" si="4"/>
        <v>$$$</v>
      </c>
      <c r="BR156" s="88" t="str">
        <f t="shared" si="5"/>
        <v>$$$</v>
      </c>
      <c r="BS156" s="29" t="e">
        <f t="shared" si="319"/>
        <v>#N/A</v>
      </c>
      <c r="BT156" s="29" t="e">
        <f t="shared" si="319"/>
        <v>#N/A</v>
      </c>
      <c r="BU156" s="29" t="e">
        <f t="shared" si="319"/>
        <v>#N/A</v>
      </c>
      <c r="BV156" s="29" t="e">
        <f t="shared" si="319"/>
        <v>#N/A</v>
      </c>
      <c r="BW156" s="29" t="e">
        <f t="shared" si="319"/>
        <v>#N/A</v>
      </c>
      <c r="BX156" s="29" t="e">
        <f t="shared" si="319"/>
        <v>#N/A</v>
      </c>
      <c r="BY156" s="29" t="e">
        <f t="shared" si="319"/>
        <v>#N/A</v>
      </c>
      <c r="BZ156" s="29" t="e">
        <f t="shared" si="319"/>
        <v>#N/A</v>
      </c>
      <c r="CA156" s="29" t="e">
        <f t="shared" si="319"/>
        <v>#N/A</v>
      </c>
      <c r="CB156" s="29" t="e">
        <f t="shared" si="319"/>
        <v>#N/A</v>
      </c>
      <c r="CC156" s="29" t="e">
        <f t="shared" si="319"/>
        <v>#N/A</v>
      </c>
      <c r="CD156" s="29" t="e">
        <f t="shared" si="319"/>
        <v>#N/A</v>
      </c>
      <c r="CE156" s="6" t="str">
        <f t="shared" si="320"/>
        <v/>
      </c>
      <c r="CF156" s="27" t="e">
        <f>IF(AND(CI156,NOT(AD156)),LOOKUP(CF$5,{0,750,1500},H156:J156),"")</f>
        <v>#N/A</v>
      </c>
      <c r="CG156" s="6" t="str">
        <f t="shared" si="321"/>
        <v/>
      </c>
      <c r="CH156" t="e">
        <f t="shared" si="312"/>
        <v>#N/A</v>
      </c>
      <c r="CI156" t="e">
        <f t="shared" si="313"/>
        <v>#N/A</v>
      </c>
      <c r="CJ156" s="6" t="e">
        <f t="shared" si="11"/>
        <v>#N/A</v>
      </c>
      <c r="CK156" s="6">
        <f t="shared" si="12"/>
        <v>1</v>
      </c>
      <c r="CL156" s="6">
        <f t="shared" si="26"/>
        <v>1</v>
      </c>
      <c r="CM156" s="6">
        <f t="shared" si="13"/>
        <v>1</v>
      </c>
      <c r="CN156" s="6">
        <f t="shared" si="14"/>
        <v>0</v>
      </c>
      <c r="CO156" s="6">
        <f t="shared" si="15"/>
        <v>1</v>
      </c>
      <c r="CP156" s="6">
        <f t="shared" si="16"/>
        <v>1</v>
      </c>
      <c r="CQ156" s="6">
        <f t="shared" si="314"/>
        <v>1</v>
      </c>
      <c r="CR156" s="81" t="str">
        <f t="shared" si="17"/>
        <v/>
      </c>
      <c r="CS156">
        <f t="shared" si="315"/>
        <v>54</v>
      </c>
      <c r="CT156">
        <f t="shared" si="19"/>
        <v>150</v>
      </c>
      <c r="CU156" t="str">
        <f t="shared" si="29"/>
        <v/>
      </c>
      <c r="CV156" s="81">
        <f t="shared" si="316"/>
        <v>150</v>
      </c>
      <c r="CW156" s="81">
        <f>(CV156/25)^1.5*(Calculator!$BU$4/10000)*CW$5</f>
        <v>7.6432310260371077</v>
      </c>
      <c r="CX156" t="str">
        <f t="shared" si="317"/>
        <v>$150</v>
      </c>
    </row>
    <row r="157" spans="2:102" x14ac:dyDescent="0.25">
      <c r="B157" s="115" t="s">
        <v>233</v>
      </c>
      <c r="C157" s="13">
        <v>46304.647222222222</v>
      </c>
      <c r="D157">
        <v>31714</v>
      </c>
      <c r="E157" s="54" t="s">
        <v>237</v>
      </c>
      <c r="F157" s="54" t="s">
        <v>457</v>
      </c>
      <c r="G157" s="54" t="s">
        <v>458</v>
      </c>
      <c r="H157" s="55">
        <v>12.8</v>
      </c>
      <c r="I157" s="55">
        <v>12.4</v>
      </c>
      <c r="J157" s="55">
        <v>12.2</v>
      </c>
      <c r="K157" s="54"/>
      <c r="L157" s="56" t="b">
        <v>0</v>
      </c>
      <c r="M157" s="56" t="b">
        <v>0</v>
      </c>
      <c r="N157" s="54">
        <v>1</v>
      </c>
      <c r="O157" s="54" t="s">
        <v>228</v>
      </c>
      <c r="P157" s="54">
        <v>100</v>
      </c>
      <c r="Q157" s="54">
        <v>12</v>
      </c>
      <c r="R157" s="54">
        <v>150</v>
      </c>
      <c r="S157" s="54" t="s">
        <v>459</v>
      </c>
      <c r="T157" s="54" t="s">
        <v>1573</v>
      </c>
      <c r="U157" s="54" t="s">
        <v>460</v>
      </c>
      <c r="V157" s="54" t="s">
        <v>461</v>
      </c>
      <c r="W157" s="54" t="b">
        <v>0</v>
      </c>
      <c r="X157" s="54"/>
      <c r="Y157" s="57" t="s">
        <v>1996</v>
      </c>
      <c r="Z157" s="54" t="s">
        <v>462</v>
      </c>
      <c r="AA157" s="54"/>
      <c r="AB157" s="54" t="s">
        <v>463</v>
      </c>
      <c r="AC157" s="56" t="b">
        <v>1</v>
      </c>
      <c r="AD157" s="56" t="b">
        <v>0</v>
      </c>
      <c r="AE157" s="54" t="s">
        <v>302</v>
      </c>
      <c r="AF157" s="58">
        <v>46304</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5.1700000000000003E-2</v>
      </c>
      <c r="BC157" s="60">
        <v>4.0599999999999996</v>
      </c>
      <c r="BD157" s="61">
        <v>6.8672999999999998E-2</v>
      </c>
      <c r="BE157" s="62" t="s">
        <v>293</v>
      </c>
      <c r="BF157" s="35">
        <f t="shared" si="0"/>
        <v>4.0600000000000005</v>
      </c>
      <c r="BG157" s="35">
        <f t="shared" si="0"/>
        <v>6.8672999999999998E-2</v>
      </c>
      <c r="BH157" s="35" t="str">
        <f t="shared" si="309"/>
        <v>Low</v>
      </c>
      <c r="BI157" s="110">
        <f t="shared" si="310"/>
        <v>0</v>
      </c>
      <c r="BJ157" s="83">
        <f>VLOOKUP($F157,REP_Info!$D$6:$H$250,5,FALSE)</f>
        <v>1.165</v>
      </c>
      <c r="BK157" s="30">
        <f t="shared" si="322"/>
        <v>12.849299999999999</v>
      </c>
      <c r="BL157" s="30">
        <f t="shared" si="322"/>
        <v>12.443300000000001</v>
      </c>
      <c r="BM157" s="30">
        <f t="shared" si="322"/>
        <v>12.240300000000001</v>
      </c>
      <c r="BN157" s="29">
        <f t="shared" si="322"/>
        <v>12.172633333333334</v>
      </c>
      <c r="BO157" s="85" t="str">
        <f t="shared" si="2"/>
        <v>$$$</v>
      </c>
      <c r="BP157" s="88" t="str">
        <f t="shared" si="311"/>
        <v>$$$</v>
      </c>
      <c r="BQ157" s="88" t="str">
        <f t="shared" si="4"/>
        <v>$$$</v>
      </c>
      <c r="BR157" s="88" t="str">
        <f t="shared" si="5"/>
        <v>$$$</v>
      </c>
      <c r="BS157" s="29" t="e">
        <f t="shared" si="319"/>
        <v>#N/A</v>
      </c>
      <c r="BT157" s="29" t="e">
        <f t="shared" si="319"/>
        <v>#N/A</v>
      </c>
      <c r="BU157" s="29" t="e">
        <f t="shared" si="319"/>
        <v>#N/A</v>
      </c>
      <c r="BV157" s="29" t="e">
        <f t="shared" si="319"/>
        <v>#N/A</v>
      </c>
      <c r="BW157" s="29" t="e">
        <f t="shared" si="319"/>
        <v>#N/A</v>
      </c>
      <c r="BX157" s="29" t="e">
        <f t="shared" si="319"/>
        <v>#N/A</v>
      </c>
      <c r="BY157" s="29" t="e">
        <f t="shared" si="319"/>
        <v>#N/A</v>
      </c>
      <c r="BZ157" s="29" t="e">
        <f t="shared" si="319"/>
        <v>#N/A</v>
      </c>
      <c r="CA157" s="29" t="e">
        <f t="shared" si="319"/>
        <v>#N/A</v>
      </c>
      <c r="CB157" s="29" t="e">
        <f t="shared" si="319"/>
        <v>#N/A</v>
      </c>
      <c r="CC157" s="29" t="e">
        <f t="shared" si="319"/>
        <v>#N/A</v>
      </c>
      <c r="CD157" s="29" t="e">
        <f t="shared" si="319"/>
        <v>#N/A</v>
      </c>
      <c r="CE157" s="6" t="str">
        <f t="shared" si="320"/>
        <v/>
      </c>
      <c r="CF157" s="27" t="e">
        <f>IF(AND(CI157,NOT(AD157)),LOOKUP(CF$5,{0,750,1500},H157:J157),"")</f>
        <v>#N/A</v>
      </c>
      <c r="CG157" s="6" t="str">
        <f t="shared" si="321"/>
        <v/>
      </c>
      <c r="CH157" t="e">
        <f t="shared" si="312"/>
        <v>#N/A</v>
      </c>
      <c r="CI157" t="e">
        <f t="shared" si="313"/>
        <v>#N/A</v>
      </c>
      <c r="CJ157" s="6" t="e">
        <f t="shared" si="11"/>
        <v>#N/A</v>
      </c>
      <c r="CK157" s="6">
        <f t="shared" si="12"/>
        <v>1</v>
      </c>
      <c r="CL157" s="6">
        <f t="shared" si="26"/>
        <v>1</v>
      </c>
      <c r="CM157" s="6">
        <f t="shared" si="13"/>
        <v>1</v>
      </c>
      <c r="CN157" s="6">
        <f t="shared" si="14"/>
        <v>1</v>
      </c>
      <c r="CO157" s="6">
        <f t="shared" si="15"/>
        <v>1</v>
      </c>
      <c r="CP157" s="6">
        <f t="shared" si="16"/>
        <v>1</v>
      </c>
      <c r="CQ157" s="6">
        <f t="shared" si="314"/>
        <v>1</v>
      </c>
      <c r="CR157" s="81" t="str">
        <f t="shared" si="17"/>
        <v/>
      </c>
      <c r="CS157">
        <f t="shared" si="315"/>
        <v>0</v>
      </c>
      <c r="CT157">
        <f t="shared" si="19"/>
        <v>150</v>
      </c>
      <c r="CU157" t="str">
        <f t="shared" si="29"/>
        <v/>
      </c>
      <c r="CV157" s="81">
        <f t="shared" si="316"/>
        <v>150</v>
      </c>
      <c r="CW157" s="81">
        <f>(CV157/25)^1.5*(Calculator!$BU$4/10000)*CW$5</f>
        <v>7.6432310260371077</v>
      </c>
      <c r="CX157" t="str">
        <f t="shared" si="317"/>
        <v>$150</v>
      </c>
    </row>
    <row r="158" spans="2:102" x14ac:dyDescent="0.25">
      <c r="B158" s="115" t="s">
        <v>233</v>
      </c>
      <c r="C158" s="13">
        <v>46304.647222222222</v>
      </c>
      <c r="D158">
        <v>31716</v>
      </c>
      <c r="E158" s="54" t="s">
        <v>235</v>
      </c>
      <c r="F158" s="54" t="s">
        <v>457</v>
      </c>
      <c r="G158" s="54" t="s">
        <v>458</v>
      </c>
      <c r="H158" s="55">
        <v>12.9</v>
      </c>
      <c r="I158" s="55">
        <v>12.4</v>
      </c>
      <c r="J158" s="55">
        <v>12.2</v>
      </c>
      <c r="K158" s="54"/>
      <c r="L158" s="56" t="b">
        <v>0</v>
      </c>
      <c r="M158" s="56" t="b">
        <v>0</v>
      </c>
      <c r="N158" s="54">
        <v>1</v>
      </c>
      <c r="O158" s="54" t="s">
        <v>228</v>
      </c>
      <c r="P158" s="54">
        <v>100</v>
      </c>
      <c r="Q158" s="54">
        <v>12</v>
      </c>
      <c r="R158" s="54">
        <v>150</v>
      </c>
      <c r="S158" s="54" t="s">
        <v>459</v>
      </c>
      <c r="T158" s="54" t="s">
        <v>1573</v>
      </c>
      <c r="U158" s="54" t="s">
        <v>460</v>
      </c>
      <c r="V158" s="54" t="s">
        <v>461</v>
      </c>
      <c r="W158" s="54" t="b">
        <v>0</v>
      </c>
      <c r="X158" s="54"/>
      <c r="Y158" s="57" t="s">
        <v>1997</v>
      </c>
      <c r="Z158" s="54" t="s">
        <v>464</v>
      </c>
      <c r="AA158" s="54"/>
      <c r="AB158" s="54" t="s">
        <v>463</v>
      </c>
      <c r="AC158" s="56" t="b">
        <v>1</v>
      </c>
      <c r="AD158" s="56" t="b">
        <v>0</v>
      </c>
      <c r="AE158" s="54" t="s">
        <v>302</v>
      </c>
      <c r="AF158" s="58">
        <v>46304</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5.4199999999999998E-2</v>
      </c>
      <c r="BC158" s="60">
        <v>4.9000000000000004</v>
      </c>
      <c r="BD158" s="61">
        <v>6.5333000000000002E-2</v>
      </c>
      <c r="BE158" s="62" t="s">
        <v>293</v>
      </c>
      <c r="BF158" s="35">
        <f t="shared" si="0"/>
        <v>4.9000000000000004</v>
      </c>
      <c r="BG158" s="35">
        <f t="shared" si="0"/>
        <v>6.5333000000000002E-2</v>
      </c>
      <c r="BH158" s="35" t="str">
        <f t="shared" si="309"/>
        <v>Low</v>
      </c>
      <c r="BI158" s="110">
        <f t="shared" si="310"/>
        <v>0</v>
      </c>
      <c r="BJ158" s="83">
        <f>VLOOKUP($F158,REP_Info!$D$6:$H$250,5,FALSE)</f>
        <v>1.165</v>
      </c>
      <c r="BK158" s="30">
        <f t="shared" si="322"/>
        <v>12.933299999999999</v>
      </c>
      <c r="BL158" s="30">
        <f t="shared" si="322"/>
        <v>12.443299999999999</v>
      </c>
      <c r="BM158" s="30">
        <f t="shared" si="322"/>
        <v>12.198300000000001</v>
      </c>
      <c r="BN158" s="29">
        <f t="shared" si="322"/>
        <v>12.116633333333334</v>
      </c>
      <c r="BO158" s="85" t="str">
        <f t="shared" si="2"/>
        <v>$$$</v>
      </c>
      <c r="BP158" s="88" t="str">
        <f t="shared" si="311"/>
        <v>$$$</v>
      </c>
      <c r="BQ158" s="88" t="str">
        <f t="shared" si="4"/>
        <v>$$$</v>
      </c>
      <c r="BR158" s="88" t="str">
        <f t="shared" si="5"/>
        <v>$$$</v>
      </c>
      <c r="BS158" s="29" t="e">
        <f t="shared" si="319"/>
        <v>#N/A</v>
      </c>
      <c r="BT158" s="29" t="e">
        <f t="shared" si="319"/>
        <v>#N/A</v>
      </c>
      <c r="BU158" s="29" t="e">
        <f t="shared" si="319"/>
        <v>#N/A</v>
      </c>
      <c r="BV158" s="29" t="e">
        <f t="shared" si="319"/>
        <v>#N/A</v>
      </c>
      <c r="BW158" s="29" t="e">
        <f t="shared" si="319"/>
        <v>#N/A</v>
      </c>
      <c r="BX158" s="29" t="e">
        <f t="shared" si="319"/>
        <v>#N/A</v>
      </c>
      <c r="BY158" s="29" t="e">
        <f t="shared" si="319"/>
        <v>#N/A</v>
      </c>
      <c r="BZ158" s="29" t="e">
        <f t="shared" si="319"/>
        <v>#N/A</v>
      </c>
      <c r="CA158" s="29" t="e">
        <f t="shared" si="319"/>
        <v>#N/A</v>
      </c>
      <c r="CB158" s="29" t="e">
        <f t="shared" si="319"/>
        <v>#N/A</v>
      </c>
      <c r="CC158" s="29" t="e">
        <f t="shared" si="319"/>
        <v>#N/A</v>
      </c>
      <c r="CD158" s="29" t="e">
        <f t="shared" si="319"/>
        <v>#N/A</v>
      </c>
      <c r="CE158" s="6" t="str">
        <f t="shared" si="320"/>
        <v/>
      </c>
      <c r="CF158" s="27" t="e">
        <f>IF(AND(CI158,NOT(AD158)),LOOKUP(CF$5,{0,750,1500},H158:J158),"")</f>
        <v>#N/A</v>
      </c>
      <c r="CG158" s="6" t="str">
        <f t="shared" si="321"/>
        <v/>
      </c>
      <c r="CH158" t="e">
        <f t="shared" si="312"/>
        <v>#N/A</v>
      </c>
      <c r="CI158" t="e">
        <f t="shared" si="313"/>
        <v>#N/A</v>
      </c>
      <c r="CJ158" s="6" t="e">
        <f t="shared" si="11"/>
        <v>#N/A</v>
      </c>
      <c r="CK158" s="6">
        <f t="shared" si="12"/>
        <v>1</v>
      </c>
      <c r="CL158" s="6">
        <f t="shared" si="26"/>
        <v>1</v>
      </c>
      <c r="CM158" s="6">
        <f t="shared" si="13"/>
        <v>1</v>
      </c>
      <c r="CN158" s="6">
        <f t="shared" si="14"/>
        <v>1</v>
      </c>
      <c r="CO158" s="6">
        <f t="shared" si="15"/>
        <v>1</v>
      </c>
      <c r="CP158" s="6">
        <f t="shared" si="16"/>
        <v>1</v>
      </c>
      <c r="CQ158" s="6">
        <f t="shared" si="314"/>
        <v>1</v>
      </c>
      <c r="CR158" s="81" t="str">
        <f t="shared" si="17"/>
        <v/>
      </c>
      <c r="CS158">
        <f t="shared" si="315"/>
        <v>0</v>
      </c>
      <c r="CT158">
        <f t="shared" si="19"/>
        <v>150</v>
      </c>
      <c r="CU158" t="str">
        <f t="shared" si="29"/>
        <v/>
      </c>
      <c r="CV158" s="81">
        <f t="shared" si="316"/>
        <v>150</v>
      </c>
      <c r="CW158" s="81">
        <f>(CV158/25)^1.5*(Calculator!$BU$4/10000)*CW$5</f>
        <v>7.6432310260371077</v>
      </c>
      <c r="CX158" t="str">
        <f t="shared" si="317"/>
        <v>$150</v>
      </c>
    </row>
    <row r="159" spans="2:102" x14ac:dyDescent="0.25">
      <c r="B159" s="115" t="s">
        <v>233</v>
      </c>
      <c r="C159" s="13">
        <v>46317.620833333334</v>
      </c>
      <c r="D159">
        <v>35918</v>
      </c>
      <c r="E159" s="54" t="s">
        <v>237</v>
      </c>
      <c r="F159" s="54" t="s">
        <v>457</v>
      </c>
      <c r="G159" s="54" t="s">
        <v>1724</v>
      </c>
      <c r="H159" s="55">
        <v>12</v>
      </c>
      <c r="I159" s="55">
        <v>11.600000000000001</v>
      </c>
      <c r="J159" s="55">
        <v>11.4</v>
      </c>
      <c r="K159" s="54"/>
      <c r="L159" s="56" t="b">
        <v>0</v>
      </c>
      <c r="M159" s="56" t="b">
        <v>0</v>
      </c>
      <c r="N159" s="54">
        <v>1</v>
      </c>
      <c r="O159" s="54" t="s">
        <v>228</v>
      </c>
      <c r="P159" s="54">
        <v>100</v>
      </c>
      <c r="Q159" s="54">
        <v>8</v>
      </c>
      <c r="R159" s="54">
        <v>150</v>
      </c>
      <c r="S159" s="54" t="s">
        <v>459</v>
      </c>
      <c r="T159" s="54" t="s">
        <v>1573</v>
      </c>
      <c r="U159" s="54" t="s">
        <v>460</v>
      </c>
      <c r="V159" s="54" t="s">
        <v>461</v>
      </c>
      <c r="W159" s="54" t="b">
        <v>0</v>
      </c>
      <c r="X159" s="54"/>
      <c r="Y159" s="57" t="s">
        <v>2216</v>
      </c>
      <c r="Z159" s="54" t="s">
        <v>1725</v>
      </c>
      <c r="AA159" s="54"/>
      <c r="AB159" s="54" t="s">
        <v>463</v>
      </c>
      <c r="AC159" s="56" t="b">
        <v>1</v>
      </c>
      <c r="AD159" s="56" t="b">
        <v>0</v>
      </c>
      <c r="AE159" s="54" t="s">
        <v>302</v>
      </c>
      <c r="AF159" s="58">
        <v>46317</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4.3700000000000003E-2</v>
      </c>
      <c r="BC159" s="60">
        <v>4.0599999999999996</v>
      </c>
      <c r="BD159" s="61">
        <v>6.8672999999999998E-2</v>
      </c>
      <c r="BE159" s="62" t="s">
        <v>293</v>
      </c>
      <c r="BF159" s="35">
        <f t="shared" si="0"/>
        <v>4.0600000000000005</v>
      </c>
      <c r="BG159" s="35">
        <f t="shared" si="0"/>
        <v>6.8672999999999998E-2</v>
      </c>
      <c r="BH159" s="35" t="str">
        <f t="shared" si="309"/>
        <v>Low</v>
      </c>
      <c r="BI159" s="110">
        <f t="shared" si="310"/>
        <v>0</v>
      </c>
      <c r="BJ159" s="83">
        <f>VLOOKUP($F159,REP_Info!$D$6:$H$250,5,FALSE)</f>
        <v>1.165</v>
      </c>
      <c r="BK159" s="30">
        <f t="shared" si="322"/>
        <v>12.049300000000001</v>
      </c>
      <c r="BL159" s="30">
        <f t="shared" si="322"/>
        <v>11.643300000000002</v>
      </c>
      <c r="BM159" s="30">
        <f t="shared" si="322"/>
        <v>11.440300000000001</v>
      </c>
      <c r="BN159" s="29">
        <f t="shared" si="322"/>
        <v>11.372633333333331</v>
      </c>
      <c r="BO159" s="85" t="str">
        <f t="shared" si="2"/>
        <v>$$$</v>
      </c>
      <c r="BP159" s="88" t="str">
        <f t="shared" si="311"/>
        <v>$$$</v>
      </c>
      <c r="BQ159" s="88" t="str">
        <f t="shared" si="4"/>
        <v>$$$</v>
      </c>
      <c r="BR159" s="88" t="str">
        <f t="shared" si="5"/>
        <v>$$$</v>
      </c>
      <c r="BS159" s="29" t="e">
        <f t="shared" si="319"/>
        <v>#N/A</v>
      </c>
      <c r="BT159" s="29" t="e">
        <f t="shared" si="319"/>
        <v>#N/A</v>
      </c>
      <c r="BU159" s="29" t="e">
        <f t="shared" si="319"/>
        <v>#N/A</v>
      </c>
      <c r="BV159" s="29" t="e">
        <f t="shared" si="319"/>
        <v>#N/A</v>
      </c>
      <c r="BW159" s="29" t="e">
        <f t="shared" si="319"/>
        <v>#N/A</v>
      </c>
      <c r="BX159" s="29" t="e">
        <f t="shared" si="319"/>
        <v>#N/A</v>
      </c>
      <c r="BY159" s="29" t="e">
        <f t="shared" si="319"/>
        <v>#N/A</v>
      </c>
      <c r="BZ159" s="29" t="e">
        <f t="shared" si="319"/>
        <v>#N/A</v>
      </c>
      <c r="CA159" s="29" t="e">
        <f t="shared" si="319"/>
        <v>#N/A</v>
      </c>
      <c r="CB159" s="29" t="e">
        <f t="shared" ref="BS159:CD162" si="323">IF($CI159,IF(CB$7&gt;0,IF(CB$4&gt;$Q159,$BF159+CB$7*(CB$5+$BG159+$BI159),LOOKUP(CB$7,$AH159:$AL159,$AM159:$AQ159)+IF($AG159="Y",SUMPRODUCT($AX159:$BB159-$AW159:$BA159,CB$7-$AR159:$AV159,N(CB$7&gt;$AR159:$AV159)),CB$7*LOOKUP(CB$7,$AR159:$AV159,$AX159:$BB159))+IF($BE159="Y",$BF159,$BC159)+CB$7*IF($BE159="Y",$BG159,$BD159))*100/CB$7,""),NA())</f>
        <v>#N/A</v>
      </c>
      <c r="CC159" s="29" t="e">
        <f t="shared" si="323"/>
        <v>#N/A</v>
      </c>
      <c r="CD159" s="29" t="e">
        <f t="shared" si="323"/>
        <v>#N/A</v>
      </c>
      <c r="CE159" s="6" t="str">
        <f t="shared" si="320"/>
        <v/>
      </c>
      <c r="CF159" s="27" t="e">
        <f>IF(AND(CI159,NOT(AD159)),LOOKUP(CF$5,{0,750,1500},H159:J159),"")</f>
        <v>#N/A</v>
      </c>
      <c r="CG159" s="6" t="str">
        <f t="shared" si="321"/>
        <v/>
      </c>
      <c r="CH159" t="e">
        <f t="shared" si="312"/>
        <v>#N/A</v>
      </c>
      <c r="CI159" t="e">
        <f t="shared" si="313"/>
        <v>#N/A</v>
      </c>
      <c r="CJ159" s="6" t="e">
        <f t="shared" si="11"/>
        <v>#N/A</v>
      </c>
      <c r="CK159" s="6">
        <f t="shared" si="12"/>
        <v>1</v>
      </c>
      <c r="CL159" s="6">
        <f t="shared" si="26"/>
        <v>1</v>
      </c>
      <c r="CM159" s="6">
        <f t="shared" si="13"/>
        <v>1</v>
      </c>
      <c r="CN159" s="6">
        <f t="shared" si="14"/>
        <v>0</v>
      </c>
      <c r="CO159" s="6">
        <f t="shared" si="15"/>
        <v>1</v>
      </c>
      <c r="CP159" s="6">
        <f t="shared" si="16"/>
        <v>1</v>
      </c>
      <c r="CQ159" s="6">
        <f t="shared" si="314"/>
        <v>1</v>
      </c>
      <c r="CR159" s="81" t="str">
        <f t="shared" si="17"/>
        <v/>
      </c>
      <c r="CS159">
        <f t="shared" si="315"/>
        <v>9</v>
      </c>
      <c r="CT159">
        <f t="shared" si="19"/>
        <v>150</v>
      </c>
      <c r="CU159" t="str">
        <f t="shared" si="29"/>
        <v/>
      </c>
      <c r="CV159" s="81">
        <f t="shared" si="316"/>
        <v>150</v>
      </c>
      <c r="CW159" s="81">
        <f>(CV159/25)^1.5*(Calculator!$BU$4/10000)*CW$5</f>
        <v>7.6432310260371077</v>
      </c>
      <c r="CX159" t="str">
        <f t="shared" si="317"/>
        <v>$150</v>
      </c>
    </row>
    <row r="160" spans="2:102" x14ac:dyDescent="0.25">
      <c r="B160" s="115" t="s">
        <v>233</v>
      </c>
      <c r="C160" s="13">
        <v>46317.620833333334</v>
      </c>
      <c r="D160">
        <v>35920</v>
      </c>
      <c r="E160" s="54" t="s">
        <v>235</v>
      </c>
      <c r="F160" s="54" t="s">
        <v>457</v>
      </c>
      <c r="G160" s="54" t="s">
        <v>1724</v>
      </c>
      <c r="H160" s="55">
        <v>11.899999999999999</v>
      </c>
      <c r="I160" s="55">
        <v>11.4</v>
      </c>
      <c r="J160" s="55">
        <v>11.200000000000001</v>
      </c>
      <c r="K160" s="54"/>
      <c r="L160" s="56" t="b">
        <v>0</v>
      </c>
      <c r="M160" s="56" t="b">
        <v>0</v>
      </c>
      <c r="N160" s="54">
        <v>1</v>
      </c>
      <c r="O160" s="54" t="s">
        <v>228</v>
      </c>
      <c r="P160" s="54">
        <v>100</v>
      </c>
      <c r="Q160" s="54">
        <v>8</v>
      </c>
      <c r="R160" s="54">
        <v>150</v>
      </c>
      <c r="S160" s="54" t="s">
        <v>459</v>
      </c>
      <c r="T160" s="54" t="s">
        <v>1573</v>
      </c>
      <c r="U160" s="54" t="s">
        <v>460</v>
      </c>
      <c r="V160" s="54" t="s">
        <v>461</v>
      </c>
      <c r="W160" s="54" t="b">
        <v>0</v>
      </c>
      <c r="X160" s="54"/>
      <c r="Y160" s="57" t="s">
        <v>2217</v>
      </c>
      <c r="Z160" s="54" t="s">
        <v>1726</v>
      </c>
      <c r="AA160" s="54"/>
      <c r="AB160" s="54" t="s">
        <v>463</v>
      </c>
      <c r="AC160" s="56" t="b">
        <v>1</v>
      </c>
      <c r="AD160" s="56" t="b">
        <v>0</v>
      </c>
      <c r="AE160" s="54" t="s">
        <v>302</v>
      </c>
      <c r="AF160" s="58">
        <v>46317</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4.4200000000000003E-2</v>
      </c>
      <c r="BC160" s="60">
        <v>4.9000000000000004</v>
      </c>
      <c r="BD160" s="61">
        <v>6.5333000000000002E-2</v>
      </c>
      <c r="BE160" s="62" t="s">
        <v>293</v>
      </c>
      <c r="BF160" s="35">
        <f t="shared" si="0"/>
        <v>4.9000000000000004</v>
      </c>
      <c r="BG160" s="35">
        <f t="shared" si="0"/>
        <v>6.5333000000000002E-2</v>
      </c>
      <c r="BH160" s="35" t="str">
        <f t="shared" si="309"/>
        <v>Low</v>
      </c>
      <c r="BI160" s="110">
        <f t="shared" si="310"/>
        <v>0</v>
      </c>
      <c r="BJ160" s="83">
        <f>VLOOKUP($F160,REP_Info!$D$6:$H$250,5,FALSE)</f>
        <v>1.165</v>
      </c>
      <c r="BK160" s="30">
        <f t="shared" si="322"/>
        <v>11.933299999999999</v>
      </c>
      <c r="BL160" s="30">
        <f t="shared" si="322"/>
        <v>11.443299999999999</v>
      </c>
      <c r="BM160" s="30">
        <f t="shared" si="322"/>
        <v>11.198300000000001</v>
      </c>
      <c r="BN160" s="29">
        <f t="shared" si="322"/>
        <v>11.116633333333334</v>
      </c>
      <c r="BO160" s="85" t="str">
        <f t="shared" si="2"/>
        <v>$$$</v>
      </c>
      <c r="BP160" s="88" t="str">
        <f t="shared" si="311"/>
        <v>$$$</v>
      </c>
      <c r="BQ160" s="88" t="str">
        <f t="shared" si="4"/>
        <v>$$$</v>
      </c>
      <c r="BR160" s="88" t="str">
        <f t="shared" si="5"/>
        <v>$$$</v>
      </c>
      <c r="BS160" s="29" t="e">
        <f t="shared" si="323"/>
        <v>#N/A</v>
      </c>
      <c r="BT160" s="29" t="e">
        <f t="shared" si="323"/>
        <v>#N/A</v>
      </c>
      <c r="BU160" s="29" t="e">
        <f t="shared" si="323"/>
        <v>#N/A</v>
      </c>
      <c r="BV160" s="29" t="e">
        <f t="shared" si="323"/>
        <v>#N/A</v>
      </c>
      <c r="BW160" s="29" t="e">
        <f t="shared" si="323"/>
        <v>#N/A</v>
      </c>
      <c r="BX160" s="29" t="e">
        <f t="shared" si="323"/>
        <v>#N/A</v>
      </c>
      <c r="BY160" s="29" t="e">
        <f t="shared" si="323"/>
        <v>#N/A</v>
      </c>
      <c r="BZ160" s="29" t="e">
        <f t="shared" si="323"/>
        <v>#N/A</v>
      </c>
      <c r="CA160" s="29" t="e">
        <f t="shared" si="323"/>
        <v>#N/A</v>
      </c>
      <c r="CB160" s="29" t="e">
        <f t="shared" si="323"/>
        <v>#N/A</v>
      </c>
      <c r="CC160" s="29" t="e">
        <f t="shared" si="323"/>
        <v>#N/A</v>
      </c>
      <c r="CD160" s="29" t="e">
        <f t="shared" si="323"/>
        <v>#N/A</v>
      </c>
      <c r="CE160" s="6" t="str">
        <f t="shared" si="320"/>
        <v/>
      </c>
      <c r="CF160" s="27" t="e">
        <f>IF(AND(CI160,NOT(AD160)),LOOKUP(CF$5,{0,750,1500},H160:J160),"")</f>
        <v>#N/A</v>
      </c>
      <c r="CG160" s="6" t="str">
        <f t="shared" si="321"/>
        <v/>
      </c>
      <c r="CH160" t="e">
        <f t="shared" si="312"/>
        <v>#N/A</v>
      </c>
      <c r="CI160" t="e">
        <f t="shared" si="313"/>
        <v>#N/A</v>
      </c>
      <c r="CJ160" s="6" t="e">
        <f t="shared" si="11"/>
        <v>#N/A</v>
      </c>
      <c r="CK160" s="6">
        <f t="shared" si="12"/>
        <v>1</v>
      </c>
      <c r="CL160" s="6">
        <f t="shared" si="26"/>
        <v>1</v>
      </c>
      <c r="CM160" s="6">
        <f t="shared" si="13"/>
        <v>1</v>
      </c>
      <c r="CN160" s="6">
        <f t="shared" si="14"/>
        <v>0</v>
      </c>
      <c r="CO160" s="6">
        <f t="shared" si="15"/>
        <v>1</v>
      </c>
      <c r="CP160" s="6">
        <f t="shared" si="16"/>
        <v>1</v>
      </c>
      <c r="CQ160" s="6">
        <f t="shared" si="314"/>
        <v>1</v>
      </c>
      <c r="CR160" s="81" t="str">
        <f t="shared" si="17"/>
        <v/>
      </c>
      <c r="CS160">
        <f t="shared" si="315"/>
        <v>9</v>
      </c>
      <c r="CT160">
        <f t="shared" si="19"/>
        <v>150</v>
      </c>
      <c r="CU160" t="str">
        <f t="shared" si="29"/>
        <v/>
      </c>
      <c r="CV160" s="81">
        <f t="shared" si="316"/>
        <v>150</v>
      </c>
      <c r="CW160" s="81">
        <f>(CV160/25)^1.5*(Calculator!$BU$4/10000)*CW$5</f>
        <v>7.6432310260371077</v>
      </c>
      <c r="CX160" t="str">
        <f t="shared" si="317"/>
        <v>$150</v>
      </c>
    </row>
    <row r="161" spans="2:102" x14ac:dyDescent="0.25">
      <c r="B161" s="115" t="s">
        <v>233</v>
      </c>
      <c r="C161" s="13">
        <v>46310.890972222223</v>
      </c>
      <c r="D161">
        <v>28255</v>
      </c>
      <c r="E161" s="54" t="s">
        <v>235</v>
      </c>
      <c r="F161" s="54" t="s">
        <v>465</v>
      </c>
      <c r="G161" s="54" t="s">
        <v>2049</v>
      </c>
      <c r="H161" s="55">
        <v>16.2</v>
      </c>
      <c r="I161" s="55">
        <v>15.2</v>
      </c>
      <c r="J161" s="55">
        <v>14.7</v>
      </c>
      <c r="K161" s="54"/>
      <c r="L161" s="56" t="b">
        <v>0</v>
      </c>
      <c r="M161" s="56" t="b">
        <v>0</v>
      </c>
      <c r="N161" s="54">
        <v>1</v>
      </c>
      <c r="O161" s="54" t="s">
        <v>228</v>
      </c>
      <c r="P161" s="54">
        <v>25</v>
      </c>
      <c r="Q161" s="54">
        <v>24</v>
      </c>
      <c r="R161" s="54" t="s">
        <v>466</v>
      </c>
      <c r="S161" s="54" t="s">
        <v>2050</v>
      </c>
      <c r="T161" s="54" t="s">
        <v>2051</v>
      </c>
      <c r="U161" s="54" t="s">
        <v>2043</v>
      </c>
      <c r="V161" s="54" t="s">
        <v>2052</v>
      </c>
      <c r="W161" s="54" t="b">
        <v>0</v>
      </c>
      <c r="X161" s="54"/>
      <c r="Y161" s="57" t="s">
        <v>2053</v>
      </c>
      <c r="Z161" s="54" t="s">
        <v>2054</v>
      </c>
      <c r="AA161" s="54"/>
      <c r="AB161" s="54" t="s">
        <v>2055</v>
      </c>
      <c r="AC161" s="56" t="b">
        <v>0</v>
      </c>
      <c r="AD161" s="56" t="b">
        <v>0</v>
      </c>
      <c r="AE161" s="54" t="s">
        <v>302</v>
      </c>
      <c r="AF161" s="58">
        <v>46288</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7.6999999999999999E-2</v>
      </c>
      <c r="BC161" s="60">
        <v>4.9000000000000004</v>
      </c>
      <c r="BD161" s="61">
        <v>6.4130000000000006E-2</v>
      </c>
      <c r="BE161" s="62" t="s">
        <v>293</v>
      </c>
      <c r="BF161" s="35">
        <f t="shared" si="0"/>
        <v>4.9000000000000004</v>
      </c>
      <c r="BG161" s="35">
        <f t="shared" si="0"/>
        <v>6.5333000000000002E-2</v>
      </c>
      <c r="BH161" s="35" t="str">
        <f t="shared" si="309"/>
        <v>Med</v>
      </c>
      <c r="BI161" s="110">
        <f t="shared" si="310"/>
        <v>0</v>
      </c>
      <c r="BJ161" s="83" t="str">
        <f>VLOOKUP($F161,REP_Info!$D$6:$H$250,5,FALSE)</f>
        <v/>
      </c>
      <c r="BK161" s="30">
        <f t="shared" si="322"/>
        <v>16.203300000000002</v>
      </c>
      <c r="BL161" s="30">
        <f t="shared" si="322"/>
        <v>15.218299999999999</v>
      </c>
      <c r="BM161" s="30">
        <f t="shared" si="322"/>
        <v>14.725799999999998</v>
      </c>
      <c r="BN161" s="29">
        <f t="shared" si="322"/>
        <v>14.561633333333333</v>
      </c>
      <c r="BO161" s="85" t="str">
        <f t="shared" si="2"/>
        <v>$$$</v>
      </c>
      <c r="BP161" s="88" t="str">
        <f t="shared" si="311"/>
        <v>$$$</v>
      </c>
      <c r="BQ161" s="88" t="str">
        <f t="shared" si="4"/>
        <v>$$$</v>
      </c>
      <c r="BR161" s="88" t="str">
        <f t="shared" si="5"/>
        <v>$$$</v>
      </c>
      <c r="BS161" s="29" t="e">
        <f t="shared" si="323"/>
        <v>#N/A</v>
      </c>
      <c r="BT161" s="29" t="e">
        <f t="shared" si="323"/>
        <v>#N/A</v>
      </c>
      <c r="BU161" s="29" t="e">
        <f t="shared" si="323"/>
        <v>#N/A</v>
      </c>
      <c r="BV161" s="29" t="e">
        <f t="shared" si="323"/>
        <v>#N/A</v>
      </c>
      <c r="BW161" s="29" t="e">
        <f t="shared" si="323"/>
        <v>#N/A</v>
      </c>
      <c r="BX161" s="29" t="e">
        <f t="shared" si="323"/>
        <v>#N/A</v>
      </c>
      <c r="BY161" s="29" t="e">
        <f t="shared" si="323"/>
        <v>#N/A</v>
      </c>
      <c r="BZ161" s="29" t="e">
        <f t="shared" si="323"/>
        <v>#N/A</v>
      </c>
      <c r="CA161" s="29" t="e">
        <f t="shared" si="323"/>
        <v>#N/A</v>
      </c>
      <c r="CB161" s="29" t="e">
        <f t="shared" si="323"/>
        <v>#N/A</v>
      </c>
      <c r="CC161" s="29" t="e">
        <f t="shared" si="323"/>
        <v>#N/A</v>
      </c>
      <c r="CD161" s="29" t="e">
        <f t="shared" si="323"/>
        <v>#N/A</v>
      </c>
      <c r="CE161" s="6" t="str">
        <f t="shared" si="320"/>
        <v/>
      </c>
      <c r="CF161" s="27" t="e">
        <f>IF(AND(CI161,NOT(AD161)),LOOKUP(CF$5,{0,750,1500},H161:J161),"")</f>
        <v>#N/A</v>
      </c>
      <c r="CG161" s="6" t="str">
        <f t="shared" si="321"/>
        <v/>
      </c>
      <c r="CH161" t="e">
        <f t="shared" si="312"/>
        <v>#N/A</v>
      </c>
      <c r="CI161" t="e">
        <f t="shared" si="313"/>
        <v>#N/A</v>
      </c>
      <c r="CJ161" s="6" t="e">
        <f t="shared" si="11"/>
        <v>#N/A</v>
      </c>
      <c r="CK161" s="6">
        <f t="shared" si="12"/>
        <v>1</v>
      </c>
      <c r="CL161" s="6">
        <f t="shared" si="26"/>
        <v>1</v>
      </c>
      <c r="CM161" s="6">
        <f t="shared" si="13"/>
        <v>1</v>
      </c>
      <c r="CN161" s="6">
        <f t="shared" si="14"/>
        <v>1</v>
      </c>
      <c r="CO161" s="6">
        <f t="shared" si="15"/>
        <v>0</v>
      </c>
      <c r="CP161" s="6">
        <f t="shared" si="16"/>
        <v>1</v>
      </c>
      <c r="CQ161" s="6">
        <f t="shared" si="314"/>
        <v>1</v>
      </c>
      <c r="CR161" s="81" t="str">
        <f t="shared" si="17"/>
        <v/>
      </c>
      <c r="CS161">
        <f t="shared" si="315"/>
        <v>0</v>
      </c>
      <c r="CT161">
        <f t="shared" si="19"/>
        <v>20</v>
      </c>
      <c r="CU161" t="str">
        <f t="shared" si="29"/>
        <v>rm</v>
      </c>
      <c r="CV161" s="81">
        <f t="shared" si="316"/>
        <v>480</v>
      </c>
      <c r="CW161" s="81">
        <f>(CV161/25)^1.5*(Calculator!$BU$4/10000)*CW$5</f>
        <v>43.752407403403353</v>
      </c>
      <c r="CX161" t="str">
        <f t="shared" si="317"/>
        <v>$20/rm</v>
      </c>
    </row>
    <row r="162" spans="2:102" x14ac:dyDescent="0.25">
      <c r="B162" s="115" t="s">
        <v>233</v>
      </c>
      <c r="C162" s="13">
        <v>46310.890972222223</v>
      </c>
      <c r="D162">
        <v>28258</v>
      </c>
      <c r="E162" s="54" t="s">
        <v>237</v>
      </c>
      <c r="F162" s="54" t="s">
        <v>465</v>
      </c>
      <c r="G162" s="54" t="s">
        <v>2049</v>
      </c>
      <c r="H162" s="55">
        <v>16.5</v>
      </c>
      <c r="I162" s="55">
        <v>15.6</v>
      </c>
      <c r="J162" s="55">
        <v>15.1</v>
      </c>
      <c r="K162" s="54"/>
      <c r="L162" s="56" t="b">
        <v>0</v>
      </c>
      <c r="M162" s="56" t="b">
        <v>0</v>
      </c>
      <c r="N162" s="54">
        <v>1</v>
      </c>
      <c r="O162" s="54" t="s">
        <v>228</v>
      </c>
      <c r="P162" s="54">
        <v>25</v>
      </c>
      <c r="Q162" s="54">
        <v>24</v>
      </c>
      <c r="R162" s="54" t="s">
        <v>466</v>
      </c>
      <c r="S162" s="54" t="s">
        <v>2056</v>
      </c>
      <c r="T162" s="54" t="s">
        <v>2051</v>
      </c>
      <c r="U162" s="54" t="s">
        <v>2043</v>
      </c>
      <c r="V162" s="54" t="s">
        <v>2052</v>
      </c>
      <c r="W162" s="54" t="b">
        <v>0</v>
      </c>
      <c r="X162" s="54"/>
      <c r="Y162" s="57" t="s">
        <v>2057</v>
      </c>
      <c r="Z162" s="54" t="s">
        <v>2058</v>
      </c>
      <c r="AA162" s="54"/>
      <c r="AB162" s="54" t="s">
        <v>2059</v>
      </c>
      <c r="AC162" s="56" t="b">
        <v>0</v>
      </c>
      <c r="AD162" s="56" t="b">
        <v>0</v>
      </c>
      <c r="AE162" s="54" t="s">
        <v>302</v>
      </c>
      <c r="AF162" s="58">
        <v>46288</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7.8E-2</v>
      </c>
      <c r="BC162" s="60">
        <v>4.0599999999999996</v>
      </c>
      <c r="BD162" s="61">
        <v>6.0295000000000001E-2</v>
      </c>
      <c r="BE162" s="62" t="s">
        <v>293</v>
      </c>
      <c r="BF162" s="35">
        <f t="shared" si="0"/>
        <v>4.0600000000000005</v>
      </c>
      <c r="BG162" s="35">
        <f t="shared" si="0"/>
        <v>6.8672999999999998E-2</v>
      </c>
      <c r="BH162" s="35" t="str">
        <f t="shared" si="309"/>
        <v>Med</v>
      </c>
      <c r="BI162" s="110">
        <f t="shared" si="310"/>
        <v>0</v>
      </c>
      <c r="BJ162" s="83" t="str">
        <f>VLOOKUP($F162,REP_Info!$D$6:$H$250,5,FALSE)</f>
        <v/>
      </c>
      <c r="BK162" s="30">
        <f t="shared" si="322"/>
        <v>16.469300000000004</v>
      </c>
      <c r="BL162" s="30">
        <f t="shared" si="322"/>
        <v>15.568299999999999</v>
      </c>
      <c r="BM162" s="30">
        <f t="shared" si="322"/>
        <v>15.117799999999999</v>
      </c>
      <c r="BN162" s="29">
        <f t="shared" si="322"/>
        <v>14.967633333333334</v>
      </c>
      <c r="BO162" s="85" t="str">
        <f t="shared" si="2"/>
        <v>$$$</v>
      </c>
      <c r="BP162" s="88" t="str">
        <f t="shared" si="311"/>
        <v>$$$</v>
      </c>
      <c r="BQ162" s="88" t="str">
        <f t="shared" si="4"/>
        <v>$$$</v>
      </c>
      <c r="BR162" s="88" t="str">
        <f t="shared" si="5"/>
        <v>$$$</v>
      </c>
      <c r="BS162" s="29" t="e">
        <f t="shared" si="323"/>
        <v>#N/A</v>
      </c>
      <c r="BT162" s="29" t="e">
        <f t="shared" si="323"/>
        <v>#N/A</v>
      </c>
      <c r="BU162" s="29" t="e">
        <f t="shared" si="323"/>
        <v>#N/A</v>
      </c>
      <c r="BV162" s="29" t="e">
        <f t="shared" si="323"/>
        <v>#N/A</v>
      </c>
      <c r="BW162" s="29" t="e">
        <f t="shared" si="323"/>
        <v>#N/A</v>
      </c>
      <c r="BX162" s="29" t="e">
        <f t="shared" si="323"/>
        <v>#N/A</v>
      </c>
      <c r="BY162" s="29" t="e">
        <f t="shared" si="323"/>
        <v>#N/A</v>
      </c>
      <c r="BZ162" s="29" t="e">
        <f t="shared" si="323"/>
        <v>#N/A</v>
      </c>
      <c r="CA162" s="29" t="e">
        <f t="shared" si="323"/>
        <v>#N/A</v>
      </c>
      <c r="CB162" s="29" t="e">
        <f t="shared" si="323"/>
        <v>#N/A</v>
      </c>
      <c r="CC162" s="29" t="e">
        <f t="shared" si="323"/>
        <v>#N/A</v>
      </c>
      <c r="CD162" s="29" t="e">
        <f t="shared" si="323"/>
        <v>#N/A</v>
      </c>
      <c r="CE162" s="6" t="str">
        <f t="shared" si="320"/>
        <v/>
      </c>
      <c r="CF162" s="27" t="e">
        <f>IF(AND(CI162,NOT(AD162)),LOOKUP(CF$5,{0,750,1500},H162:J162),"")</f>
        <v>#N/A</v>
      </c>
      <c r="CG162" s="6" t="str">
        <f t="shared" si="321"/>
        <v/>
      </c>
      <c r="CH162" t="e">
        <f t="shared" si="312"/>
        <v>#N/A</v>
      </c>
      <c r="CI162" t="e">
        <f t="shared" si="313"/>
        <v>#N/A</v>
      </c>
      <c r="CJ162" s="6" t="e">
        <f t="shared" si="11"/>
        <v>#N/A</v>
      </c>
      <c r="CK162" s="6">
        <f t="shared" si="12"/>
        <v>1</v>
      </c>
      <c r="CL162" s="6">
        <f t="shared" si="26"/>
        <v>1</v>
      </c>
      <c r="CM162" s="6">
        <f t="shared" si="13"/>
        <v>1</v>
      </c>
      <c r="CN162" s="6">
        <f t="shared" si="14"/>
        <v>1</v>
      </c>
      <c r="CO162" s="6">
        <f t="shared" si="15"/>
        <v>0</v>
      </c>
      <c r="CP162" s="6">
        <f t="shared" si="16"/>
        <v>1</v>
      </c>
      <c r="CQ162" s="6">
        <f t="shared" si="314"/>
        <v>1</v>
      </c>
      <c r="CR162" s="81" t="str">
        <f t="shared" si="17"/>
        <v/>
      </c>
      <c r="CS162">
        <f t="shared" si="315"/>
        <v>0</v>
      </c>
      <c r="CT162">
        <f t="shared" si="19"/>
        <v>20</v>
      </c>
      <c r="CU162" t="str">
        <f t="shared" si="29"/>
        <v>rm</v>
      </c>
      <c r="CV162" s="81">
        <f t="shared" si="316"/>
        <v>480</v>
      </c>
      <c r="CW162" s="81">
        <f>(CV162/25)^1.5*(Calculator!$BU$4/10000)*CW$5</f>
        <v>43.752407403403353</v>
      </c>
      <c r="CX162" t="str">
        <f t="shared" si="317"/>
        <v>$20/rm</v>
      </c>
    </row>
    <row r="163" spans="2:102" x14ac:dyDescent="0.25">
      <c r="B163" s="115" t="s">
        <v>233</v>
      </c>
      <c r="C163" s="13">
        <v>46310.890972222223</v>
      </c>
      <c r="D163">
        <v>28274</v>
      </c>
      <c r="E163" s="54" t="s">
        <v>237</v>
      </c>
      <c r="F163" s="54" t="s">
        <v>465</v>
      </c>
      <c r="G163" s="54" t="s">
        <v>2060</v>
      </c>
      <c r="H163" s="55">
        <v>15.9</v>
      </c>
      <c r="I163" s="55">
        <v>15</v>
      </c>
      <c r="J163" s="55">
        <v>14.499999999999998</v>
      </c>
      <c r="K163" s="54"/>
      <c r="L163" s="56" t="b">
        <v>0</v>
      </c>
      <c r="M163" s="56" t="b">
        <v>0</v>
      </c>
      <c r="N163" s="54">
        <v>1</v>
      </c>
      <c r="O163" s="54" t="s">
        <v>228</v>
      </c>
      <c r="P163" s="54">
        <v>25</v>
      </c>
      <c r="Q163" s="54">
        <v>12</v>
      </c>
      <c r="R163" s="54" t="s">
        <v>466</v>
      </c>
      <c r="S163" s="54" t="s">
        <v>2056</v>
      </c>
      <c r="T163" s="54" t="s">
        <v>2051</v>
      </c>
      <c r="U163" s="54" t="s">
        <v>2042</v>
      </c>
      <c r="V163" s="54" t="s">
        <v>2052</v>
      </c>
      <c r="W163" s="54" t="b">
        <v>0</v>
      </c>
      <c r="X163" s="54"/>
      <c r="Y163" s="57" t="s">
        <v>2061</v>
      </c>
      <c r="Z163" s="54" t="s">
        <v>2058</v>
      </c>
      <c r="AA163" s="54"/>
      <c r="AB163" s="54" t="s">
        <v>2059</v>
      </c>
      <c r="AC163" s="56" t="b">
        <v>0</v>
      </c>
      <c r="AD163" s="56" t="b">
        <v>0</v>
      </c>
      <c r="AE163" s="54" t="s">
        <v>302</v>
      </c>
      <c r="AF163" s="58">
        <v>46309</v>
      </c>
      <c r="AG163" s="62" t="s">
        <v>293</v>
      </c>
      <c r="AH163" s="54">
        <v>0</v>
      </c>
      <c r="AI163" s="54"/>
      <c r="AJ163" s="54"/>
      <c r="AK163" s="54"/>
      <c r="AL163" s="54"/>
      <c r="AM163" s="54">
        <v>4.95</v>
      </c>
      <c r="AN163" s="54"/>
      <c r="AO163" s="54"/>
      <c r="AP163" s="54"/>
      <c r="AQ163" s="54"/>
      <c r="AR163" s="54"/>
      <c r="AS163" s="54"/>
      <c r="AT163" s="54"/>
      <c r="AU163" s="54"/>
      <c r="AV163" s="54"/>
      <c r="AW163" s="54"/>
      <c r="AX163" s="59"/>
      <c r="AY163" s="59"/>
      <c r="AZ163" s="59"/>
      <c r="BA163" s="59"/>
      <c r="BB163" s="59">
        <v>7.1999999999999995E-2</v>
      </c>
      <c r="BC163" s="60">
        <v>4.0599999999999996</v>
      </c>
      <c r="BD163" s="61">
        <v>6.8672999999999998E-2</v>
      </c>
      <c r="BE163" s="62" t="s">
        <v>293</v>
      </c>
      <c r="BF163" s="35">
        <f t="shared" si="0"/>
        <v>4.0600000000000005</v>
      </c>
      <c r="BG163" s="35">
        <f t="shared" si="0"/>
        <v>6.8672999999999998E-2</v>
      </c>
      <c r="BH163" s="35" t="str">
        <f t="shared" ref="BH163:BH170" si="324">IF(ISTEXT(BE163),IF(AND(AV163=0,SUM(AN163:AQ163)=0),IF(AM163&lt;=0,IF(BE163="Y","Low","Flat"),"Med"),"High"),"?")</f>
        <v>Med</v>
      </c>
      <c r="BI163" s="110">
        <f t="shared" ref="BI163:BI170" si="325">IF(ISNUMBER(AH163),0*BI$5*SIN((EDATE($A$3,$Q163)-DATE(YEAR(EDATE($A$3,$Q163)),1,0)-BI$4)*2*PI()/365),"")</f>
        <v>0</v>
      </c>
      <c r="BJ163" s="83" t="str">
        <f>VLOOKUP($F163,REP_Info!$D$6:$H$250,5,FALSE)</f>
        <v/>
      </c>
      <c r="BK163" s="30">
        <f t="shared" si="1"/>
        <v>15.869300000000001</v>
      </c>
      <c r="BL163" s="30">
        <f t="shared" si="1"/>
        <v>14.968299999999999</v>
      </c>
      <c r="BM163" s="30">
        <f t="shared" si="1"/>
        <v>14.517799999999999</v>
      </c>
      <c r="BN163" s="29">
        <f t="shared" si="1"/>
        <v>14.367633333333334</v>
      </c>
      <c r="BO163" s="85" t="str">
        <f t="shared" si="2"/>
        <v>$$$</v>
      </c>
      <c r="BP163" s="88" t="str">
        <f t="shared" ref="BP163:BP170" si="326">IFERROR(BO163*100/BO$5,"$$$")</f>
        <v>$$$</v>
      </c>
      <c r="BQ163" s="88" t="str">
        <f t="shared" si="4"/>
        <v>$$$</v>
      </c>
      <c r="BR163" s="88" t="str">
        <f t="shared" si="5"/>
        <v>$$$</v>
      </c>
      <c r="BS163" s="29" t="e">
        <f t="shared" ref="BS163:CD170" si="327">IF($CI163,IF(BS$7&gt;0,IF(BS$4&gt;$Q163,$BF163+BS$7*(BS$5+$BG163+$BI163),LOOKUP(BS$7,$AH163:$AL163,$AM163:$AQ163)+IF($AG163="Y",SUMPRODUCT($AX163:$BB163-$AW163:$BA163,BS$7-$AR163:$AV163,N(BS$7&gt;$AR163:$AV163)),BS$7*LOOKUP(BS$7,$AR163:$AV163,$AX163:$BB163))+IF($BE163="Y",$BF163,$BC163)+BS$7*IF($BE163="Y",$BG163,$BD163))*100/BS$7,""),NA())</f>
        <v>#N/A</v>
      </c>
      <c r="BT163" s="29" t="e">
        <f t="shared" si="327"/>
        <v>#N/A</v>
      </c>
      <c r="BU163" s="29" t="e">
        <f t="shared" si="327"/>
        <v>#N/A</v>
      </c>
      <c r="BV163" s="29" t="e">
        <f t="shared" si="327"/>
        <v>#N/A</v>
      </c>
      <c r="BW163" s="29" t="e">
        <f t="shared" si="327"/>
        <v>#N/A</v>
      </c>
      <c r="BX163" s="29" t="e">
        <f t="shared" si="327"/>
        <v>#N/A</v>
      </c>
      <c r="BY163" s="29" t="e">
        <f t="shared" si="327"/>
        <v>#N/A</v>
      </c>
      <c r="BZ163" s="29" t="e">
        <f t="shared" si="327"/>
        <v>#N/A</v>
      </c>
      <c r="CA163" s="29" t="e">
        <f t="shared" si="327"/>
        <v>#N/A</v>
      </c>
      <c r="CB163" s="29" t="e">
        <f t="shared" si="327"/>
        <v>#N/A</v>
      </c>
      <c r="CC163" s="29" t="e">
        <f t="shared" si="327"/>
        <v>#N/A</v>
      </c>
      <c r="CD163" s="29" t="e">
        <f t="shared" si="327"/>
        <v>#N/A</v>
      </c>
      <c r="CE163" s="6" t="str">
        <f t="shared" si="320"/>
        <v/>
      </c>
      <c r="CF163" s="27" t="e">
        <f>IF(AND(CI163,NOT(AD163)),LOOKUP(CF$5,{0,750,1500},H163:J163),"")</f>
        <v>#N/A</v>
      </c>
      <c r="CG163" s="6" t="str">
        <f t="shared" si="321"/>
        <v/>
      </c>
      <c r="CH163" t="e">
        <f t="shared" ref="CH163:CH170" si="328">IF(CI163,IF(ISNUMBER(BO163),BO163,100000)+CV163/10000+IF(ISNUMBER(BJ163),BJ163,2)/10000-P163/100000+ROW()/10000000,"")</f>
        <v>#N/A</v>
      </c>
      <c r="CI163" t="e">
        <f t="shared" ref="CI163:CI170" si="329">PRODUCT(CJ163:CQ163)</f>
        <v>#N/A</v>
      </c>
      <c r="CJ163" s="6" t="e">
        <f t="shared" si="11"/>
        <v>#N/A</v>
      </c>
      <c r="CK163" s="6">
        <f t="shared" si="12"/>
        <v>1</v>
      </c>
      <c r="CL163" s="6">
        <f t="shared" si="26"/>
        <v>1</v>
      </c>
      <c r="CM163" s="6">
        <f t="shared" si="13"/>
        <v>1</v>
      </c>
      <c r="CN163" s="6">
        <f t="shared" si="14"/>
        <v>1</v>
      </c>
      <c r="CO163" s="6">
        <f t="shared" si="15"/>
        <v>1</v>
      </c>
      <c r="CP163" s="6">
        <f t="shared" si="16"/>
        <v>1</v>
      </c>
      <c r="CQ163" s="6">
        <f t="shared" ref="CQ163:CQ170" si="330">IF(CQ$5="Any",1,IF(AND(CQ$5="Med",AV163=0,SUM(AN163:AQ163)=0),1,IF(AND(CQ$5="Low",AV163=0,SUM(AN163:AQ163)=0,AM163=0),1,IF(AND(CQ$5="Flat",AV163=0,SUM(AN163:AQ163)=0,AM163=0,IFERROR(NOT(BE163="Y"),0)),1,0))))</f>
        <v>1</v>
      </c>
      <c r="CR163" s="81" t="str">
        <f t="shared" si="17"/>
        <v/>
      </c>
      <c r="CS163">
        <f t="shared" ref="CS163:CS170" si="331">CS$5*(12/(MIN(12,Q163))-1)</f>
        <v>0</v>
      </c>
      <c r="CT163">
        <f t="shared" si="19"/>
        <v>20</v>
      </c>
      <c r="CU163" t="str">
        <f t="shared" si="29"/>
        <v>rm</v>
      </c>
      <c r="CV163" s="81">
        <f t="shared" ref="CV163:CV170" si="332">CT163*IF(CU163="",1,Q163)</f>
        <v>240</v>
      </c>
      <c r="CW163" s="81">
        <f>(CV163/25)^1.5*(Calculator!$BU$4/10000)*CW$5</f>
        <v>15.468811984091507</v>
      </c>
      <c r="CX163" t="str">
        <f t="shared" ref="CX163:CX170" si="333">"$"&amp;IF(LEFT(CU163,1)="r",CT163&amp;"/"&amp;CU163,CV163)</f>
        <v>$20/rm</v>
      </c>
    </row>
    <row r="164" spans="2:102" x14ac:dyDescent="0.25">
      <c r="B164" s="115" t="s">
        <v>233</v>
      </c>
      <c r="C164" s="13">
        <v>46310.890972222223</v>
      </c>
      <c r="D164">
        <v>28277</v>
      </c>
      <c r="E164" s="54" t="s">
        <v>235</v>
      </c>
      <c r="F164" s="54" t="s">
        <v>465</v>
      </c>
      <c r="G164" s="54" t="s">
        <v>2060</v>
      </c>
      <c r="H164" s="55">
        <v>15.8</v>
      </c>
      <c r="I164" s="55">
        <v>14.799999999999999</v>
      </c>
      <c r="J164" s="55">
        <v>14.299999999999999</v>
      </c>
      <c r="K164" s="54"/>
      <c r="L164" s="56" t="b">
        <v>0</v>
      </c>
      <c r="M164" s="56" t="b">
        <v>0</v>
      </c>
      <c r="N164" s="54">
        <v>1</v>
      </c>
      <c r="O164" s="54" t="s">
        <v>228</v>
      </c>
      <c r="P164" s="54">
        <v>25</v>
      </c>
      <c r="Q164" s="54">
        <v>12</v>
      </c>
      <c r="R164" s="54" t="s">
        <v>466</v>
      </c>
      <c r="S164" s="54" t="s">
        <v>2050</v>
      </c>
      <c r="T164" s="54" t="s">
        <v>2051</v>
      </c>
      <c r="U164" s="54" t="s">
        <v>2042</v>
      </c>
      <c r="V164" s="54" t="s">
        <v>2052</v>
      </c>
      <c r="W164" s="54" t="b">
        <v>0</v>
      </c>
      <c r="X164" s="54"/>
      <c r="Y164" s="57" t="s">
        <v>2062</v>
      </c>
      <c r="Z164" s="54" t="s">
        <v>2054</v>
      </c>
      <c r="AA164" s="54"/>
      <c r="AB164" s="54" t="s">
        <v>2055</v>
      </c>
      <c r="AC164" s="56" t="b">
        <v>0</v>
      </c>
      <c r="AD164" s="56" t="b">
        <v>0</v>
      </c>
      <c r="AE164" s="54" t="s">
        <v>302</v>
      </c>
      <c r="AF164" s="58">
        <v>46309</v>
      </c>
      <c r="AG164" s="62" t="s">
        <v>293</v>
      </c>
      <c r="AH164" s="54">
        <v>0</v>
      </c>
      <c r="AI164" s="54"/>
      <c r="AJ164" s="54"/>
      <c r="AK164" s="54"/>
      <c r="AL164" s="54"/>
      <c r="AM164" s="54">
        <v>4.95</v>
      </c>
      <c r="AN164" s="54"/>
      <c r="AO164" s="54"/>
      <c r="AP164" s="54"/>
      <c r="AQ164" s="54"/>
      <c r="AR164" s="54"/>
      <c r="AS164" s="54"/>
      <c r="AT164" s="54"/>
      <c r="AU164" s="54"/>
      <c r="AV164" s="54"/>
      <c r="AW164" s="54"/>
      <c r="AX164" s="59"/>
      <c r="AY164" s="59"/>
      <c r="AZ164" s="59"/>
      <c r="BA164" s="59"/>
      <c r="BB164" s="59">
        <v>7.2999999999999995E-2</v>
      </c>
      <c r="BC164" s="60">
        <v>4.9000000000000004</v>
      </c>
      <c r="BD164" s="61">
        <v>6.5329999999999999E-2</v>
      </c>
      <c r="BE164" s="62" t="s">
        <v>293</v>
      </c>
      <c r="BF164" s="35">
        <f t="shared" si="0"/>
        <v>4.9000000000000004</v>
      </c>
      <c r="BG164" s="35">
        <f t="shared" si="0"/>
        <v>6.5333000000000002E-2</v>
      </c>
      <c r="BH164" s="35" t="str">
        <f t="shared" si="324"/>
        <v>Med</v>
      </c>
      <c r="BI164" s="110">
        <f t="shared" si="325"/>
        <v>0</v>
      </c>
      <c r="BJ164" s="83" t="str">
        <f>VLOOKUP($F164,REP_Info!$D$6:$H$250,5,FALSE)</f>
        <v/>
      </c>
      <c r="BK164" s="30">
        <f t="shared" si="1"/>
        <v>15.803300000000002</v>
      </c>
      <c r="BL164" s="30">
        <f t="shared" si="1"/>
        <v>14.818299999999999</v>
      </c>
      <c r="BM164" s="30">
        <f t="shared" si="1"/>
        <v>14.325799999999997</v>
      </c>
      <c r="BN164" s="29">
        <f t="shared" si="1"/>
        <v>14.161633333333334</v>
      </c>
      <c r="BO164" s="85" t="str">
        <f t="shared" si="2"/>
        <v>$$$</v>
      </c>
      <c r="BP164" s="88" t="str">
        <f t="shared" si="326"/>
        <v>$$$</v>
      </c>
      <c r="BQ164" s="88" t="str">
        <f t="shared" si="4"/>
        <v>$$$</v>
      </c>
      <c r="BR164" s="88" t="str">
        <f t="shared" si="5"/>
        <v>$$$</v>
      </c>
      <c r="BS164" s="29" t="e">
        <f t="shared" si="327"/>
        <v>#N/A</v>
      </c>
      <c r="BT164" s="29" t="e">
        <f t="shared" si="327"/>
        <v>#N/A</v>
      </c>
      <c r="BU164" s="29" t="e">
        <f t="shared" si="327"/>
        <v>#N/A</v>
      </c>
      <c r="BV164" s="29" t="e">
        <f t="shared" si="327"/>
        <v>#N/A</v>
      </c>
      <c r="BW164" s="29" t="e">
        <f t="shared" si="327"/>
        <v>#N/A</v>
      </c>
      <c r="BX164" s="29" t="e">
        <f t="shared" si="327"/>
        <v>#N/A</v>
      </c>
      <c r="BY164" s="29" t="e">
        <f t="shared" si="327"/>
        <v>#N/A</v>
      </c>
      <c r="BZ164" s="29" t="e">
        <f t="shared" si="327"/>
        <v>#N/A</v>
      </c>
      <c r="CA164" s="29" t="e">
        <f t="shared" si="327"/>
        <v>#N/A</v>
      </c>
      <c r="CB164" s="29" t="e">
        <f t="shared" si="327"/>
        <v>#N/A</v>
      </c>
      <c r="CC164" s="29" t="e">
        <f t="shared" si="327"/>
        <v>#N/A</v>
      </c>
      <c r="CD164" s="29" t="e">
        <f t="shared" si="327"/>
        <v>#N/A</v>
      </c>
      <c r="CE164" s="6" t="str">
        <f t="shared" si="320"/>
        <v/>
      </c>
      <c r="CF164" s="27" t="e">
        <f>IF(AND(CI164,NOT(AD164)),LOOKUP(CF$5,{0,750,1500},H164:J164),"")</f>
        <v>#N/A</v>
      </c>
      <c r="CG164" s="6" t="str">
        <f t="shared" si="321"/>
        <v/>
      </c>
      <c r="CH164" t="e">
        <f t="shared" si="328"/>
        <v>#N/A</v>
      </c>
      <c r="CI164" t="e">
        <f t="shared" si="329"/>
        <v>#N/A</v>
      </c>
      <c r="CJ164" s="6" t="e">
        <f t="shared" si="11"/>
        <v>#N/A</v>
      </c>
      <c r="CK164" s="6">
        <f t="shared" si="12"/>
        <v>1</v>
      </c>
      <c r="CL164" s="6">
        <f t="shared" si="26"/>
        <v>1</v>
      </c>
      <c r="CM164" s="6">
        <f t="shared" si="13"/>
        <v>1</v>
      </c>
      <c r="CN164" s="6">
        <f t="shared" si="14"/>
        <v>1</v>
      </c>
      <c r="CO164" s="6">
        <f t="shared" si="15"/>
        <v>1</v>
      </c>
      <c r="CP164" s="6">
        <f t="shared" si="16"/>
        <v>1</v>
      </c>
      <c r="CQ164" s="6">
        <f t="shared" si="330"/>
        <v>1</v>
      </c>
      <c r="CR164" s="81" t="str">
        <f t="shared" si="17"/>
        <v/>
      </c>
      <c r="CS164">
        <f t="shared" si="331"/>
        <v>0</v>
      </c>
      <c r="CT164">
        <f t="shared" si="19"/>
        <v>20</v>
      </c>
      <c r="CU164" t="str">
        <f t="shared" si="29"/>
        <v>rm</v>
      </c>
      <c r="CV164" s="81">
        <f t="shared" si="332"/>
        <v>240</v>
      </c>
      <c r="CW164" s="81">
        <f>(CV164/25)^1.5*(Calculator!$BU$4/10000)*CW$5</f>
        <v>15.468811984091507</v>
      </c>
      <c r="CX164" t="str">
        <f t="shared" si="333"/>
        <v>$20/rm</v>
      </c>
    </row>
    <row r="165" spans="2:102" x14ac:dyDescent="0.25">
      <c r="B165" s="115" t="s">
        <v>233</v>
      </c>
      <c r="C165" s="13">
        <v>46310.890972222223</v>
      </c>
      <c r="D165">
        <v>28301</v>
      </c>
      <c r="E165" s="54" t="s">
        <v>237</v>
      </c>
      <c r="F165" s="54" t="s">
        <v>465</v>
      </c>
      <c r="G165" s="54" t="s">
        <v>2063</v>
      </c>
      <c r="H165" s="55">
        <v>16.900000000000002</v>
      </c>
      <c r="I165" s="55">
        <v>16</v>
      </c>
      <c r="J165" s="55">
        <v>15.5</v>
      </c>
      <c r="K165" s="54"/>
      <c r="L165" s="56" t="b">
        <v>0</v>
      </c>
      <c r="M165" s="56" t="b">
        <v>0</v>
      </c>
      <c r="N165" s="54">
        <v>1</v>
      </c>
      <c r="O165" s="54" t="s">
        <v>228</v>
      </c>
      <c r="P165" s="54">
        <v>25</v>
      </c>
      <c r="Q165" s="54">
        <v>36</v>
      </c>
      <c r="R165" s="54" t="s">
        <v>466</v>
      </c>
      <c r="S165" s="54" t="s">
        <v>2056</v>
      </c>
      <c r="T165" s="54" t="s">
        <v>2051</v>
      </c>
      <c r="U165" s="54" t="s">
        <v>2044</v>
      </c>
      <c r="V165" s="54" t="s">
        <v>2052</v>
      </c>
      <c r="W165" s="54" t="b">
        <v>0</v>
      </c>
      <c r="X165" s="54"/>
      <c r="Y165" s="57" t="s">
        <v>2064</v>
      </c>
      <c r="Z165" s="54" t="s">
        <v>2058</v>
      </c>
      <c r="AA165" s="54"/>
      <c r="AB165" s="54" t="s">
        <v>2059</v>
      </c>
      <c r="AC165" s="56" t="b">
        <v>0</v>
      </c>
      <c r="AD165" s="56" t="b">
        <v>0</v>
      </c>
      <c r="AE165" s="54" t="s">
        <v>302</v>
      </c>
      <c r="AF165" s="58">
        <v>46309</v>
      </c>
      <c r="AG165" s="62" t="s">
        <v>293</v>
      </c>
      <c r="AH165" s="54">
        <v>0</v>
      </c>
      <c r="AI165" s="54"/>
      <c r="AJ165" s="54"/>
      <c r="AK165" s="54"/>
      <c r="AL165" s="54"/>
      <c r="AM165" s="54">
        <v>4.95</v>
      </c>
      <c r="AN165" s="54"/>
      <c r="AO165" s="54"/>
      <c r="AP165" s="54"/>
      <c r="AQ165" s="54"/>
      <c r="AR165" s="54"/>
      <c r="AS165" s="54"/>
      <c r="AT165" s="54"/>
      <c r="AU165" s="54"/>
      <c r="AV165" s="54"/>
      <c r="AW165" s="54"/>
      <c r="AX165" s="59"/>
      <c r="AY165" s="59"/>
      <c r="AZ165" s="59"/>
      <c r="BA165" s="59"/>
      <c r="BB165" s="59">
        <v>8.2000000000000003E-2</v>
      </c>
      <c r="BC165" s="60">
        <v>4.0599999999999996</v>
      </c>
      <c r="BD165" s="61">
        <v>6.8672999999999998E-2</v>
      </c>
      <c r="BE165" s="62" t="s">
        <v>293</v>
      </c>
      <c r="BF165" s="35">
        <f t="shared" si="0"/>
        <v>4.0600000000000005</v>
      </c>
      <c r="BG165" s="35">
        <f t="shared" si="0"/>
        <v>6.8672999999999998E-2</v>
      </c>
      <c r="BH165" s="35" t="str">
        <f t="shared" si="324"/>
        <v>Med</v>
      </c>
      <c r="BI165" s="110">
        <f t="shared" si="325"/>
        <v>0</v>
      </c>
      <c r="BJ165" s="83" t="str">
        <f>VLOOKUP($F165,REP_Info!$D$6:$H$250,5,FALSE)</f>
        <v/>
      </c>
      <c r="BK165" s="30">
        <f t="shared" si="1"/>
        <v>16.869300000000003</v>
      </c>
      <c r="BL165" s="30">
        <f t="shared" si="1"/>
        <v>15.968299999999999</v>
      </c>
      <c r="BM165" s="30">
        <f t="shared" si="1"/>
        <v>15.517799999999999</v>
      </c>
      <c r="BN165" s="29">
        <f t="shared" si="1"/>
        <v>15.367633333333334</v>
      </c>
      <c r="BO165" s="85" t="str">
        <f t="shared" si="2"/>
        <v>$$$</v>
      </c>
      <c r="BP165" s="88" t="str">
        <f t="shared" si="326"/>
        <v>$$$</v>
      </c>
      <c r="BQ165" s="88" t="str">
        <f t="shared" si="4"/>
        <v>$$$</v>
      </c>
      <c r="BR165" s="88" t="str">
        <f t="shared" si="5"/>
        <v>$$$</v>
      </c>
      <c r="BS165" s="29" t="e">
        <f t="shared" si="327"/>
        <v>#N/A</v>
      </c>
      <c r="BT165" s="29" t="e">
        <f t="shared" si="327"/>
        <v>#N/A</v>
      </c>
      <c r="BU165" s="29" t="e">
        <f t="shared" si="327"/>
        <v>#N/A</v>
      </c>
      <c r="BV165" s="29" t="e">
        <f t="shared" si="327"/>
        <v>#N/A</v>
      </c>
      <c r="BW165" s="29" t="e">
        <f t="shared" si="327"/>
        <v>#N/A</v>
      </c>
      <c r="BX165" s="29" t="e">
        <f t="shared" si="327"/>
        <v>#N/A</v>
      </c>
      <c r="BY165" s="29" t="e">
        <f t="shared" si="327"/>
        <v>#N/A</v>
      </c>
      <c r="BZ165" s="29" t="e">
        <f t="shared" si="327"/>
        <v>#N/A</v>
      </c>
      <c r="CA165" s="29" t="e">
        <f t="shared" si="327"/>
        <v>#N/A</v>
      </c>
      <c r="CB165" s="29" t="e">
        <f t="shared" si="327"/>
        <v>#N/A</v>
      </c>
      <c r="CC165" s="29" t="e">
        <f t="shared" si="327"/>
        <v>#N/A</v>
      </c>
      <c r="CD165" s="29" t="e">
        <f t="shared" si="327"/>
        <v>#N/A</v>
      </c>
      <c r="CE165" s="6" t="str">
        <f t="shared" si="320"/>
        <v/>
      </c>
      <c r="CF165" s="27" t="e">
        <f>IF(AND(CI165,NOT(AD165)),LOOKUP(CF$5,{0,750,1500},H165:J165),"")</f>
        <v>#N/A</v>
      </c>
      <c r="CG165" s="6" t="str">
        <f t="shared" si="321"/>
        <v/>
      </c>
      <c r="CH165" t="e">
        <f t="shared" si="328"/>
        <v>#N/A</v>
      </c>
      <c r="CI165" t="e">
        <f t="shared" si="329"/>
        <v>#N/A</v>
      </c>
      <c r="CJ165" s="6" t="e">
        <f t="shared" si="11"/>
        <v>#N/A</v>
      </c>
      <c r="CK165" s="6">
        <f t="shared" si="12"/>
        <v>1</v>
      </c>
      <c r="CL165" s="6">
        <f t="shared" si="26"/>
        <v>1</v>
      </c>
      <c r="CM165" s="6">
        <f t="shared" si="13"/>
        <v>1</v>
      </c>
      <c r="CN165" s="6">
        <f t="shared" si="14"/>
        <v>1</v>
      </c>
      <c r="CO165" s="6">
        <f t="shared" si="15"/>
        <v>0</v>
      </c>
      <c r="CP165" s="6">
        <f t="shared" si="16"/>
        <v>1</v>
      </c>
      <c r="CQ165" s="6">
        <f t="shared" si="330"/>
        <v>1</v>
      </c>
      <c r="CR165" s="81" t="str">
        <f t="shared" si="17"/>
        <v/>
      </c>
      <c r="CS165">
        <f t="shared" si="331"/>
        <v>0</v>
      </c>
      <c r="CT165">
        <f t="shared" si="19"/>
        <v>20</v>
      </c>
      <c r="CU165" t="str">
        <f t="shared" si="29"/>
        <v>rm</v>
      </c>
      <c r="CV165" s="81">
        <f t="shared" si="332"/>
        <v>720</v>
      </c>
      <c r="CW165" s="81">
        <f>(CV165/25)^1.5*(Calculator!$BU$4/10000)*CW$5</f>
        <v>80.37830486753046</v>
      </c>
      <c r="CX165" t="str">
        <f t="shared" si="333"/>
        <v>$20/rm</v>
      </c>
    </row>
    <row r="166" spans="2:102" x14ac:dyDescent="0.25">
      <c r="B166" s="115" t="s">
        <v>233</v>
      </c>
      <c r="C166" s="13">
        <v>46310.890972222223</v>
      </c>
      <c r="D166">
        <v>28304</v>
      </c>
      <c r="E166" s="54" t="s">
        <v>235</v>
      </c>
      <c r="F166" s="54" t="s">
        <v>465</v>
      </c>
      <c r="G166" s="54" t="s">
        <v>2063</v>
      </c>
      <c r="H166" s="55">
        <v>16.7</v>
      </c>
      <c r="I166" s="55">
        <v>15.7</v>
      </c>
      <c r="J166" s="55">
        <v>15.2</v>
      </c>
      <c r="K166" s="54"/>
      <c r="L166" s="56" t="b">
        <v>0</v>
      </c>
      <c r="M166" s="56" t="b">
        <v>0</v>
      </c>
      <c r="N166" s="54">
        <v>1</v>
      </c>
      <c r="O166" s="54" t="s">
        <v>228</v>
      </c>
      <c r="P166" s="54">
        <v>25</v>
      </c>
      <c r="Q166" s="54">
        <v>36</v>
      </c>
      <c r="R166" s="54" t="s">
        <v>466</v>
      </c>
      <c r="S166" s="54" t="s">
        <v>2050</v>
      </c>
      <c r="T166" s="54" t="s">
        <v>2051</v>
      </c>
      <c r="U166" s="54" t="s">
        <v>2044</v>
      </c>
      <c r="V166" s="54" t="s">
        <v>2052</v>
      </c>
      <c r="W166" s="54" t="b">
        <v>0</v>
      </c>
      <c r="X166" s="54"/>
      <c r="Y166" s="57" t="s">
        <v>2065</v>
      </c>
      <c r="Z166" s="54" t="s">
        <v>2054</v>
      </c>
      <c r="AA166" s="54"/>
      <c r="AB166" s="54" t="s">
        <v>2055</v>
      </c>
      <c r="AC166" s="56" t="b">
        <v>0</v>
      </c>
      <c r="AD166" s="56" t="b">
        <v>0</v>
      </c>
      <c r="AE166" s="54" t="s">
        <v>302</v>
      </c>
      <c r="AF166" s="58">
        <v>46309</v>
      </c>
      <c r="AG166" s="62" t="s">
        <v>293</v>
      </c>
      <c r="AH166" s="54">
        <v>0</v>
      </c>
      <c r="AI166" s="54"/>
      <c r="AJ166" s="54"/>
      <c r="AK166" s="54"/>
      <c r="AL166" s="54"/>
      <c r="AM166" s="54">
        <v>4.95</v>
      </c>
      <c r="AN166" s="54"/>
      <c r="AO166" s="54"/>
      <c r="AP166" s="54"/>
      <c r="AQ166" s="54"/>
      <c r="AR166" s="54"/>
      <c r="AS166" s="54"/>
      <c r="AT166" s="54"/>
      <c r="AU166" s="54"/>
      <c r="AV166" s="54"/>
      <c r="AW166" s="54"/>
      <c r="AX166" s="59"/>
      <c r="AY166" s="59"/>
      <c r="AZ166" s="59"/>
      <c r="BA166" s="59"/>
      <c r="BB166" s="59">
        <v>8.2000000000000003E-2</v>
      </c>
      <c r="BC166" s="60">
        <v>4.9000000000000004</v>
      </c>
      <c r="BD166" s="61">
        <v>6.5329999999999999E-2</v>
      </c>
      <c r="BE166" s="62" t="s">
        <v>293</v>
      </c>
      <c r="BF166" s="35">
        <f t="shared" si="0"/>
        <v>4.9000000000000004</v>
      </c>
      <c r="BG166" s="35">
        <f t="shared" ref="BF166:BG170" si="334">IF($E166=$E$4,BG$4,IF($E166=$E$5,BG$5,""))</f>
        <v>6.5333000000000002E-2</v>
      </c>
      <c r="BH166" s="35" t="str">
        <f t="shared" si="324"/>
        <v>Med</v>
      </c>
      <c r="BI166" s="110">
        <f t="shared" si="325"/>
        <v>0</v>
      </c>
      <c r="BJ166" s="83" t="str">
        <f>VLOOKUP($F166,REP_Info!$D$6:$H$250,5,FALSE)</f>
        <v/>
      </c>
      <c r="BK166" s="30">
        <f t="shared" si="1"/>
        <v>16.703300000000002</v>
      </c>
      <c r="BL166" s="30">
        <f t="shared" si="1"/>
        <v>15.718299999999999</v>
      </c>
      <c r="BM166" s="30">
        <f t="shared" si="1"/>
        <v>15.225799999999998</v>
      </c>
      <c r="BN166" s="29">
        <f t="shared" si="1"/>
        <v>15.061633333333333</v>
      </c>
      <c r="BO166" s="85" t="str">
        <f t="shared" si="2"/>
        <v>$$$</v>
      </c>
      <c r="BP166" s="88" t="str">
        <f t="shared" si="326"/>
        <v>$$$</v>
      </c>
      <c r="BQ166" s="88" t="str">
        <f t="shared" si="4"/>
        <v>$$$</v>
      </c>
      <c r="BR166" s="88" t="str">
        <f t="shared" si="5"/>
        <v>$$$</v>
      </c>
      <c r="BS166" s="29" t="e">
        <f t="shared" si="327"/>
        <v>#N/A</v>
      </c>
      <c r="BT166" s="29" t="e">
        <f t="shared" si="327"/>
        <v>#N/A</v>
      </c>
      <c r="BU166" s="29" t="e">
        <f t="shared" si="327"/>
        <v>#N/A</v>
      </c>
      <c r="BV166" s="29" t="e">
        <f t="shared" si="327"/>
        <v>#N/A</v>
      </c>
      <c r="BW166" s="29" t="e">
        <f t="shared" si="327"/>
        <v>#N/A</v>
      </c>
      <c r="BX166" s="29" t="e">
        <f t="shared" si="327"/>
        <v>#N/A</v>
      </c>
      <c r="BY166" s="29" t="e">
        <f t="shared" si="327"/>
        <v>#N/A</v>
      </c>
      <c r="BZ166" s="29" t="e">
        <f t="shared" si="327"/>
        <v>#N/A</v>
      </c>
      <c r="CA166" s="29" t="e">
        <f t="shared" si="327"/>
        <v>#N/A</v>
      </c>
      <c r="CB166" s="29" t="e">
        <f t="shared" si="327"/>
        <v>#N/A</v>
      </c>
      <c r="CC166" s="29" t="e">
        <f t="shared" si="327"/>
        <v>#N/A</v>
      </c>
      <c r="CD166" s="29" t="e">
        <f t="shared" si="327"/>
        <v>#N/A</v>
      </c>
      <c r="CE166" s="6" t="str">
        <f t="shared" si="320"/>
        <v/>
      </c>
      <c r="CF166" s="27" t="e">
        <f>IF(AND(CI166,NOT(AD166)),LOOKUP(CF$5,{0,750,1500},H166:J166),"")</f>
        <v>#N/A</v>
      </c>
      <c r="CG166" s="6" t="str">
        <f t="shared" si="321"/>
        <v/>
      </c>
      <c r="CH166" t="e">
        <f t="shared" si="328"/>
        <v>#N/A</v>
      </c>
      <c r="CI166" t="e">
        <f t="shared" si="329"/>
        <v>#N/A</v>
      </c>
      <c r="CJ166" s="6" t="e">
        <f t="shared" si="11"/>
        <v>#N/A</v>
      </c>
      <c r="CK166" s="6">
        <f t="shared" si="12"/>
        <v>1</v>
      </c>
      <c r="CL166" s="6">
        <f t="shared" si="26"/>
        <v>1</v>
      </c>
      <c r="CM166" s="6">
        <f t="shared" si="13"/>
        <v>1</v>
      </c>
      <c r="CN166" s="6">
        <f t="shared" si="14"/>
        <v>1</v>
      </c>
      <c r="CO166" s="6">
        <f t="shared" si="15"/>
        <v>0</v>
      </c>
      <c r="CP166" s="6">
        <f t="shared" si="16"/>
        <v>1</v>
      </c>
      <c r="CQ166" s="6">
        <f t="shared" si="330"/>
        <v>1</v>
      </c>
      <c r="CR166" s="81" t="str">
        <f t="shared" si="17"/>
        <v/>
      </c>
      <c r="CS166">
        <f t="shared" si="331"/>
        <v>0</v>
      </c>
      <c r="CT166">
        <f t="shared" si="19"/>
        <v>20</v>
      </c>
      <c r="CU166" t="str">
        <f t="shared" si="29"/>
        <v>rm</v>
      </c>
      <c r="CV166" s="81">
        <f t="shared" si="332"/>
        <v>720</v>
      </c>
      <c r="CW166" s="81">
        <f>(CV166/25)^1.5*(Calculator!$BU$4/10000)*CW$5</f>
        <v>80.37830486753046</v>
      </c>
      <c r="CX166" t="str">
        <f t="shared" si="333"/>
        <v>$20/rm</v>
      </c>
    </row>
    <row r="167" spans="2:102" x14ac:dyDescent="0.25">
      <c r="B167" s="115" t="s">
        <v>233</v>
      </c>
      <c r="C167" s="13">
        <v>46316.611111111109</v>
      </c>
      <c r="D167">
        <v>22010</v>
      </c>
      <c r="E167" s="54" t="s">
        <v>237</v>
      </c>
      <c r="F167" s="54" t="s">
        <v>467</v>
      </c>
      <c r="G167" s="54" t="s">
        <v>468</v>
      </c>
      <c r="H167" s="55">
        <v>16.400000000000002</v>
      </c>
      <c r="I167" s="55">
        <v>15.5</v>
      </c>
      <c r="J167" s="55">
        <v>15</v>
      </c>
      <c r="K167" s="54"/>
      <c r="L167" s="56" t="b">
        <v>0</v>
      </c>
      <c r="M167" s="56" t="b">
        <v>0</v>
      </c>
      <c r="N167" s="54">
        <v>1</v>
      </c>
      <c r="O167" s="54" t="s">
        <v>228</v>
      </c>
      <c r="P167" s="54">
        <v>100</v>
      </c>
      <c r="Q167" s="54">
        <v>12</v>
      </c>
      <c r="R167" s="54">
        <v>150</v>
      </c>
      <c r="S167" s="54" t="s">
        <v>469</v>
      </c>
      <c r="T167" s="54" t="s">
        <v>470</v>
      </c>
      <c r="U167" s="54" t="s">
        <v>471</v>
      </c>
      <c r="V167" s="54" t="s">
        <v>2166</v>
      </c>
      <c r="W167" s="54" t="b">
        <v>0</v>
      </c>
      <c r="X167" s="54"/>
      <c r="Y167" s="57" t="s">
        <v>2167</v>
      </c>
      <c r="Z167" s="54" t="s">
        <v>1601</v>
      </c>
      <c r="AA167" s="54"/>
      <c r="AB167" s="54" t="s">
        <v>472</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7.7296000000000004E-2</v>
      </c>
      <c r="BC167" s="60">
        <v>4.0599999999999996</v>
      </c>
      <c r="BD167" s="61">
        <v>6.8672999999999998E-2</v>
      </c>
      <c r="BE167" s="62" t="s">
        <v>293</v>
      </c>
      <c r="BF167" s="35">
        <f t="shared" si="334"/>
        <v>4.0600000000000005</v>
      </c>
      <c r="BG167" s="35">
        <f t="shared" si="334"/>
        <v>6.8672999999999998E-2</v>
      </c>
      <c r="BH167" s="35" t="str">
        <f t="shared" si="324"/>
        <v>Med</v>
      </c>
      <c r="BI167" s="110">
        <f t="shared" si="325"/>
        <v>0</v>
      </c>
      <c r="BJ167" s="83">
        <f>VLOOKUP($F167,REP_Info!$D$6:$H$250,5,FALSE)</f>
        <v>0.67800000000000005</v>
      </c>
      <c r="BK167" s="30">
        <f t="shared" si="1"/>
        <v>16.408900000000003</v>
      </c>
      <c r="BL167" s="30">
        <f t="shared" si="1"/>
        <v>15.5029</v>
      </c>
      <c r="BM167" s="30">
        <f t="shared" si="1"/>
        <v>15.049900000000001</v>
      </c>
      <c r="BN167" s="29">
        <f t="shared" si="1"/>
        <v>14.898899999999999</v>
      </c>
      <c r="BO167" s="85" t="str">
        <f t="shared" si="2"/>
        <v>$$$</v>
      </c>
      <c r="BP167" s="88" t="str">
        <f t="shared" si="326"/>
        <v>$$$</v>
      </c>
      <c r="BQ167" s="88" t="str">
        <f t="shared" si="4"/>
        <v>$$$</v>
      </c>
      <c r="BR167" s="88" t="str">
        <f t="shared" si="5"/>
        <v>$$$</v>
      </c>
      <c r="BS167" s="29" t="e">
        <f t="shared" si="327"/>
        <v>#N/A</v>
      </c>
      <c r="BT167" s="29" t="e">
        <f t="shared" si="327"/>
        <v>#N/A</v>
      </c>
      <c r="BU167" s="29" t="e">
        <f t="shared" si="327"/>
        <v>#N/A</v>
      </c>
      <c r="BV167" s="29" t="e">
        <f t="shared" si="327"/>
        <v>#N/A</v>
      </c>
      <c r="BW167" s="29" t="e">
        <f t="shared" si="327"/>
        <v>#N/A</v>
      </c>
      <c r="BX167" s="29" t="e">
        <f t="shared" si="327"/>
        <v>#N/A</v>
      </c>
      <c r="BY167" s="29" t="e">
        <f t="shared" si="327"/>
        <v>#N/A</v>
      </c>
      <c r="BZ167" s="29" t="e">
        <f t="shared" si="327"/>
        <v>#N/A</v>
      </c>
      <c r="CA167" s="29" t="e">
        <f t="shared" si="327"/>
        <v>#N/A</v>
      </c>
      <c r="CB167" s="29" t="e">
        <f t="shared" si="327"/>
        <v>#N/A</v>
      </c>
      <c r="CC167" s="29" t="e">
        <f t="shared" si="327"/>
        <v>#N/A</v>
      </c>
      <c r="CD167" s="29" t="e">
        <f t="shared" si="327"/>
        <v>#N/A</v>
      </c>
      <c r="CE167" s="6" t="str">
        <f t="shared" si="320"/>
        <v/>
      </c>
      <c r="CF167" s="27" t="e">
        <f>IF(AND(CI167,NOT(AD167)),LOOKUP(CF$5,{0,750,1500},H167:J167),"")</f>
        <v>#N/A</v>
      </c>
      <c r="CG167" s="6" t="str">
        <f t="shared" si="321"/>
        <v/>
      </c>
      <c r="CH167" t="e">
        <f t="shared" si="328"/>
        <v>#N/A</v>
      </c>
      <c r="CI167" t="e">
        <f t="shared" si="329"/>
        <v>#N/A</v>
      </c>
      <c r="CJ167" s="6" t="e">
        <f t="shared" si="11"/>
        <v>#N/A</v>
      </c>
      <c r="CK167" s="6">
        <f t="shared" si="12"/>
        <v>1</v>
      </c>
      <c r="CL167" s="6">
        <f t="shared" si="26"/>
        <v>1</v>
      </c>
      <c r="CM167" s="6">
        <f t="shared" si="13"/>
        <v>1</v>
      </c>
      <c r="CN167" s="6">
        <f t="shared" si="14"/>
        <v>1</v>
      </c>
      <c r="CO167" s="6">
        <f t="shared" si="15"/>
        <v>1</v>
      </c>
      <c r="CP167" s="6">
        <f t="shared" si="16"/>
        <v>1</v>
      </c>
      <c r="CQ167" s="6">
        <f t="shared" si="330"/>
        <v>1</v>
      </c>
      <c r="CR167" s="81" t="str">
        <f t="shared" si="17"/>
        <v/>
      </c>
      <c r="CS167">
        <f t="shared" si="331"/>
        <v>0</v>
      </c>
      <c r="CT167">
        <f t="shared" si="19"/>
        <v>150</v>
      </c>
      <c r="CU167" t="str">
        <f t="shared" si="29"/>
        <v/>
      </c>
      <c r="CV167" s="81">
        <f t="shared" si="332"/>
        <v>150</v>
      </c>
      <c r="CW167" s="81">
        <f>(CV167/25)^1.5*(Calculator!$BU$4/10000)*CW$5</f>
        <v>7.6432310260371077</v>
      </c>
      <c r="CX167" t="str">
        <f t="shared" si="333"/>
        <v>$150</v>
      </c>
    </row>
    <row r="168" spans="2:102" x14ac:dyDescent="0.25">
      <c r="B168" s="115" t="s">
        <v>233</v>
      </c>
      <c r="C168" s="13">
        <v>46316.611111111109</v>
      </c>
      <c r="D168">
        <v>22013</v>
      </c>
      <c r="E168" s="54" t="s">
        <v>235</v>
      </c>
      <c r="F168" s="54" t="s">
        <v>467</v>
      </c>
      <c r="G168" s="54" t="s">
        <v>468</v>
      </c>
      <c r="H168" s="55">
        <v>16.2</v>
      </c>
      <c r="I168" s="55">
        <v>15.2</v>
      </c>
      <c r="J168" s="55">
        <v>14.7</v>
      </c>
      <c r="K168" s="54"/>
      <c r="L168" s="56" t="b">
        <v>0</v>
      </c>
      <c r="M168" s="56" t="b">
        <v>0</v>
      </c>
      <c r="N168" s="54">
        <v>1</v>
      </c>
      <c r="O168" s="54" t="s">
        <v>228</v>
      </c>
      <c r="P168" s="54">
        <v>100</v>
      </c>
      <c r="Q168" s="54">
        <v>12</v>
      </c>
      <c r="R168" s="54">
        <v>150</v>
      </c>
      <c r="S168" s="54" t="s">
        <v>469</v>
      </c>
      <c r="T168" s="54" t="s">
        <v>470</v>
      </c>
      <c r="U168" s="54" t="s">
        <v>471</v>
      </c>
      <c r="V168" s="54" t="s">
        <v>2166</v>
      </c>
      <c r="W168" s="54" t="b">
        <v>0</v>
      </c>
      <c r="X168" s="54"/>
      <c r="Y168" s="57" t="s">
        <v>2168</v>
      </c>
      <c r="Z168" s="54" t="s">
        <v>1655</v>
      </c>
      <c r="AA168" s="54"/>
      <c r="AB168" s="54" t="s">
        <v>472</v>
      </c>
      <c r="AC168" s="56" t="b">
        <v>1</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7.7216000000000007E-2</v>
      </c>
      <c r="BC168" s="60">
        <v>4.9000000000000004</v>
      </c>
      <c r="BD168" s="61">
        <v>6.5333000000000002E-2</v>
      </c>
      <c r="BE168" s="62" t="s">
        <v>293</v>
      </c>
      <c r="BF168" s="35">
        <f t="shared" si="334"/>
        <v>4.9000000000000004</v>
      </c>
      <c r="BG168" s="35">
        <f t="shared" si="334"/>
        <v>6.5333000000000002E-2</v>
      </c>
      <c r="BH168" s="35" t="str">
        <f t="shared" si="324"/>
        <v>Med</v>
      </c>
      <c r="BI168" s="110">
        <f t="shared" si="325"/>
        <v>0</v>
      </c>
      <c r="BJ168" s="83">
        <f>VLOOKUP($F168,REP_Info!$D$6:$H$250,5,FALSE)</f>
        <v>0.67800000000000005</v>
      </c>
      <c r="BK168" s="30">
        <f t="shared" ref="BK168:BN170" si="335">IF(BK$7&gt;0,(LOOKUP(BK$7,$AH168:$AL168,$AM168:$AQ168)+IF($AG168="Y",SUMPRODUCT($AX168:$BB168-$AW168:$BA168,BK$7-$AR168:$AV168,N(BK$7&gt;$AR168:$AV168)),BK$7*LOOKUP(BK$7,$AR168:$AV168,$AX168:$BB168))+IF($BE168="Y",$BF168,$BC168)+BK$7*IF($BE168="Y",$BG168,$BD168))*100/BK$7,"")</f>
        <v>16.2349</v>
      </c>
      <c r="BL168" s="30">
        <f t="shared" si="335"/>
        <v>15.244900000000001</v>
      </c>
      <c r="BM168" s="30">
        <f t="shared" si="335"/>
        <v>14.749900000000002</v>
      </c>
      <c r="BN168" s="29">
        <f t="shared" si="335"/>
        <v>14.584900000000001</v>
      </c>
      <c r="BO168" s="85" t="str">
        <f t="shared" si="2"/>
        <v>$$$</v>
      </c>
      <c r="BP168" s="88" t="str">
        <f t="shared" si="326"/>
        <v>$$$</v>
      </c>
      <c r="BQ168" s="88" t="str">
        <f t="shared" si="4"/>
        <v>$$$</v>
      </c>
      <c r="BR168" s="88" t="str">
        <f t="shared" si="5"/>
        <v>$$$</v>
      </c>
      <c r="BS168" s="29" t="e">
        <f t="shared" si="327"/>
        <v>#N/A</v>
      </c>
      <c r="BT168" s="29" t="e">
        <f t="shared" si="327"/>
        <v>#N/A</v>
      </c>
      <c r="BU168" s="29" t="e">
        <f t="shared" si="327"/>
        <v>#N/A</v>
      </c>
      <c r="BV168" s="29" t="e">
        <f t="shared" si="327"/>
        <v>#N/A</v>
      </c>
      <c r="BW168" s="29" t="e">
        <f t="shared" si="327"/>
        <v>#N/A</v>
      </c>
      <c r="BX168" s="29" t="e">
        <f t="shared" si="327"/>
        <v>#N/A</v>
      </c>
      <c r="BY168" s="29" t="e">
        <f t="shared" si="327"/>
        <v>#N/A</v>
      </c>
      <c r="BZ168" s="29" t="e">
        <f t="shared" si="327"/>
        <v>#N/A</v>
      </c>
      <c r="CA168" s="29" t="e">
        <f t="shared" si="327"/>
        <v>#N/A</v>
      </c>
      <c r="CB168" s="29" t="e">
        <f t="shared" si="327"/>
        <v>#N/A</v>
      </c>
      <c r="CC168" s="29" t="e">
        <f t="shared" si="327"/>
        <v>#N/A</v>
      </c>
      <c r="CD168" s="29" t="e">
        <f t="shared" si="327"/>
        <v>#N/A</v>
      </c>
      <c r="CE168" s="6" t="str">
        <f t="shared" si="320"/>
        <v/>
      </c>
      <c r="CF168" s="27" t="e">
        <f>IF(AND(CI168,NOT(AD168)),LOOKUP(CF$5,{0,750,1500},H168:J168),"")</f>
        <v>#N/A</v>
      </c>
      <c r="CG168" s="6" t="str">
        <f t="shared" si="321"/>
        <v/>
      </c>
      <c r="CH168" t="e">
        <f t="shared" si="328"/>
        <v>#N/A</v>
      </c>
      <c r="CI168" t="e">
        <f t="shared" si="329"/>
        <v>#N/A</v>
      </c>
      <c r="CJ168" s="6" t="e">
        <f t="shared" si="11"/>
        <v>#N/A</v>
      </c>
      <c r="CK168" s="6">
        <f t="shared" si="12"/>
        <v>1</v>
      </c>
      <c r="CL168" s="6">
        <f t="shared" si="26"/>
        <v>1</v>
      </c>
      <c r="CM168" s="6">
        <f t="shared" si="13"/>
        <v>1</v>
      </c>
      <c r="CN168" s="6">
        <f t="shared" si="14"/>
        <v>1</v>
      </c>
      <c r="CO168" s="6">
        <f t="shared" si="15"/>
        <v>1</v>
      </c>
      <c r="CP168" s="6">
        <f t="shared" si="16"/>
        <v>1</v>
      </c>
      <c r="CQ168" s="6">
        <f t="shared" si="330"/>
        <v>1</v>
      </c>
      <c r="CR168" s="81" t="str">
        <f t="shared" si="17"/>
        <v/>
      </c>
      <c r="CS168">
        <f t="shared" si="331"/>
        <v>0</v>
      </c>
      <c r="CT168">
        <f t="shared" si="19"/>
        <v>150</v>
      </c>
      <c r="CU168" t="str">
        <f t="shared" si="29"/>
        <v/>
      </c>
      <c r="CV168" s="81">
        <f t="shared" si="332"/>
        <v>150</v>
      </c>
      <c r="CW168" s="81">
        <f>(CV168/25)^1.5*(Calculator!$BU$4/10000)*CW$5</f>
        <v>7.6432310260371077</v>
      </c>
      <c r="CX168" t="str">
        <f t="shared" si="333"/>
        <v>$150</v>
      </c>
    </row>
    <row r="169" spans="2:102" x14ac:dyDescent="0.25">
      <c r="B169" s="115" t="s">
        <v>233</v>
      </c>
      <c r="C169" s="13">
        <v>46317.620833333334</v>
      </c>
      <c r="D169">
        <v>22016</v>
      </c>
      <c r="E169" s="54" t="s">
        <v>235</v>
      </c>
      <c r="F169" s="54" t="s">
        <v>467</v>
      </c>
      <c r="G169" s="54" t="s">
        <v>473</v>
      </c>
      <c r="H169" s="55">
        <v>18.899999999999999</v>
      </c>
      <c r="I169" s="55">
        <v>17.899999999999999</v>
      </c>
      <c r="J169" s="55">
        <v>17.399999999999999</v>
      </c>
      <c r="K169" s="54"/>
      <c r="L169" s="56" t="b">
        <v>0</v>
      </c>
      <c r="M169" s="56" t="b">
        <v>0</v>
      </c>
      <c r="N169" s="54">
        <v>0</v>
      </c>
      <c r="O169" s="54" t="s">
        <v>238</v>
      </c>
      <c r="P169" s="54">
        <v>100</v>
      </c>
      <c r="Q169" s="54">
        <v>0</v>
      </c>
      <c r="R169" s="54">
        <v>0</v>
      </c>
      <c r="S169" s="54" t="s">
        <v>469</v>
      </c>
      <c r="T169" s="54" t="s">
        <v>474</v>
      </c>
      <c r="U169" s="54" t="s">
        <v>471</v>
      </c>
      <c r="V169" s="54" t="s">
        <v>2166</v>
      </c>
      <c r="W169" s="54" t="b">
        <v>0</v>
      </c>
      <c r="X169" s="54"/>
      <c r="Y169" s="57" t="s">
        <v>2169</v>
      </c>
      <c r="Z169" s="54" t="s">
        <v>1655</v>
      </c>
      <c r="AA169" s="54"/>
      <c r="AB169" s="54" t="s">
        <v>472</v>
      </c>
      <c r="AC169" s="56" t="b">
        <v>1</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334"/>
        <v>4.9000000000000004</v>
      </c>
      <c r="BG169" s="35">
        <f t="shared" si="334"/>
        <v>6.5333000000000002E-2</v>
      </c>
      <c r="BH169" s="35" t="str">
        <f t="shared" si="324"/>
        <v>?</v>
      </c>
      <c r="BI169" s="110" t="str">
        <f t="shared" si="325"/>
        <v/>
      </c>
      <c r="BJ169" s="83">
        <f>VLOOKUP($F169,REP_Info!$D$6:$H$250,5,FALSE)</f>
        <v>0.67800000000000005</v>
      </c>
      <c r="BK169" s="30" t="e">
        <f t="shared" si="335"/>
        <v>#N/A</v>
      </c>
      <c r="BL169" s="30" t="e">
        <f t="shared" si="335"/>
        <v>#N/A</v>
      </c>
      <c r="BM169" s="30" t="e">
        <f t="shared" si="335"/>
        <v>#N/A</v>
      </c>
      <c r="BN169" s="29" t="e">
        <f t="shared" si="335"/>
        <v>#N/A</v>
      </c>
      <c r="BO169" s="85" t="str">
        <f t="shared" si="2"/>
        <v>$$$</v>
      </c>
      <c r="BP169" s="88" t="str">
        <f t="shared" si="326"/>
        <v>$$$</v>
      </c>
      <c r="BQ169" s="88" t="str">
        <f t="shared" si="4"/>
        <v>$$$</v>
      </c>
      <c r="BR169" s="88" t="str">
        <f t="shared" si="5"/>
        <v>$$$</v>
      </c>
      <c r="BS169" s="29" t="e">
        <f t="shared" si="327"/>
        <v>#N/A</v>
      </c>
      <c r="BT169" s="29" t="e">
        <f t="shared" si="327"/>
        <v>#N/A</v>
      </c>
      <c r="BU169" s="29" t="e">
        <f t="shared" si="327"/>
        <v>#N/A</v>
      </c>
      <c r="BV169" s="29" t="e">
        <f t="shared" si="327"/>
        <v>#N/A</v>
      </c>
      <c r="BW169" s="29" t="e">
        <f t="shared" si="327"/>
        <v>#N/A</v>
      </c>
      <c r="BX169" s="29" t="e">
        <f t="shared" si="327"/>
        <v>#N/A</v>
      </c>
      <c r="BY169" s="29" t="e">
        <f t="shared" si="327"/>
        <v>#N/A</v>
      </c>
      <c r="BZ169" s="29" t="e">
        <f t="shared" si="327"/>
        <v>#N/A</v>
      </c>
      <c r="CA169" s="29" t="e">
        <f t="shared" si="327"/>
        <v>#N/A</v>
      </c>
      <c r="CB169" s="29" t="e">
        <f t="shared" si="327"/>
        <v>#N/A</v>
      </c>
      <c r="CC169" s="29" t="e">
        <f t="shared" si="327"/>
        <v>#N/A</v>
      </c>
      <c r="CD169" s="29" t="e">
        <f t="shared" si="327"/>
        <v>#N/A</v>
      </c>
      <c r="CE169" s="6" t="str">
        <f t="shared" si="320"/>
        <v/>
      </c>
      <c r="CF169" s="27" t="e">
        <f>IF(AND(CI169,NOT(AD169)),LOOKUP(CF$5,{0,750,1500},H169:J169),"")</f>
        <v>#N/A</v>
      </c>
      <c r="CG169" s="6" t="str">
        <f t="shared" si="321"/>
        <v/>
      </c>
      <c r="CH169" t="e">
        <f t="shared" si="328"/>
        <v>#N/A</v>
      </c>
      <c r="CI169" t="e">
        <f t="shared" si="329"/>
        <v>#N/A</v>
      </c>
      <c r="CJ169" s="6" t="e">
        <f t="shared" si="11"/>
        <v>#N/A</v>
      </c>
      <c r="CK169" s="6">
        <f t="shared" si="12"/>
        <v>1</v>
      </c>
      <c r="CL169" s="6">
        <f t="shared" si="26"/>
        <v>1</v>
      </c>
      <c r="CM169" s="6">
        <f t="shared" si="13"/>
        <v>0</v>
      </c>
      <c r="CN169" s="6">
        <f t="shared" si="14"/>
        <v>0</v>
      </c>
      <c r="CO169" s="6">
        <f t="shared" si="15"/>
        <v>1</v>
      </c>
      <c r="CP169" s="6">
        <f t="shared" si="16"/>
        <v>1</v>
      </c>
      <c r="CQ169" s="6">
        <f t="shared" si="330"/>
        <v>1</v>
      </c>
      <c r="CR169" s="81" t="str">
        <f t="shared" si="17"/>
        <v/>
      </c>
      <c r="CS169" t="e">
        <f t="shared" si="331"/>
        <v>#DIV/0!</v>
      </c>
      <c r="CT169">
        <f t="shared" si="19"/>
        <v>0</v>
      </c>
      <c r="CU169" t="str">
        <f t="shared" si="29"/>
        <v/>
      </c>
      <c r="CV169" s="81">
        <f t="shared" si="332"/>
        <v>0</v>
      </c>
      <c r="CW169" s="81">
        <f>(CV169/25)^1.5*(Calculator!$BU$4/10000)*CW$5</f>
        <v>0</v>
      </c>
      <c r="CX169" t="str">
        <f t="shared" si="333"/>
        <v>$0</v>
      </c>
    </row>
    <row r="170" spans="2:102" x14ac:dyDescent="0.25">
      <c r="B170" s="115" t="s">
        <v>233</v>
      </c>
      <c r="C170" s="13">
        <v>46317.620833333334</v>
      </c>
      <c r="D170">
        <v>22020</v>
      </c>
      <c r="E170" s="54" t="s">
        <v>237</v>
      </c>
      <c r="F170" s="54" t="s">
        <v>467</v>
      </c>
      <c r="G170" s="54" t="s">
        <v>473</v>
      </c>
      <c r="H170" s="55">
        <v>19.3</v>
      </c>
      <c r="I170" s="55">
        <v>18.399999999999999</v>
      </c>
      <c r="J170" s="55">
        <v>17.899999999999999</v>
      </c>
      <c r="K170" s="54"/>
      <c r="L170" s="56" t="b">
        <v>0</v>
      </c>
      <c r="M170" s="56" t="b">
        <v>0</v>
      </c>
      <c r="N170" s="54">
        <v>0</v>
      </c>
      <c r="O170" s="54" t="s">
        <v>238</v>
      </c>
      <c r="P170" s="54">
        <v>100</v>
      </c>
      <c r="Q170" s="54">
        <v>0</v>
      </c>
      <c r="R170" s="54">
        <v>0</v>
      </c>
      <c r="S170" s="54" t="s">
        <v>469</v>
      </c>
      <c r="T170" s="54" t="s">
        <v>474</v>
      </c>
      <c r="U170" s="54" t="s">
        <v>471</v>
      </c>
      <c r="V170" s="54" t="s">
        <v>2166</v>
      </c>
      <c r="W170" s="54" t="b">
        <v>0</v>
      </c>
      <c r="X170" s="54"/>
      <c r="Y170" s="57" t="s">
        <v>2170</v>
      </c>
      <c r="Z170" s="54" t="s">
        <v>1602</v>
      </c>
      <c r="AA170" s="54"/>
      <c r="AB170" s="54" t="s">
        <v>472</v>
      </c>
      <c r="AC170" s="56" t="b">
        <v>1</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334"/>
        <v>4.0600000000000005</v>
      </c>
      <c r="BG170" s="35">
        <f t="shared" si="334"/>
        <v>6.8672999999999998E-2</v>
      </c>
      <c r="BH170" s="35" t="str">
        <f t="shared" si="324"/>
        <v>?</v>
      </c>
      <c r="BI170" s="110" t="str">
        <f t="shared" si="325"/>
        <v/>
      </c>
      <c r="BJ170" s="83">
        <f>VLOOKUP($F170,REP_Info!$D$6:$H$250,5,FALSE)</f>
        <v>0.67800000000000005</v>
      </c>
      <c r="BK170" s="30" t="e">
        <f t="shared" si="335"/>
        <v>#N/A</v>
      </c>
      <c r="BL170" s="30" t="e">
        <f t="shared" si="335"/>
        <v>#N/A</v>
      </c>
      <c r="BM170" s="30" t="e">
        <f t="shared" si="335"/>
        <v>#N/A</v>
      </c>
      <c r="BN170" s="29" t="e">
        <f t="shared" si="335"/>
        <v>#N/A</v>
      </c>
      <c r="BO170" s="85" t="str">
        <f t="shared" si="2"/>
        <v>$$$</v>
      </c>
      <c r="BP170" s="88" t="str">
        <f t="shared" si="326"/>
        <v>$$$</v>
      </c>
      <c r="BQ170" s="88" t="str">
        <f t="shared" si="4"/>
        <v>$$$</v>
      </c>
      <c r="BR170" s="88" t="str">
        <f t="shared" si="5"/>
        <v>$$$</v>
      </c>
      <c r="BS170" s="29" t="e">
        <f t="shared" si="327"/>
        <v>#N/A</v>
      </c>
      <c r="BT170" s="29" t="e">
        <f t="shared" si="327"/>
        <v>#N/A</v>
      </c>
      <c r="BU170" s="29" t="e">
        <f t="shared" si="327"/>
        <v>#N/A</v>
      </c>
      <c r="BV170" s="29" t="e">
        <f t="shared" si="327"/>
        <v>#N/A</v>
      </c>
      <c r="BW170" s="29" t="e">
        <f t="shared" si="327"/>
        <v>#N/A</v>
      </c>
      <c r="BX170" s="29" t="e">
        <f t="shared" si="327"/>
        <v>#N/A</v>
      </c>
      <c r="BY170" s="29" t="e">
        <f t="shared" si="327"/>
        <v>#N/A</v>
      </c>
      <c r="BZ170" s="29" t="e">
        <f t="shared" si="327"/>
        <v>#N/A</v>
      </c>
      <c r="CA170" s="29" t="e">
        <f t="shared" si="327"/>
        <v>#N/A</v>
      </c>
      <c r="CB170" s="29" t="e">
        <f t="shared" si="327"/>
        <v>#N/A</v>
      </c>
      <c r="CC170" s="29" t="e">
        <f t="shared" si="327"/>
        <v>#N/A</v>
      </c>
      <c r="CD170" s="29" t="e">
        <f t="shared" si="327"/>
        <v>#N/A</v>
      </c>
      <c r="CE170" s="6" t="str">
        <f t="shared" si="320"/>
        <v/>
      </c>
      <c r="CF170" s="27" t="e">
        <f>IF(AND(CI170,NOT(AD170)),LOOKUP(CF$5,{0,750,1500},H170:J170),"")</f>
        <v>#N/A</v>
      </c>
      <c r="CG170" s="6" t="str">
        <f t="shared" si="321"/>
        <v/>
      </c>
      <c r="CH170" t="e">
        <f t="shared" si="328"/>
        <v>#N/A</v>
      </c>
      <c r="CI170" t="e">
        <f t="shared" si="329"/>
        <v>#N/A</v>
      </c>
      <c r="CJ170" s="6" t="e">
        <f t="shared" si="11"/>
        <v>#N/A</v>
      </c>
      <c r="CK170" s="6">
        <f t="shared" si="12"/>
        <v>1</v>
      </c>
      <c r="CL170" s="6">
        <f t="shared" si="26"/>
        <v>1</v>
      </c>
      <c r="CM170" s="6">
        <f t="shared" si="13"/>
        <v>0</v>
      </c>
      <c r="CN170" s="6">
        <f t="shared" si="14"/>
        <v>0</v>
      </c>
      <c r="CO170" s="6">
        <f t="shared" si="15"/>
        <v>1</v>
      </c>
      <c r="CP170" s="6">
        <f t="shared" si="16"/>
        <v>1</v>
      </c>
      <c r="CQ170" s="6">
        <f t="shared" si="330"/>
        <v>1</v>
      </c>
      <c r="CR170" s="81" t="str">
        <f t="shared" si="17"/>
        <v/>
      </c>
      <c r="CS170" t="e">
        <f t="shared" si="331"/>
        <v>#DIV/0!</v>
      </c>
      <c r="CT170">
        <f t="shared" si="19"/>
        <v>0</v>
      </c>
      <c r="CU170" t="str">
        <f t="shared" si="29"/>
        <v/>
      </c>
      <c r="CV170" s="81">
        <f t="shared" si="332"/>
        <v>0</v>
      </c>
      <c r="CW170" s="81">
        <f>(CV170/25)^1.5*(Calculator!$BU$4/10000)*CW$5</f>
        <v>0</v>
      </c>
      <c r="CX170" t="str">
        <f t="shared" si="333"/>
        <v>$0</v>
      </c>
    </row>
    <row r="171" spans="2:102" x14ac:dyDescent="0.25">
      <c r="B171" s="115" t="s">
        <v>233</v>
      </c>
      <c r="C171" s="13">
        <v>46316.611111111109</v>
      </c>
      <c r="D171">
        <v>24534</v>
      </c>
      <c r="E171" s="54" t="s">
        <v>237</v>
      </c>
      <c r="F171" s="54" t="s">
        <v>467</v>
      </c>
      <c r="G171" s="54" t="s">
        <v>475</v>
      </c>
      <c r="H171" s="55">
        <v>16.5</v>
      </c>
      <c r="I171" s="55">
        <v>15.6</v>
      </c>
      <c r="J171" s="55">
        <v>15.1</v>
      </c>
      <c r="K171" s="54"/>
      <c r="L171" s="56" t="b">
        <v>0</v>
      </c>
      <c r="M171" s="56" t="b">
        <v>0</v>
      </c>
      <c r="N171" s="54">
        <v>1</v>
      </c>
      <c r="O171" s="54" t="s">
        <v>228</v>
      </c>
      <c r="P171" s="54">
        <v>100</v>
      </c>
      <c r="Q171" s="54">
        <v>24</v>
      </c>
      <c r="R171" s="54">
        <v>295</v>
      </c>
      <c r="S171" s="54" t="s">
        <v>469</v>
      </c>
      <c r="T171" s="54" t="s">
        <v>470</v>
      </c>
      <c r="U171" s="54" t="s">
        <v>471</v>
      </c>
      <c r="V171" s="54" t="s">
        <v>2166</v>
      </c>
      <c r="W171" s="54" t="b">
        <v>0</v>
      </c>
      <c r="X171" s="54"/>
      <c r="Y171" s="57" t="s">
        <v>2171</v>
      </c>
      <c r="Z171" s="54" t="s">
        <v>1601</v>
      </c>
      <c r="AA171" s="54"/>
      <c r="AB171" s="54" t="s">
        <v>472</v>
      </c>
      <c r="AC171" s="56" t="b">
        <v>1</v>
      </c>
      <c r="AD171" s="56" t="b">
        <v>0</v>
      </c>
      <c r="AE171" s="54" t="s">
        <v>302</v>
      </c>
      <c r="AF171" s="58">
        <v>46299</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7.8296000000000004E-2</v>
      </c>
      <c r="BC171" s="60">
        <v>4.0599999999999996</v>
      </c>
      <c r="BD171" s="61">
        <v>6.8672999999999998E-2</v>
      </c>
      <c r="BE171" s="62" t="s">
        <v>293</v>
      </c>
      <c r="BF171" s="35">
        <f t="shared" si="0"/>
        <v>4.0600000000000005</v>
      </c>
      <c r="BG171" s="35">
        <f t="shared" si="0"/>
        <v>6.8672999999999998E-2</v>
      </c>
      <c r="BH171" s="35" t="str">
        <f t="shared" ref="BH171:BH182" si="336">IF(ISTEXT(BE171),IF(AND(AV171=0,SUM(AN171:AQ171)=0),IF(AM171&lt;=0,IF(BE171="Y","Low","Flat"),"Med"),"High"),"?")</f>
        <v>Med</v>
      </c>
      <c r="BI171" s="110">
        <f t="shared" ref="BI171:BI182" si="337">IF(ISNUMBER(AH171),0*BI$5*SIN((EDATE($A$3,$Q171)-DATE(YEAR(EDATE($A$3,$Q171)),1,0)-BI$4)*2*PI()/365),"")</f>
        <v>0</v>
      </c>
      <c r="BJ171" s="83">
        <f>VLOOKUP($F171,REP_Info!$D$6:$H$250,5,FALSE)</f>
        <v>0.67800000000000005</v>
      </c>
      <c r="BK171" s="30">
        <f t="shared" si="1"/>
        <v>16.508900000000001</v>
      </c>
      <c r="BL171" s="30">
        <f t="shared" si="1"/>
        <v>15.6029</v>
      </c>
      <c r="BM171" s="30">
        <f t="shared" si="1"/>
        <v>15.149900000000001</v>
      </c>
      <c r="BN171" s="29">
        <f t="shared" si="1"/>
        <v>14.998899999999999</v>
      </c>
      <c r="BO171" s="85" t="str">
        <f t="shared" si="2"/>
        <v>$$$</v>
      </c>
      <c r="BP171" s="88" t="str">
        <f t="shared" ref="BP171:BP182" si="338">IFERROR(BO171*100/BO$5,"$$$")</f>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20"/>
        <v/>
      </c>
      <c r="CF171" s="27" t="e">
        <f>IF(AND(CI171,NOT(AD171)),LOOKUP(CF$5,{0,750,1500},H171:J171),"")</f>
        <v>#N/A</v>
      </c>
      <c r="CG171" s="6" t="str">
        <f t="shared" si="321"/>
        <v/>
      </c>
      <c r="CH171" t="e">
        <f t="shared" ref="CH171:CH182" si="339">IF(CI171,IF(ISNUMBER(BO171),BO171,100000)+CV171/10000+IF(ISNUMBER(BJ171),BJ171,2)/10000-P171/100000+ROW()/10000000,"")</f>
        <v>#N/A</v>
      </c>
      <c r="CI171" t="e">
        <f t="shared" ref="CI171:CI182" si="340">PRODUCT(CJ171:CQ171)</f>
        <v>#N/A</v>
      </c>
      <c r="CJ171" s="6" t="e">
        <f t="shared" si="11"/>
        <v>#N/A</v>
      </c>
      <c r="CK171" s="6">
        <f t="shared" si="12"/>
        <v>1</v>
      </c>
      <c r="CL171" s="6">
        <f t="shared" si="26"/>
        <v>1</v>
      </c>
      <c r="CM171" s="6">
        <f t="shared" si="13"/>
        <v>1</v>
      </c>
      <c r="CN171" s="6">
        <f t="shared" si="14"/>
        <v>1</v>
      </c>
      <c r="CO171" s="6">
        <f t="shared" si="15"/>
        <v>0</v>
      </c>
      <c r="CP171" s="6">
        <f t="shared" si="16"/>
        <v>1</v>
      </c>
      <c r="CQ171" s="6">
        <f t="shared" ref="CQ171:CQ182" si="341">IF(CQ$5="Any",1,IF(AND(CQ$5="Med",AV171=0,SUM(AN171:AQ171)=0),1,IF(AND(CQ$5="Low",AV171=0,SUM(AN171:AQ171)=0,AM171=0),1,IF(AND(CQ$5="Flat",AV171=0,SUM(AN171:AQ171)=0,AM171=0,IFERROR(NOT(BE171="Y"),0)),1,0))))</f>
        <v>1</v>
      </c>
      <c r="CR171" s="81" t="str">
        <f t="shared" si="17"/>
        <v/>
      </c>
      <c r="CS171">
        <f t="shared" ref="CS171:CS182" si="342">CS$5*(12/(MIN(12,Q171))-1)</f>
        <v>0</v>
      </c>
      <c r="CT171">
        <f t="shared" si="19"/>
        <v>295</v>
      </c>
      <c r="CU171" t="str">
        <f t="shared" si="29"/>
        <v/>
      </c>
      <c r="CV171" s="81">
        <f t="shared" ref="CV171:CV182" si="343">CT171*IF(CU171="",1,Q171)</f>
        <v>295</v>
      </c>
      <c r="CW171" s="81">
        <f>(CV171/25)^1.5*(Calculator!$BU$4/10000)*CW$5</f>
        <v>21.080122109139459</v>
      </c>
      <c r="CX171" t="str">
        <f t="shared" ref="CX171:CX182" si="344">"$"&amp;IF(LEFT(CU171,1)="r",CT171&amp;"/"&amp;CU171,CV171)</f>
        <v>$295</v>
      </c>
    </row>
    <row r="172" spans="2:102" x14ac:dyDescent="0.25">
      <c r="B172" s="115" t="s">
        <v>233</v>
      </c>
      <c r="C172" s="13">
        <v>46316.611111111109</v>
      </c>
      <c r="D172">
        <v>24540</v>
      </c>
      <c r="E172" s="54" t="s">
        <v>235</v>
      </c>
      <c r="F172" s="54" t="s">
        <v>467</v>
      </c>
      <c r="G172" s="54" t="s">
        <v>475</v>
      </c>
      <c r="H172" s="55">
        <v>16.3</v>
      </c>
      <c r="I172" s="55">
        <v>15.299999999999999</v>
      </c>
      <c r="J172" s="55">
        <v>14.799999999999999</v>
      </c>
      <c r="K172" s="54"/>
      <c r="L172" s="56" t="b">
        <v>0</v>
      </c>
      <c r="M172" s="56" t="b">
        <v>0</v>
      </c>
      <c r="N172" s="54">
        <v>1</v>
      </c>
      <c r="O172" s="54" t="s">
        <v>228</v>
      </c>
      <c r="P172" s="54">
        <v>100</v>
      </c>
      <c r="Q172" s="54">
        <v>24</v>
      </c>
      <c r="R172" s="54">
        <v>295</v>
      </c>
      <c r="S172" s="54" t="s">
        <v>469</v>
      </c>
      <c r="T172" s="54" t="s">
        <v>470</v>
      </c>
      <c r="U172" s="54" t="s">
        <v>471</v>
      </c>
      <c r="V172" s="54" t="s">
        <v>2166</v>
      </c>
      <c r="W172" s="54" t="b">
        <v>0</v>
      </c>
      <c r="X172" s="54"/>
      <c r="Y172" s="57" t="s">
        <v>2172</v>
      </c>
      <c r="Z172" s="54" t="s">
        <v>1655</v>
      </c>
      <c r="AA172" s="54"/>
      <c r="AB172" s="54" t="s">
        <v>472</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7.8215999999999994E-2</v>
      </c>
      <c r="BC172" s="60">
        <v>4.9000000000000004</v>
      </c>
      <c r="BD172" s="61">
        <v>6.5333000000000002E-2</v>
      </c>
      <c r="BE172" s="62" t="s">
        <v>293</v>
      </c>
      <c r="BF172" s="35">
        <f t="shared" si="0"/>
        <v>4.9000000000000004</v>
      </c>
      <c r="BG172" s="35">
        <f t="shared" si="0"/>
        <v>6.5333000000000002E-2</v>
      </c>
      <c r="BH172" s="35" t="str">
        <f t="shared" si="336"/>
        <v>Med</v>
      </c>
      <c r="BI172" s="110">
        <f t="shared" si="337"/>
        <v>0</v>
      </c>
      <c r="BJ172" s="83">
        <f>VLOOKUP($F172,REP_Info!$D$6:$H$250,5,FALSE)</f>
        <v>0.67800000000000005</v>
      </c>
      <c r="BK172" s="30">
        <f t="shared" si="1"/>
        <v>16.334900000000001</v>
      </c>
      <c r="BL172" s="30">
        <f t="shared" si="1"/>
        <v>15.344900000000001</v>
      </c>
      <c r="BM172" s="30">
        <f t="shared" si="1"/>
        <v>14.8499</v>
      </c>
      <c r="BN172" s="29">
        <f t="shared" si="1"/>
        <v>14.684899999999999</v>
      </c>
      <c r="BO172" s="85" t="str">
        <f t="shared" si="2"/>
        <v>$$$</v>
      </c>
      <c r="BP172" s="88" t="str">
        <f t="shared" si="338"/>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20"/>
        <v/>
      </c>
      <c r="CF172" s="27" t="e">
        <f>IF(AND(CI172,NOT(AD172)),LOOKUP(CF$5,{0,750,1500},H172:J172),"")</f>
        <v>#N/A</v>
      </c>
      <c r="CG172" s="6" t="str">
        <f t="shared" si="321"/>
        <v/>
      </c>
      <c r="CH172" t="e">
        <f t="shared" si="339"/>
        <v>#N/A</v>
      </c>
      <c r="CI172" t="e">
        <f t="shared" si="340"/>
        <v>#N/A</v>
      </c>
      <c r="CJ172" s="6" t="e">
        <f t="shared" si="11"/>
        <v>#N/A</v>
      </c>
      <c r="CK172" s="6">
        <f t="shared" si="12"/>
        <v>1</v>
      </c>
      <c r="CL172" s="6">
        <f t="shared" si="26"/>
        <v>1</v>
      </c>
      <c r="CM172" s="6">
        <f t="shared" si="13"/>
        <v>1</v>
      </c>
      <c r="CN172" s="6">
        <f t="shared" si="14"/>
        <v>1</v>
      </c>
      <c r="CO172" s="6">
        <f t="shared" si="15"/>
        <v>0</v>
      </c>
      <c r="CP172" s="6">
        <f t="shared" si="16"/>
        <v>1</v>
      </c>
      <c r="CQ172" s="6">
        <f t="shared" si="341"/>
        <v>1</v>
      </c>
      <c r="CR172" s="81" t="str">
        <f t="shared" si="17"/>
        <v/>
      </c>
      <c r="CS172">
        <f t="shared" si="342"/>
        <v>0</v>
      </c>
      <c r="CT172">
        <f t="shared" si="19"/>
        <v>295</v>
      </c>
      <c r="CU172" t="str">
        <f t="shared" si="29"/>
        <v/>
      </c>
      <c r="CV172" s="81">
        <f t="shared" si="343"/>
        <v>295</v>
      </c>
      <c r="CW172" s="81">
        <f>(CV172/25)^1.5*(Calculator!$BU$4/10000)*CW$5</f>
        <v>21.080122109139459</v>
      </c>
      <c r="CX172" t="str">
        <f t="shared" si="344"/>
        <v>$295</v>
      </c>
    </row>
    <row r="173" spans="2:102" x14ac:dyDescent="0.25">
      <c r="B173" s="115" t="s">
        <v>233</v>
      </c>
      <c r="C173" s="13">
        <v>46317.620833333334</v>
      </c>
      <c r="D173">
        <v>27044</v>
      </c>
      <c r="E173" s="54" t="s">
        <v>235</v>
      </c>
      <c r="F173" s="54" t="s">
        <v>467</v>
      </c>
      <c r="G173" s="54" t="s">
        <v>476</v>
      </c>
      <c r="H173" s="55">
        <v>16.600000000000001</v>
      </c>
      <c r="I173" s="55">
        <v>15.6</v>
      </c>
      <c r="J173" s="55">
        <v>15.1</v>
      </c>
      <c r="K173" s="54"/>
      <c r="L173" s="56" t="b">
        <v>0</v>
      </c>
      <c r="M173" s="56" t="b">
        <v>0</v>
      </c>
      <c r="N173" s="54">
        <v>1</v>
      </c>
      <c r="O173" s="54" t="s">
        <v>228</v>
      </c>
      <c r="P173" s="54">
        <v>100</v>
      </c>
      <c r="Q173" s="54">
        <v>36</v>
      </c>
      <c r="R173" s="54">
        <v>395</v>
      </c>
      <c r="S173" s="54" t="s">
        <v>469</v>
      </c>
      <c r="T173" s="54" t="s">
        <v>474</v>
      </c>
      <c r="U173" s="54" t="s">
        <v>471</v>
      </c>
      <c r="V173" s="54" t="s">
        <v>2166</v>
      </c>
      <c r="W173" s="54" t="b">
        <v>0</v>
      </c>
      <c r="X173" s="54"/>
      <c r="Y173" s="57" t="s">
        <v>2173</v>
      </c>
      <c r="Z173" s="54" t="s">
        <v>1655</v>
      </c>
      <c r="AA173" s="54"/>
      <c r="AB173" s="54" t="s">
        <v>472</v>
      </c>
      <c r="AC173" s="56" t="b">
        <v>1</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8.1215999999999997E-2</v>
      </c>
      <c r="BC173" s="60">
        <v>4.9000000000000004</v>
      </c>
      <c r="BD173" s="61">
        <v>6.5333000000000002E-2</v>
      </c>
      <c r="BE173" s="62" t="s">
        <v>293</v>
      </c>
      <c r="BF173" s="35">
        <f t="shared" si="0"/>
        <v>4.9000000000000004</v>
      </c>
      <c r="BG173" s="35">
        <f t="shared" si="0"/>
        <v>6.5333000000000002E-2</v>
      </c>
      <c r="BH173" s="35" t="str">
        <f t="shared" si="336"/>
        <v>Med</v>
      </c>
      <c r="BI173" s="110">
        <f t="shared" si="337"/>
        <v>0</v>
      </c>
      <c r="BJ173" s="83">
        <f>VLOOKUP($F173,REP_Info!$D$6:$H$250,5,FALSE)</f>
        <v>0.67800000000000005</v>
      </c>
      <c r="BK173" s="30">
        <f t="shared" si="1"/>
        <v>16.634899999999998</v>
      </c>
      <c r="BL173" s="30">
        <f t="shared" si="1"/>
        <v>15.644900000000002</v>
      </c>
      <c r="BM173" s="30">
        <f t="shared" si="1"/>
        <v>15.149899999999999</v>
      </c>
      <c r="BN173" s="29">
        <f t="shared" si="1"/>
        <v>14.984900000000001</v>
      </c>
      <c r="BO173" s="85" t="str">
        <f t="shared" si="2"/>
        <v>$$$</v>
      </c>
      <c r="BP173" s="88" t="str">
        <f t="shared" si="338"/>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320"/>
        <v/>
      </c>
      <c r="CF173" s="27" t="e">
        <f>IF(AND(CI173,NOT(AD173)),LOOKUP(CF$5,{0,750,1500},H173:J173),"")</f>
        <v>#N/A</v>
      </c>
      <c r="CG173" s="6" t="str">
        <f t="shared" si="321"/>
        <v/>
      </c>
      <c r="CH173" t="e">
        <f t="shared" si="339"/>
        <v>#N/A</v>
      </c>
      <c r="CI173" t="e">
        <f t="shared" si="340"/>
        <v>#N/A</v>
      </c>
      <c r="CJ173" s="6" t="e">
        <f t="shared" si="11"/>
        <v>#N/A</v>
      </c>
      <c r="CK173" s="6">
        <f t="shared" si="12"/>
        <v>1</v>
      </c>
      <c r="CL173" s="6">
        <f t="shared" si="26"/>
        <v>1</v>
      </c>
      <c r="CM173" s="6">
        <f t="shared" si="13"/>
        <v>1</v>
      </c>
      <c r="CN173" s="6">
        <f t="shared" si="14"/>
        <v>1</v>
      </c>
      <c r="CO173" s="6">
        <f t="shared" si="15"/>
        <v>0</v>
      </c>
      <c r="CP173" s="6">
        <f t="shared" si="16"/>
        <v>1</v>
      </c>
      <c r="CQ173" s="6">
        <f t="shared" si="341"/>
        <v>1</v>
      </c>
      <c r="CR173" s="81" t="str">
        <f t="shared" si="17"/>
        <v/>
      </c>
      <c r="CS173">
        <f t="shared" si="342"/>
        <v>0</v>
      </c>
      <c r="CT173">
        <f t="shared" si="19"/>
        <v>395</v>
      </c>
      <c r="CU173" t="str">
        <f t="shared" si="29"/>
        <v/>
      </c>
      <c r="CV173" s="81">
        <f t="shared" si="343"/>
        <v>395</v>
      </c>
      <c r="CW173" s="81">
        <f>(CV173/25)^1.5*(Calculator!$BU$4/10000)*CW$5</f>
        <v>32.661471092102488</v>
      </c>
      <c r="CX173" t="str">
        <f t="shared" si="344"/>
        <v>$395</v>
      </c>
    </row>
    <row r="174" spans="2:102" x14ac:dyDescent="0.25">
      <c r="B174" s="115" t="s">
        <v>233</v>
      </c>
      <c r="C174" s="13">
        <v>46317.620833333334</v>
      </c>
      <c r="D174">
        <v>27046</v>
      </c>
      <c r="E174" s="54" t="s">
        <v>237</v>
      </c>
      <c r="F174" s="54" t="s">
        <v>467</v>
      </c>
      <c r="G174" s="54" t="s">
        <v>476</v>
      </c>
      <c r="H174" s="55">
        <v>16.8</v>
      </c>
      <c r="I174" s="55">
        <v>15.9</v>
      </c>
      <c r="J174" s="55">
        <v>15.4</v>
      </c>
      <c r="K174" s="54"/>
      <c r="L174" s="56" t="b">
        <v>0</v>
      </c>
      <c r="M174" s="56" t="b">
        <v>0</v>
      </c>
      <c r="N174" s="54">
        <v>1</v>
      </c>
      <c r="O174" s="54" t="s">
        <v>228</v>
      </c>
      <c r="P174" s="54">
        <v>100</v>
      </c>
      <c r="Q174" s="54">
        <v>36</v>
      </c>
      <c r="R174" s="54">
        <v>395</v>
      </c>
      <c r="S174" s="54" t="s">
        <v>469</v>
      </c>
      <c r="T174" s="54" t="s">
        <v>474</v>
      </c>
      <c r="U174" s="54" t="s">
        <v>471</v>
      </c>
      <c r="V174" s="54" t="s">
        <v>2166</v>
      </c>
      <c r="W174" s="54" t="b">
        <v>0</v>
      </c>
      <c r="X174" s="54"/>
      <c r="Y174" s="57" t="s">
        <v>2174</v>
      </c>
      <c r="Z174" s="54" t="s">
        <v>1601</v>
      </c>
      <c r="AA174" s="54"/>
      <c r="AB174" s="54" t="s">
        <v>472</v>
      </c>
      <c r="AC174" s="56" t="b">
        <v>1</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8.1295999999999993E-2</v>
      </c>
      <c r="BC174" s="60">
        <v>4.0599999999999996</v>
      </c>
      <c r="BD174" s="61">
        <v>6.8672999999999998E-2</v>
      </c>
      <c r="BE174" s="62" t="s">
        <v>293</v>
      </c>
      <c r="BF174" s="35">
        <f t="shared" si="0"/>
        <v>4.0600000000000005</v>
      </c>
      <c r="BG174" s="35">
        <f t="shared" si="0"/>
        <v>6.8672999999999998E-2</v>
      </c>
      <c r="BH174" s="35" t="str">
        <f t="shared" si="336"/>
        <v>Med</v>
      </c>
      <c r="BI174" s="110">
        <f t="shared" si="337"/>
        <v>0</v>
      </c>
      <c r="BJ174" s="83">
        <f>VLOOKUP($F174,REP_Info!$D$6:$H$250,5,FALSE)</f>
        <v>0.67800000000000005</v>
      </c>
      <c r="BK174" s="30">
        <f t="shared" si="1"/>
        <v>16.808900000000001</v>
      </c>
      <c r="BL174" s="30">
        <f t="shared" si="1"/>
        <v>15.902899999999999</v>
      </c>
      <c r="BM174" s="30">
        <f t="shared" si="1"/>
        <v>15.4499</v>
      </c>
      <c r="BN174" s="29">
        <f t="shared" si="1"/>
        <v>15.2989</v>
      </c>
      <c r="BO174" s="85" t="str">
        <f t="shared" si="2"/>
        <v>$$$</v>
      </c>
      <c r="BP174" s="88" t="str">
        <f t="shared" si="338"/>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320"/>
        <v/>
      </c>
      <c r="CF174" s="27" t="e">
        <f>IF(AND(CI174,NOT(AD174)),LOOKUP(CF$5,{0,750,1500},H174:J174),"")</f>
        <v>#N/A</v>
      </c>
      <c r="CG174" s="6" t="str">
        <f t="shared" si="321"/>
        <v/>
      </c>
      <c r="CH174" t="e">
        <f t="shared" si="339"/>
        <v>#N/A</v>
      </c>
      <c r="CI174" t="e">
        <f t="shared" si="340"/>
        <v>#N/A</v>
      </c>
      <c r="CJ174" s="6" t="e">
        <f t="shared" si="11"/>
        <v>#N/A</v>
      </c>
      <c r="CK174" s="6">
        <f t="shared" si="12"/>
        <v>1</v>
      </c>
      <c r="CL174" s="6">
        <f t="shared" si="26"/>
        <v>1</v>
      </c>
      <c r="CM174" s="6">
        <f t="shared" si="13"/>
        <v>1</v>
      </c>
      <c r="CN174" s="6">
        <f t="shared" si="14"/>
        <v>1</v>
      </c>
      <c r="CO174" s="6">
        <f t="shared" si="15"/>
        <v>0</v>
      </c>
      <c r="CP174" s="6">
        <f t="shared" si="16"/>
        <v>1</v>
      </c>
      <c r="CQ174" s="6">
        <f t="shared" si="341"/>
        <v>1</v>
      </c>
      <c r="CR174" s="81" t="str">
        <f t="shared" si="17"/>
        <v/>
      </c>
      <c r="CS174">
        <f t="shared" si="342"/>
        <v>0</v>
      </c>
      <c r="CT174">
        <f t="shared" si="19"/>
        <v>395</v>
      </c>
      <c r="CU174" t="str">
        <f t="shared" si="29"/>
        <v/>
      </c>
      <c r="CV174" s="81">
        <f t="shared" si="343"/>
        <v>395</v>
      </c>
      <c r="CW174" s="81">
        <f>(CV174/25)^1.5*(Calculator!$BU$4/10000)*CW$5</f>
        <v>32.661471092102488</v>
      </c>
      <c r="CX174" t="str">
        <f t="shared" si="344"/>
        <v>$395</v>
      </c>
    </row>
    <row r="175" spans="2:102" x14ac:dyDescent="0.25">
      <c r="B175" s="115" t="s">
        <v>233</v>
      </c>
      <c r="C175" s="13">
        <v>46317.620833333334</v>
      </c>
      <c r="D175">
        <v>31773</v>
      </c>
      <c r="E175" s="54" t="s">
        <v>235</v>
      </c>
      <c r="F175" s="54" t="s">
        <v>467</v>
      </c>
      <c r="G175" s="54" t="s">
        <v>2218</v>
      </c>
      <c r="H175" s="55">
        <v>15.4</v>
      </c>
      <c r="I175" s="55">
        <v>14.399999999999999</v>
      </c>
      <c r="J175" s="55">
        <v>13.900000000000002</v>
      </c>
      <c r="K175" s="54"/>
      <c r="L175" s="56" t="b">
        <v>0</v>
      </c>
      <c r="M175" s="56" t="b">
        <v>0</v>
      </c>
      <c r="N175" s="54">
        <v>1</v>
      </c>
      <c r="O175" s="54" t="s">
        <v>228</v>
      </c>
      <c r="P175" s="54">
        <v>100</v>
      </c>
      <c r="Q175" s="54">
        <v>8</v>
      </c>
      <c r="R175" s="54">
        <v>75</v>
      </c>
      <c r="S175" s="54" t="s">
        <v>469</v>
      </c>
      <c r="T175" s="54" t="s">
        <v>2219</v>
      </c>
      <c r="U175" s="54" t="s">
        <v>471</v>
      </c>
      <c r="V175" s="54" t="s">
        <v>2166</v>
      </c>
      <c r="W175" s="54" t="b">
        <v>0</v>
      </c>
      <c r="X175" s="54"/>
      <c r="Y175" s="57" t="s">
        <v>2220</v>
      </c>
      <c r="Z175" s="54" t="s">
        <v>1442</v>
      </c>
      <c r="AA175" s="54"/>
      <c r="AB175" s="54" t="s">
        <v>472</v>
      </c>
      <c r="AC175" s="56" t="b">
        <v>1</v>
      </c>
      <c r="AD175" s="56" t="b">
        <v>0</v>
      </c>
      <c r="AE175" s="54" t="s">
        <v>302</v>
      </c>
      <c r="AF175" s="58">
        <v>46299</v>
      </c>
      <c r="AG175" s="62" t="s">
        <v>293</v>
      </c>
      <c r="AH175" s="54">
        <v>0</v>
      </c>
      <c r="AI175" s="54"/>
      <c r="AJ175" s="54"/>
      <c r="AK175" s="54"/>
      <c r="AL175" s="54"/>
      <c r="AM175" s="54">
        <v>5</v>
      </c>
      <c r="AN175" s="54"/>
      <c r="AO175" s="54"/>
      <c r="AP175" s="54"/>
      <c r="AQ175" s="54"/>
      <c r="AR175" s="54"/>
      <c r="AS175" s="54"/>
      <c r="AT175" s="54"/>
      <c r="AU175" s="54"/>
      <c r="AV175" s="54"/>
      <c r="AW175" s="54"/>
      <c r="AX175" s="59"/>
      <c r="AY175" s="59"/>
      <c r="AZ175" s="59"/>
      <c r="BA175" s="59"/>
      <c r="BB175" s="59">
        <v>6.9216E-2</v>
      </c>
      <c r="BC175" s="60">
        <v>4.9000000000000004</v>
      </c>
      <c r="BD175" s="61">
        <v>6.5333000000000002E-2</v>
      </c>
      <c r="BE175" s="62" t="s">
        <v>293</v>
      </c>
      <c r="BF175" s="35">
        <f t="shared" si="0"/>
        <v>4.9000000000000004</v>
      </c>
      <c r="BG175" s="35">
        <f t="shared" si="0"/>
        <v>6.5333000000000002E-2</v>
      </c>
      <c r="BH175" s="35" t="str">
        <f t="shared" si="336"/>
        <v>Med</v>
      </c>
      <c r="BI175" s="110">
        <f t="shared" si="337"/>
        <v>0</v>
      </c>
      <c r="BJ175" s="83">
        <f>VLOOKUP($F175,REP_Info!$D$6:$H$250,5,FALSE)</f>
        <v>0.67800000000000005</v>
      </c>
      <c r="BK175" s="30">
        <f t="shared" si="1"/>
        <v>15.434899999999999</v>
      </c>
      <c r="BL175" s="30">
        <f t="shared" si="1"/>
        <v>14.444900000000002</v>
      </c>
      <c r="BM175" s="30">
        <f t="shared" si="1"/>
        <v>13.9499</v>
      </c>
      <c r="BN175" s="29">
        <f t="shared" si="1"/>
        <v>13.784900000000002</v>
      </c>
      <c r="BO175" s="85" t="str">
        <f t="shared" si="2"/>
        <v>$$$</v>
      </c>
      <c r="BP175" s="88" t="str">
        <f t="shared" si="338"/>
        <v>$$$</v>
      </c>
      <c r="BQ175" s="88" t="str">
        <f t="shared" si="4"/>
        <v>$$$</v>
      </c>
      <c r="BR175" s="88" t="str">
        <f t="shared" si="5"/>
        <v>$$$</v>
      </c>
      <c r="BS175" s="29" t="e">
        <f t="shared" si="6"/>
        <v>#N/A</v>
      </c>
      <c r="BT175" s="29" t="e">
        <f t="shared" si="6"/>
        <v>#N/A</v>
      </c>
      <c r="BU175" s="29" t="e">
        <f t="shared" si="6"/>
        <v>#N/A</v>
      </c>
      <c r="BV175" s="29" t="e">
        <f t="shared" si="6"/>
        <v>#N/A</v>
      </c>
      <c r="BW175" s="29" t="e">
        <f t="shared" si="6"/>
        <v>#N/A</v>
      </c>
      <c r="BX175" s="29" t="e">
        <f t="shared" si="6"/>
        <v>#N/A</v>
      </c>
      <c r="BY175" s="29" t="e">
        <f t="shared" si="6"/>
        <v>#N/A</v>
      </c>
      <c r="BZ175" s="29" t="e">
        <f t="shared" si="6"/>
        <v>#N/A</v>
      </c>
      <c r="CA175" s="29" t="e">
        <f t="shared" si="6"/>
        <v>#N/A</v>
      </c>
      <c r="CB175" s="29" t="e">
        <f t="shared" si="6"/>
        <v>#N/A</v>
      </c>
      <c r="CC175" s="29" t="e">
        <f t="shared" si="6"/>
        <v>#N/A</v>
      </c>
      <c r="CD175" s="29" t="e">
        <f t="shared" si="6"/>
        <v>#N/A</v>
      </c>
      <c r="CE175" s="6" t="str">
        <f t="shared" si="320"/>
        <v/>
      </c>
      <c r="CF175" s="27" t="e">
        <f>IF(AND(CI175,NOT(AD175)),LOOKUP(CF$5,{0,750,1500},H175:J175),"")</f>
        <v>#N/A</v>
      </c>
      <c r="CG175" s="6" t="str">
        <f t="shared" si="321"/>
        <v/>
      </c>
      <c r="CH175" t="e">
        <f t="shared" si="339"/>
        <v>#N/A</v>
      </c>
      <c r="CI175" t="e">
        <f t="shared" si="340"/>
        <v>#N/A</v>
      </c>
      <c r="CJ175" s="6" t="e">
        <f t="shared" si="11"/>
        <v>#N/A</v>
      </c>
      <c r="CK175" s="6">
        <f t="shared" si="12"/>
        <v>1</v>
      </c>
      <c r="CL175" s="6">
        <f t="shared" si="26"/>
        <v>1</v>
      </c>
      <c r="CM175" s="6">
        <f t="shared" si="13"/>
        <v>1</v>
      </c>
      <c r="CN175" s="6">
        <f t="shared" si="14"/>
        <v>0</v>
      </c>
      <c r="CO175" s="6">
        <f t="shared" si="15"/>
        <v>1</v>
      </c>
      <c r="CP175" s="6">
        <f t="shared" si="16"/>
        <v>1</v>
      </c>
      <c r="CQ175" s="6">
        <f t="shared" si="341"/>
        <v>1</v>
      </c>
      <c r="CR175" s="81" t="str">
        <f t="shared" si="17"/>
        <v/>
      </c>
      <c r="CS175">
        <f t="shared" si="342"/>
        <v>9</v>
      </c>
      <c r="CT175">
        <f t="shared" si="19"/>
        <v>75</v>
      </c>
      <c r="CU175" t="str">
        <f t="shared" si="29"/>
        <v/>
      </c>
      <c r="CV175" s="81">
        <f t="shared" si="343"/>
        <v>75</v>
      </c>
      <c r="CW175" s="81">
        <f>(CV175/25)^1.5*(Calculator!$BU$4/10000)*CW$5</f>
        <v>2.7022902443431254</v>
      </c>
      <c r="CX175" t="str">
        <f t="shared" si="344"/>
        <v>$75</v>
      </c>
    </row>
    <row r="176" spans="2:102" x14ac:dyDescent="0.25">
      <c r="B176" s="115" t="s">
        <v>233</v>
      </c>
      <c r="C176" s="13">
        <v>46317.620833333334</v>
      </c>
      <c r="D176">
        <v>31774</v>
      </c>
      <c r="E176" s="54" t="s">
        <v>237</v>
      </c>
      <c r="F176" s="54" t="s">
        <v>467</v>
      </c>
      <c r="G176" s="54" t="s">
        <v>2218</v>
      </c>
      <c r="H176" s="55">
        <v>15.8</v>
      </c>
      <c r="I176" s="55">
        <v>14.899999999999999</v>
      </c>
      <c r="J176" s="55">
        <v>14.399999999999999</v>
      </c>
      <c r="K176" s="54"/>
      <c r="L176" s="56" t="b">
        <v>0</v>
      </c>
      <c r="M176" s="56" t="b">
        <v>0</v>
      </c>
      <c r="N176" s="54">
        <v>1</v>
      </c>
      <c r="O176" s="54" t="s">
        <v>228</v>
      </c>
      <c r="P176" s="54">
        <v>100</v>
      </c>
      <c r="Q176" s="54">
        <v>8</v>
      </c>
      <c r="R176" s="54">
        <v>75</v>
      </c>
      <c r="S176" s="54" t="s">
        <v>469</v>
      </c>
      <c r="T176" s="54" t="s">
        <v>2219</v>
      </c>
      <c r="U176" s="54" t="s">
        <v>471</v>
      </c>
      <c r="V176" s="54" t="s">
        <v>2166</v>
      </c>
      <c r="W176" s="54" t="b">
        <v>0</v>
      </c>
      <c r="X176" s="54"/>
      <c r="Y176" s="57" t="s">
        <v>2221</v>
      </c>
      <c r="Z176" s="54" t="s">
        <v>1442</v>
      </c>
      <c r="AA176" s="54"/>
      <c r="AB176" s="54" t="s">
        <v>472</v>
      </c>
      <c r="AC176" s="56" t="b">
        <v>1</v>
      </c>
      <c r="AD176" s="56" t="b">
        <v>0</v>
      </c>
      <c r="AE176" s="54" t="s">
        <v>302</v>
      </c>
      <c r="AF176" s="58">
        <v>46299</v>
      </c>
      <c r="AG176" s="62" t="s">
        <v>293</v>
      </c>
      <c r="AH176" s="54">
        <v>0</v>
      </c>
      <c r="AI176" s="54"/>
      <c r="AJ176" s="54"/>
      <c r="AK176" s="54"/>
      <c r="AL176" s="54"/>
      <c r="AM176" s="54">
        <v>5</v>
      </c>
      <c r="AN176" s="54"/>
      <c r="AO176" s="54"/>
      <c r="AP176" s="54"/>
      <c r="AQ176" s="54"/>
      <c r="AR176" s="54"/>
      <c r="AS176" s="54"/>
      <c r="AT176" s="54"/>
      <c r="AU176" s="54"/>
      <c r="AV176" s="54"/>
      <c r="AW176" s="54"/>
      <c r="AX176" s="59"/>
      <c r="AY176" s="59"/>
      <c r="AZ176" s="59"/>
      <c r="BA176" s="59"/>
      <c r="BB176" s="59">
        <v>7.1295999999999998E-2</v>
      </c>
      <c r="BC176" s="60">
        <v>4.0599999999999996</v>
      </c>
      <c r="BD176" s="61">
        <v>6.8672999999999998E-2</v>
      </c>
      <c r="BE176" s="62" t="s">
        <v>293</v>
      </c>
      <c r="BF176" s="35">
        <f t="shared" ref="BF176:BG182" si="345">IF($E176=$E$4,BF$4,IF($E176=$E$5,BF$5,""))</f>
        <v>4.0600000000000005</v>
      </c>
      <c r="BG176" s="35">
        <f t="shared" si="345"/>
        <v>6.8672999999999998E-2</v>
      </c>
      <c r="BH176" s="35" t="str">
        <f t="shared" si="336"/>
        <v>Med</v>
      </c>
      <c r="BI176" s="110">
        <f t="shared" si="337"/>
        <v>0</v>
      </c>
      <c r="BJ176" s="83">
        <f>VLOOKUP($F176,REP_Info!$D$6:$H$250,5,FALSE)</f>
        <v>0.67800000000000005</v>
      </c>
      <c r="BK176" s="30">
        <f t="shared" ref="BK176:BN182" si="346">IF(BK$7&gt;0,(LOOKUP(BK$7,$AH176:$AL176,$AM176:$AQ176)+IF($AG176="Y",SUMPRODUCT($AX176:$BB176-$AW176:$BA176,BK$7-$AR176:$AV176,N(BK$7&gt;$AR176:$AV176)),BK$7*LOOKUP(BK$7,$AR176:$AV176,$AX176:$BB176))+IF($BE176="Y",$BF176,$BC176)+BK$7*IF($BE176="Y",$BG176,$BD176))*100/BK$7,"")</f>
        <v>15.8089</v>
      </c>
      <c r="BL176" s="30">
        <f t="shared" si="346"/>
        <v>14.902899999999999</v>
      </c>
      <c r="BM176" s="30">
        <f t="shared" si="346"/>
        <v>14.4499</v>
      </c>
      <c r="BN176" s="29">
        <f t="shared" si="346"/>
        <v>14.2989</v>
      </c>
      <c r="BO176" s="85" t="str">
        <f t="shared" si="2"/>
        <v>$$$</v>
      </c>
      <c r="BP176" s="88" t="str">
        <f t="shared" si="338"/>
        <v>$$$</v>
      </c>
      <c r="BQ176" s="88" t="str">
        <f t="shared" si="4"/>
        <v>$$$</v>
      </c>
      <c r="BR176" s="88" t="str">
        <f t="shared" si="5"/>
        <v>$$$</v>
      </c>
      <c r="BS176" s="29" t="e">
        <f t="shared" ref="BS176:CD182" si="347">IF($CI176,IF(BS$7&gt;0,IF(BS$4&gt;$Q176,$BF176+BS$7*(BS$5+$BG176+$BI176),LOOKUP(BS$7,$AH176:$AL176,$AM176:$AQ176)+IF($AG176="Y",SUMPRODUCT($AX176:$BB176-$AW176:$BA176,BS$7-$AR176:$AV176,N(BS$7&gt;$AR176:$AV176)),BS$7*LOOKUP(BS$7,$AR176:$AV176,$AX176:$BB176))+IF($BE176="Y",$BF176,$BC176)+BS$7*IF($BE176="Y",$BG176,$BD176))*100/BS$7,""),NA())</f>
        <v>#N/A</v>
      </c>
      <c r="BT176" s="29" t="e">
        <f t="shared" si="347"/>
        <v>#N/A</v>
      </c>
      <c r="BU176" s="29" t="e">
        <f t="shared" si="347"/>
        <v>#N/A</v>
      </c>
      <c r="BV176" s="29" t="e">
        <f t="shared" si="347"/>
        <v>#N/A</v>
      </c>
      <c r="BW176" s="29" t="e">
        <f t="shared" si="347"/>
        <v>#N/A</v>
      </c>
      <c r="BX176" s="29" t="e">
        <f t="shared" si="347"/>
        <v>#N/A</v>
      </c>
      <c r="BY176" s="29" t="e">
        <f t="shared" si="347"/>
        <v>#N/A</v>
      </c>
      <c r="BZ176" s="29" t="e">
        <f t="shared" si="347"/>
        <v>#N/A</v>
      </c>
      <c r="CA176" s="29" t="e">
        <f t="shared" si="347"/>
        <v>#N/A</v>
      </c>
      <c r="CB176" s="29" t="e">
        <f t="shared" si="347"/>
        <v>#N/A</v>
      </c>
      <c r="CC176" s="29" t="e">
        <f t="shared" si="347"/>
        <v>#N/A</v>
      </c>
      <c r="CD176" s="29" t="e">
        <f t="shared" si="347"/>
        <v>#N/A</v>
      </c>
      <c r="CE176" s="6" t="str">
        <f t="shared" si="320"/>
        <v/>
      </c>
      <c r="CF176" s="27" t="e">
        <f>IF(AND(CI176,NOT(AD176)),LOOKUP(CF$5,{0,750,1500},H176:J176),"")</f>
        <v>#N/A</v>
      </c>
      <c r="CG176" s="6" t="str">
        <f t="shared" si="321"/>
        <v/>
      </c>
      <c r="CH176" t="e">
        <f t="shared" si="339"/>
        <v>#N/A</v>
      </c>
      <c r="CI176" t="e">
        <f t="shared" si="340"/>
        <v>#N/A</v>
      </c>
      <c r="CJ176" s="6" t="e">
        <f t="shared" si="11"/>
        <v>#N/A</v>
      </c>
      <c r="CK176" s="6">
        <f t="shared" si="12"/>
        <v>1</v>
      </c>
      <c r="CL176" s="6">
        <f t="shared" si="26"/>
        <v>1</v>
      </c>
      <c r="CM176" s="6">
        <f t="shared" si="13"/>
        <v>1</v>
      </c>
      <c r="CN176" s="6">
        <f t="shared" si="14"/>
        <v>0</v>
      </c>
      <c r="CO176" s="6">
        <f t="shared" si="15"/>
        <v>1</v>
      </c>
      <c r="CP176" s="6">
        <f t="shared" si="16"/>
        <v>1</v>
      </c>
      <c r="CQ176" s="6">
        <f t="shared" si="341"/>
        <v>1</v>
      </c>
      <c r="CR176" s="81" t="str">
        <f t="shared" si="17"/>
        <v/>
      </c>
      <c r="CS176">
        <f t="shared" si="342"/>
        <v>9</v>
      </c>
      <c r="CT176">
        <f t="shared" si="19"/>
        <v>75</v>
      </c>
      <c r="CU176" t="str">
        <f t="shared" si="29"/>
        <v/>
      </c>
      <c r="CV176" s="81">
        <f t="shared" si="343"/>
        <v>75</v>
      </c>
      <c r="CW176" s="81">
        <f>(CV176/25)^1.5*(Calculator!$BU$4/10000)*CW$5</f>
        <v>2.7022902443431254</v>
      </c>
      <c r="CX176" t="str">
        <f t="shared" si="344"/>
        <v>$75</v>
      </c>
    </row>
    <row r="177" spans="2:102" x14ac:dyDescent="0.25">
      <c r="B177" s="115" t="s">
        <v>233</v>
      </c>
      <c r="C177" s="13">
        <v>46321.660416666666</v>
      </c>
      <c r="D177">
        <v>33783</v>
      </c>
      <c r="E177" s="54" t="s">
        <v>235</v>
      </c>
      <c r="F177" s="54" t="s">
        <v>478</v>
      </c>
      <c r="G177" s="54" t="s">
        <v>479</v>
      </c>
      <c r="H177" s="55">
        <v>12</v>
      </c>
      <c r="I177" s="55">
        <v>11.3</v>
      </c>
      <c r="J177" s="55">
        <v>10.9</v>
      </c>
      <c r="K177" s="54"/>
      <c r="L177" s="56" t="b">
        <v>0</v>
      </c>
      <c r="M177" s="56" t="b">
        <v>0</v>
      </c>
      <c r="N177" s="54">
        <v>0</v>
      </c>
      <c r="O177" s="54" t="s">
        <v>238</v>
      </c>
      <c r="P177" s="54">
        <v>24</v>
      </c>
      <c r="Q177" s="54">
        <v>1</v>
      </c>
      <c r="R177" s="54">
        <v>0</v>
      </c>
      <c r="S177" s="54" t="s">
        <v>480</v>
      </c>
      <c r="T177" s="54" t="s">
        <v>481</v>
      </c>
      <c r="U177" s="54" t="s">
        <v>482</v>
      </c>
      <c r="V177" s="54" t="s">
        <v>483</v>
      </c>
      <c r="W177" s="54" t="b">
        <v>0</v>
      </c>
      <c r="X177" s="54"/>
      <c r="Y177" s="57" t="s">
        <v>2283</v>
      </c>
      <c r="Z177" s="54" t="s">
        <v>2284</v>
      </c>
      <c r="AA177" s="54"/>
      <c r="AB177" s="54" t="s">
        <v>484</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45"/>
        <v>4.9000000000000004</v>
      </c>
      <c r="BG177" s="35">
        <f t="shared" si="345"/>
        <v>6.5333000000000002E-2</v>
      </c>
      <c r="BH177" s="35" t="str">
        <f t="shared" si="336"/>
        <v>?</v>
      </c>
      <c r="BI177" s="110" t="str">
        <f t="shared" si="337"/>
        <v/>
      </c>
      <c r="BJ177" s="83">
        <f>VLOOKUP($F177,REP_Info!$D$6:$H$250,5,FALSE)</f>
        <v>0.123</v>
      </c>
      <c r="BK177" s="30" t="e">
        <f t="shared" si="346"/>
        <v>#N/A</v>
      </c>
      <c r="BL177" s="30" t="e">
        <f t="shared" si="346"/>
        <v>#N/A</v>
      </c>
      <c r="BM177" s="30" t="e">
        <f t="shared" si="346"/>
        <v>#N/A</v>
      </c>
      <c r="BN177" s="29" t="e">
        <f t="shared" si="346"/>
        <v>#N/A</v>
      </c>
      <c r="BO177" s="85" t="str">
        <f t="shared" si="2"/>
        <v>$$$</v>
      </c>
      <c r="BP177" s="88" t="str">
        <f t="shared" si="338"/>
        <v>$$$</v>
      </c>
      <c r="BQ177" s="88" t="str">
        <f t="shared" si="4"/>
        <v>$$$</v>
      </c>
      <c r="BR177" s="88" t="str">
        <f t="shared" si="5"/>
        <v>$$$</v>
      </c>
      <c r="BS177" s="29" t="e">
        <f t="shared" si="347"/>
        <v>#N/A</v>
      </c>
      <c r="BT177" s="29" t="e">
        <f t="shared" si="347"/>
        <v>#N/A</v>
      </c>
      <c r="BU177" s="29" t="e">
        <f t="shared" si="347"/>
        <v>#N/A</v>
      </c>
      <c r="BV177" s="29" t="e">
        <f t="shared" si="347"/>
        <v>#N/A</v>
      </c>
      <c r="BW177" s="29" t="e">
        <f t="shared" si="347"/>
        <v>#N/A</v>
      </c>
      <c r="BX177" s="29" t="e">
        <f t="shared" si="347"/>
        <v>#N/A</v>
      </c>
      <c r="BY177" s="29" t="e">
        <f t="shared" si="347"/>
        <v>#N/A</v>
      </c>
      <c r="BZ177" s="29" t="e">
        <f t="shared" si="347"/>
        <v>#N/A</v>
      </c>
      <c r="CA177" s="29" t="e">
        <f t="shared" si="347"/>
        <v>#N/A</v>
      </c>
      <c r="CB177" s="29" t="e">
        <f t="shared" si="347"/>
        <v>#N/A</v>
      </c>
      <c r="CC177" s="29" t="e">
        <f t="shared" si="347"/>
        <v>#N/A</v>
      </c>
      <c r="CD177" s="29" t="e">
        <f t="shared" si="347"/>
        <v>#N/A</v>
      </c>
      <c r="CE177" s="6" t="str">
        <f t="shared" si="320"/>
        <v/>
      </c>
      <c r="CF177" s="27" t="e">
        <f>IF(AND(CI177,NOT(AD177)),LOOKUP(CF$5,{0,750,1500},H177:J177),"")</f>
        <v>#N/A</v>
      </c>
      <c r="CG177" s="6" t="str">
        <f t="shared" si="321"/>
        <v/>
      </c>
      <c r="CH177" t="e">
        <f t="shared" si="339"/>
        <v>#N/A</v>
      </c>
      <c r="CI177" t="e">
        <f t="shared" si="340"/>
        <v>#N/A</v>
      </c>
      <c r="CJ177" s="6" t="e">
        <f t="shared" si="11"/>
        <v>#N/A</v>
      </c>
      <c r="CK177" s="6">
        <f t="shared" si="12"/>
        <v>1</v>
      </c>
      <c r="CL177" s="6">
        <f t="shared" ref="CL177:CL182" si="348">IFERROR(--OR(ISBLANK(CL$5),$BJ177="",AND(ISNUMBER($BJ177),$BJ177&lt;=CL$5)),1)</f>
        <v>1</v>
      </c>
      <c r="CM177" s="6">
        <f t="shared" si="13"/>
        <v>0</v>
      </c>
      <c r="CN177" s="6">
        <f t="shared" si="14"/>
        <v>0</v>
      </c>
      <c r="CO177" s="6">
        <f t="shared" si="15"/>
        <v>1</v>
      </c>
      <c r="CP177" s="6">
        <f t="shared" si="16"/>
        <v>1</v>
      </c>
      <c r="CQ177" s="6">
        <f t="shared" si="341"/>
        <v>1</v>
      </c>
      <c r="CR177" s="81" t="str">
        <f t="shared" si="17"/>
        <v/>
      </c>
      <c r="CS177">
        <f t="shared" si="342"/>
        <v>198</v>
      </c>
      <c r="CT177">
        <f t="shared" si="19"/>
        <v>0</v>
      </c>
      <c r="CU177" t="str">
        <f t="shared" ref="CU177:CU182" si="349">IF(AND(ISERR(FIND("remain",$R177)),ISERR(FIND("left",$R177))),"","r")&amp;IF(ISERR(FIND("mon",$R177)),"","m")</f>
        <v/>
      </c>
      <c r="CV177" s="81">
        <f t="shared" si="343"/>
        <v>0</v>
      </c>
      <c r="CW177" s="81">
        <f>(CV177/25)^1.5*(Calculator!$BU$4/10000)*CW$5</f>
        <v>0</v>
      </c>
      <c r="CX177" t="str">
        <f t="shared" si="344"/>
        <v>$0</v>
      </c>
    </row>
    <row r="178" spans="2:102" x14ac:dyDescent="0.25">
      <c r="B178" s="115" t="s">
        <v>233</v>
      </c>
      <c r="C178" s="13">
        <v>46321.660416666666</v>
      </c>
      <c r="D178">
        <v>33784</v>
      </c>
      <c r="E178" s="54" t="s">
        <v>237</v>
      </c>
      <c r="F178" s="54" t="s">
        <v>478</v>
      </c>
      <c r="G178" s="54" t="s">
        <v>479</v>
      </c>
      <c r="H178" s="55">
        <v>11.799999999999999</v>
      </c>
      <c r="I178" s="55">
        <v>11.200000000000001</v>
      </c>
      <c r="J178" s="55">
        <v>10.9</v>
      </c>
      <c r="K178" s="54"/>
      <c r="L178" s="56" t="b">
        <v>0</v>
      </c>
      <c r="M178" s="56" t="b">
        <v>0</v>
      </c>
      <c r="N178" s="54">
        <v>0</v>
      </c>
      <c r="O178" s="54" t="s">
        <v>238</v>
      </c>
      <c r="P178" s="54">
        <v>24</v>
      </c>
      <c r="Q178" s="54">
        <v>1</v>
      </c>
      <c r="R178" s="54">
        <v>0</v>
      </c>
      <c r="S178" s="54" t="s">
        <v>480</v>
      </c>
      <c r="T178" s="54" t="s">
        <v>481</v>
      </c>
      <c r="U178" s="54" t="s">
        <v>482</v>
      </c>
      <c r="V178" s="54" t="s">
        <v>483</v>
      </c>
      <c r="W178" s="54" t="b">
        <v>0</v>
      </c>
      <c r="X178" s="54"/>
      <c r="Y178" s="57" t="s">
        <v>2285</v>
      </c>
      <c r="Z178" s="54" t="s">
        <v>2286</v>
      </c>
      <c r="AA178" s="54"/>
      <c r="AB178" s="54" t="s">
        <v>484</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45"/>
        <v>4.0600000000000005</v>
      </c>
      <c r="BG178" s="35">
        <f t="shared" si="345"/>
        <v>6.8672999999999998E-2</v>
      </c>
      <c r="BH178" s="35" t="str">
        <f t="shared" si="336"/>
        <v>?</v>
      </c>
      <c r="BI178" s="110" t="str">
        <f t="shared" si="337"/>
        <v/>
      </c>
      <c r="BJ178" s="83">
        <f>VLOOKUP($F178,REP_Info!$D$6:$H$250,5,FALSE)</f>
        <v>0.123</v>
      </c>
      <c r="BK178" s="30" t="e">
        <f t="shared" si="346"/>
        <v>#N/A</v>
      </c>
      <c r="BL178" s="30" t="e">
        <f t="shared" si="346"/>
        <v>#N/A</v>
      </c>
      <c r="BM178" s="30" t="e">
        <f t="shared" si="346"/>
        <v>#N/A</v>
      </c>
      <c r="BN178" s="29" t="e">
        <f t="shared" si="346"/>
        <v>#N/A</v>
      </c>
      <c r="BO178" s="85" t="str">
        <f t="shared" ref="BO178:BO182" si="350">IFERROR(SUMPRODUCT($BS$7:$CD$7,$BS178:$CD178)/100,"$$$")</f>
        <v>$$$</v>
      </c>
      <c r="BP178" s="88" t="str">
        <f t="shared" si="338"/>
        <v>$$$</v>
      </c>
      <c r="BQ178" s="88" t="str">
        <f t="shared" si="4"/>
        <v>$$$</v>
      </c>
      <c r="BR178" s="88" t="str">
        <f t="shared" si="5"/>
        <v>$$$</v>
      </c>
      <c r="BS178" s="29" t="e">
        <f t="shared" si="347"/>
        <v>#N/A</v>
      </c>
      <c r="BT178" s="29" t="e">
        <f t="shared" si="347"/>
        <v>#N/A</v>
      </c>
      <c r="BU178" s="29" t="e">
        <f t="shared" si="347"/>
        <v>#N/A</v>
      </c>
      <c r="BV178" s="29" t="e">
        <f t="shared" si="347"/>
        <v>#N/A</v>
      </c>
      <c r="BW178" s="29" t="e">
        <f t="shared" si="347"/>
        <v>#N/A</v>
      </c>
      <c r="BX178" s="29" t="e">
        <f t="shared" si="347"/>
        <v>#N/A</v>
      </c>
      <c r="BY178" s="29" t="e">
        <f t="shared" si="347"/>
        <v>#N/A</v>
      </c>
      <c r="BZ178" s="29" t="e">
        <f t="shared" si="347"/>
        <v>#N/A</v>
      </c>
      <c r="CA178" s="29" t="e">
        <f t="shared" si="347"/>
        <v>#N/A</v>
      </c>
      <c r="CB178" s="29" t="e">
        <f t="shared" si="347"/>
        <v>#N/A</v>
      </c>
      <c r="CC178" s="29" t="e">
        <f t="shared" si="347"/>
        <v>#N/A</v>
      </c>
      <c r="CD178" s="29" t="e">
        <f t="shared" si="347"/>
        <v>#N/A</v>
      </c>
      <c r="CE178" s="6" t="str">
        <f t="shared" si="320"/>
        <v/>
      </c>
      <c r="CF178" s="27" t="e">
        <f>IF(AND(CI178,NOT(AD178)),LOOKUP(CF$5,{0,750,1500},H178:J178),"")</f>
        <v>#N/A</v>
      </c>
      <c r="CG178" s="6" t="str">
        <f t="shared" si="321"/>
        <v/>
      </c>
      <c r="CH178" t="e">
        <f t="shared" si="339"/>
        <v>#N/A</v>
      </c>
      <c r="CI178" t="e">
        <f t="shared" si="340"/>
        <v>#N/A</v>
      </c>
      <c r="CJ178" s="6" t="e">
        <f t="shared" ref="CJ178:CJ182" si="351">IF($E178=CJ$5,1,0)</f>
        <v>#N/A</v>
      </c>
      <c r="CK178" s="6">
        <f t="shared" ref="CK178:CK182" si="352">IF(CK$5="[Any]",1,IF($F178=CK$5,1,0))</f>
        <v>1</v>
      </c>
      <c r="CL178" s="6">
        <f t="shared" si="348"/>
        <v>1</v>
      </c>
      <c r="CM178" s="6">
        <f t="shared" ref="CM178:CM182" si="353">IF($O178="Fixed",1,0)</f>
        <v>0</v>
      </c>
      <c r="CN178" s="6">
        <f t="shared" ref="CN178:CN182" si="354">IF($Q178&gt;=CN$5,1,0)</f>
        <v>0</v>
      </c>
      <c r="CO178" s="6">
        <f t="shared" ref="CO178:CO182" si="355">IF($Q178&lt;=CO$5,1,0)</f>
        <v>1</v>
      </c>
      <c r="CP178" s="6">
        <f t="shared" ref="CP178:CP182" si="356">IF($P178&gt;=CP$5,1,0)</f>
        <v>1</v>
      </c>
      <c r="CQ178" s="6">
        <f t="shared" si="341"/>
        <v>1</v>
      </c>
      <c r="CR178" s="81" t="str">
        <f t="shared" ref="CR178:CR182" si="357">IF(ISNUMBER($CH178),$CH178+$CS178+$CW178,"")</f>
        <v/>
      </c>
      <c r="CS178">
        <f t="shared" si="342"/>
        <v>198</v>
      </c>
      <c r="CT178">
        <f t="shared" si="19"/>
        <v>0</v>
      </c>
      <c r="CU178" t="str">
        <f t="shared" si="349"/>
        <v/>
      </c>
      <c r="CV178" s="81">
        <f t="shared" si="343"/>
        <v>0</v>
      </c>
      <c r="CW178" s="81">
        <f>(CV178/25)^1.5*(Calculator!$BU$4/10000)*CW$5</f>
        <v>0</v>
      </c>
      <c r="CX178" t="str">
        <f t="shared" si="344"/>
        <v>$0</v>
      </c>
    </row>
    <row r="179" spans="2:102" x14ac:dyDescent="0.25">
      <c r="B179" s="115" t="s">
        <v>233</v>
      </c>
      <c r="C179" s="13">
        <v>46321.660416666666</v>
      </c>
      <c r="D179">
        <v>33788</v>
      </c>
      <c r="E179" s="54" t="s">
        <v>235</v>
      </c>
      <c r="F179" s="54" t="s">
        <v>478</v>
      </c>
      <c r="G179" s="54" t="s">
        <v>485</v>
      </c>
      <c r="H179" s="55">
        <v>12.1</v>
      </c>
      <c r="I179" s="55">
        <v>11.4</v>
      </c>
      <c r="J179" s="55">
        <v>11</v>
      </c>
      <c r="K179" s="54"/>
      <c r="L179" s="56" t="b">
        <v>0</v>
      </c>
      <c r="M179" s="56" t="b">
        <v>0</v>
      </c>
      <c r="N179" s="54">
        <v>0</v>
      </c>
      <c r="O179" s="54" t="s">
        <v>238</v>
      </c>
      <c r="P179" s="54">
        <v>100</v>
      </c>
      <c r="Q179" s="54">
        <v>1</v>
      </c>
      <c r="R179" s="54">
        <v>0</v>
      </c>
      <c r="S179" s="54" t="s">
        <v>480</v>
      </c>
      <c r="T179" s="54" t="s">
        <v>486</v>
      </c>
      <c r="U179" s="54" t="s">
        <v>482</v>
      </c>
      <c r="V179" s="54" t="s">
        <v>483</v>
      </c>
      <c r="W179" s="54" t="b">
        <v>0</v>
      </c>
      <c r="X179" s="54"/>
      <c r="Y179" s="57" t="s">
        <v>2287</v>
      </c>
      <c r="Z179" s="54" t="s">
        <v>2288</v>
      </c>
      <c r="AA179" s="54"/>
      <c r="AB179" s="54" t="s">
        <v>484</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45"/>
        <v>4.9000000000000004</v>
      </c>
      <c r="BG179" s="35">
        <f t="shared" si="345"/>
        <v>6.5333000000000002E-2</v>
      </c>
      <c r="BH179" s="35" t="str">
        <f t="shared" si="336"/>
        <v>?</v>
      </c>
      <c r="BI179" s="110" t="str">
        <f t="shared" si="337"/>
        <v/>
      </c>
      <c r="BJ179" s="83">
        <f>VLOOKUP($F179,REP_Info!$D$6:$H$250,5,FALSE)</f>
        <v>0.123</v>
      </c>
      <c r="BK179" s="30" t="e">
        <f t="shared" si="346"/>
        <v>#N/A</v>
      </c>
      <c r="BL179" s="30" t="e">
        <f t="shared" si="346"/>
        <v>#N/A</v>
      </c>
      <c r="BM179" s="30" t="e">
        <f t="shared" si="346"/>
        <v>#N/A</v>
      </c>
      <c r="BN179" s="29" t="e">
        <f t="shared" si="346"/>
        <v>#N/A</v>
      </c>
      <c r="BO179" s="85" t="str">
        <f t="shared" si="350"/>
        <v>$$$</v>
      </c>
      <c r="BP179" s="88" t="str">
        <f t="shared" si="338"/>
        <v>$$$</v>
      </c>
      <c r="BQ179" s="88" t="str">
        <f t="shared" si="4"/>
        <v>$$$</v>
      </c>
      <c r="BR179" s="88" t="str">
        <f t="shared" si="5"/>
        <v>$$$</v>
      </c>
      <c r="BS179" s="29" t="e">
        <f t="shared" si="347"/>
        <v>#N/A</v>
      </c>
      <c r="BT179" s="29" t="e">
        <f t="shared" si="347"/>
        <v>#N/A</v>
      </c>
      <c r="BU179" s="29" t="e">
        <f t="shared" si="347"/>
        <v>#N/A</v>
      </c>
      <c r="BV179" s="29" t="e">
        <f t="shared" si="347"/>
        <v>#N/A</v>
      </c>
      <c r="BW179" s="29" t="e">
        <f t="shared" si="347"/>
        <v>#N/A</v>
      </c>
      <c r="BX179" s="29" t="e">
        <f t="shared" si="347"/>
        <v>#N/A</v>
      </c>
      <c r="BY179" s="29" t="e">
        <f t="shared" si="347"/>
        <v>#N/A</v>
      </c>
      <c r="BZ179" s="29" t="e">
        <f t="shared" si="347"/>
        <v>#N/A</v>
      </c>
      <c r="CA179" s="29" t="e">
        <f t="shared" si="347"/>
        <v>#N/A</v>
      </c>
      <c r="CB179" s="29" t="e">
        <f t="shared" si="347"/>
        <v>#N/A</v>
      </c>
      <c r="CC179" s="29" t="e">
        <f t="shared" si="347"/>
        <v>#N/A</v>
      </c>
      <c r="CD179" s="29" t="e">
        <f t="shared" si="347"/>
        <v>#N/A</v>
      </c>
      <c r="CE179" s="6" t="str">
        <f t="shared" si="320"/>
        <v/>
      </c>
      <c r="CF179" s="27" t="e">
        <f>IF(AND(CI179,NOT(AD179)),LOOKUP(CF$5,{0,750,1500},H179:J179),"")</f>
        <v>#N/A</v>
      </c>
      <c r="CG179" s="6" t="str">
        <f t="shared" si="321"/>
        <v/>
      </c>
      <c r="CH179" t="e">
        <f t="shared" si="339"/>
        <v>#N/A</v>
      </c>
      <c r="CI179" t="e">
        <f t="shared" si="340"/>
        <v>#N/A</v>
      </c>
      <c r="CJ179" s="6" t="e">
        <f t="shared" si="351"/>
        <v>#N/A</v>
      </c>
      <c r="CK179" s="6">
        <f t="shared" si="352"/>
        <v>1</v>
      </c>
      <c r="CL179" s="6">
        <f t="shared" si="348"/>
        <v>1</v>
      </c>
      <c r="CM179" s="6">
        <f t="shared" si="353"/>
        <v>0</v>
      </c>
      <c r="CN179" s="6">
        <f t="shared" si="354"/>
        <v>0</v>
      </c>
      <c r="CO179" s="6">
        <f t="shared" si="355"/>
        <v>1</v>
      </c>
      <c r="CP179" s="6">
        <f t="shared" si="356"/>
        <v>1</v>
      </c>
      <c r="CQ179" s="6">
        <f t="shared" si="341"/>
        <v>1</v>
      </c>
      <c r="CR179" s="81" t="str">
        <f t="shared" si="357"/>
        <v/>
      </c>
      <c r="CS179">
        <f t="shared" si="342"/>
        <v>198</v>
      </c>
      <c r="CT179">
        <f t="shared" si="19"/>
        <v>0</v>
      </c>
      <c r="CU179" t="str">
        <f t="shared" si="349"/>
        <v/>
      </c>
      <c r="CV179" s="81">
        <f t="shared" si="343"/>
        <v>0</v>
      </c>
      <c r="CW179" s="81">
        <f>(CV179/25)^1.5*(Calculator!$BU$4/10000)*CW$5</f>
        <v>0</v>
      </c>
      <c r="CX179" t="str">
        <f t="shared" si="344"/>
        <v>$0</v>
      </c>
    </row>
    <row r="180" spans="2:102" x14ac:dyDescent="0.25">
      <c r="B180" s="115" t="s">
        <v>233</v>
      </c>
      <c r="C180" s="13">
        <v>46321.660416666666</v>
      </c>
      <c r="D180">
        <v>33789</v>
      </c>
      <c r="E180" s="54" t="s">
        <v>237</v>
      </c>
      <c r="F180" s="54" t="s">
        <v>478</v>
      </c>
      <c r="G180" s="54" t="s">
        <v>485</v>
      </c>
      <c r="H180" s="55">
        <v>11.899999999999999</v>
      </c>
      <c r="I180" s="55">
        <v>11.3</v>
      </c>
      <c r="J180" s="55">
        <v>10.9</v>
      </c>
      <c r="K180" s="54"/>
      <c r="L180" s="56" t="b">
        <v>0</v>
      </c>
      <c r="M180" s="56" t="b">
        <v>0</v>
      </c>
      <c r="N180" s="54">
        <v>0</v>
      </c>
      <c r="O180" s="54" t="s">
        <v>238</v>
      </c>
      <c r="P180" s="54">
        <v>100</v>
      </c>
      <c r="Q180" s="54">
        <v>1</v>
      </c>
      <c r="R180" s="54">
        <v>0</v>
      </c>
      <c r="S180" s="54" t="s">
        <v>480</v>
      </c>
      <c r="T180" s="54" t="s">
        <v>486</v>
      </c>
      <c r="U180" s="54" t="s">
        <v>482</v>
      </c>
      <c r="V180" s="54" t="s">
        <v>483</v>
      </c>
      <c r="W180" s="54" t="b">
        <v>0</v>
      </c>
      <c r="X180" s="54"/>
      <c r="Y180" s="57" t="s">
        <v>2289</v>
      </c>
      <c r="Z180" s="54" t="s">
        <v>2290</v>
      </c>
      <c r="AA180" s="54"/>
      <c r="AB180" s="54" t="s">
        <v>484</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45"/>
        <v>4.0600000000000005</v>
      </c>
      <c r="BG180" s="35">
        <f t="shared" si="345"/>
        <v>6.8672999999999998E-2</v>
      </c>
      <c r="BH180" s="35" t="str">
        <f t="shared" si="336"/>
        <v>?</v>
      </c>
      <c r="BI180" s="110" t="str">
        <f t="shared" si="337"/>
        <v/>
      </c>
      <c r="BJ180" s="83">
        <f>VLOOKUP($F180,REP_Info!$D$6:$H$250,5,FALSE)</f>
        <v>0.123</v>
      </c>
      <c r="BK180" s="30" t="e">
        <f t="shared" si="346"/>
        <v>#N/A</v>
      </c>
      <c r="BL180" s="30" t="e">
        <f t="shared" si="346"/>
        <v>#N/A</v>
      </c>
      <c r="BM180" s="30" t="e">
        <f t="shared" si="346"/>
        <v>#N/A</v>
      </c>
      <c r="BN180" s="29" t="e">
        <f t="shared" si="346"/>
        <v>#N/A</v>
      </c>
      <c r="BO180" s="85" t="str">
        <f t="shared" si="350"/>
        <v>$$$</v>
      </c>
      <c r="BP180" s="88" t="str">
        <f t="shared" si="338"/>
        <v>$$$</v>
      </c>
      <c r="BQ180" s="88" t="str">
        <f t="shared" ref="BQ180:BQ182" si="358">IFERROR(SUMPRODUCT($BS$7:$CD$7,$BS180:$CD180,--($BS$4:$CD$4&lt;=$Q180))/SUMPRODUCT(--($BS$4:$CD$4&lt;=$Q180),$BS$7:$CD$7),"$$$")</f>
        <v>$$$</v>
      </c>
      <c r="BR180" s="88" t="str">
        <f t="shared" ref="BR180:BR182" si="359">IFERROR($BQ180-$BF180*100*SUMPRODUCT(--($BS$4:$CD$4&lt;=$Q180))/SUMPRODUCT(--($BS$4:$CD$4&lt;=$Q180),$BS$7:$CD$7)-$BG180*100,"$$$")</f>
        <v>$$$</v>
      </c>
      <c r="BS180" s="29" t="e">
        <f t="shared" si="347"/>
        <v>#N/A</v>
      </c>
      <c r="BT180" s="29" t="e">
        <f t="shared" si="347"/>
        <v>#N/A</v>
      </c>
      <c r="BU180" s="29" t="e">
        <f t="shared" si="347"/>
        <v>#N/A</v>
      </c>
      <c r="BV180" s="29" t="e">
        <f t="shared" si="347"/>
        <v>#N/A</v>
      </c>
      <c r="BW180" s="29" t="e">
        <f t="shared" si="347"/>
        <v>#N/A</v>
      </c>
      <c r="BX180" s="29" t="e">
        <f t="shared" si="347"/>
        <v>#N/A</v>
      </c>
      <c r="BY180" s="29" t="e">
        <f t="shared" si="347"/>
        <v>#N/A</v>
      </c>
      <c r="BZ180" s="29" t="e">
        <f t="shared" si="347"/>
        <v>#N/A</v>
      </c>
      <c r="CA180" s="29" t="e">
        <f t="shared" si="347"/>
        <v>#N/A</v>
      </c>
      <c r="CB180" s="29" t="e">
        <f t="shared" si="347"/>
        <v>#N/A</v>
      </c>
      <c r="CC180" s="29" t="e">
        <f t="shared" si="347"/>
        <v>#N/A</v>
      </c>
      <c r="CD180" s="29" t="e">
        <f t="shared" si="347"/>
        <v>#N/A</v>
      </c>
      <c r="CE180" s="6" t="str">
        <f t="shared" si="320"/>
        <v/>
      </c>
      <c r="CF180" s="27" t="e">
        <f>IF(AND(CI180,NOT(AD180)),LOOKUP(CF$5,{0,750,1500},H180:J180),"")</f>
        <v>#N/A</v>
      </c>
      <c r="CG180" s="6" t="str">
        <f t="shared" si="321"/>
        <v/>
      </c>
      <c r="CH180" t="e">
        <f t="shared" si="339"/>
        <v>#N/A</v>
      </c>
      <c r="CI180" t="e">
        <f t="shared" si="340"/>
        <v>#N/A</v>
      </c>
      <c r="CJ180" s="6" t="e">
        <f t="shared" si="351"/>
        <v>#N/A</v>
      </c>
      <c r="CK180" s="6">
        <f t="shared" si="352"/>
        <v>1</v>
      </c>
      <c r="CL180" s="6">
        <f t="shared" si="348"/>
        <v>1</v>
      </c>
      <c r="CM180" s="6">
        <f t="shared" si="353"/>
        <v>0</v>
      </c>
      <c r="CN180" s="6">
        <f t="shared" si="354"/>
        <v>0</v>
      </c>
      <c r="CO180" s="6">
        <f t="shared" si="355"/>
        <v>1</v>
      </c>
      <c r="CP180" s="6">
        <f t="shared" si="356"/>
        <v>1</v>
      </c>
      <c r="CQ180" s="6">
        <f t="shared" si="341"/>
        <v>1</v>
      </c>
      <c r="CR180" s="81" t="str">
        <f t="shared" si="357"/>
        <v/>
      </c>
      <c r="CS180">
        <f t="shared" si="342"/>
        <v>198</v>
      </c>
      <c r="CT180">
        <f t="shared" si="19"/>
        <v>0</v>
      </c>
      <c r="CU180" t="str">
        <f t="shared" si="349"/>
        <v/>
      </c>
      <c r="CV180" s="81">
        <f t="shared" si="343"/>
        <v>0</v>
      </c>
      <c r="CW180" s="81">
        <f>(CV180/25)^1.5*(Calculator!$BU$4/10000)*CW$5</f>
        <v>0</v>
      </c>
      <c r="CX180" t="str">
        <f t="shared" si="344"/>
        <v>$0</v>
      </c>
    </row>
    <row r="181" spans="2:102" x14ac:dyDescent="0.25">
      <c r="B181" s="115" t="s">
        <v>233</v>
      </c>
      <c r="C181" s="13">
        <v>46321.660416666666</v>
      </c>
      <c r="D181">
        <v>33793</v>
      </c>
      <c r="E181" s="54" t="s">
        <v>235</v>
      </c>
      <c r="F181" s="54" t="s">
        <v>478</v>
      </c>
      <c r="G181" s="54" t="s">
        <v>487</v>
      </c>
      <c r="H181" s="55">
        <v>12.4</v>
      </c>
      <c r="I181" s="55">
        <v>11.4</v>
      </c>
      <c r="J181" s="55">
        <v>10.9</v>
      </c>
      <c r="K181" s="54"/>
      <c r="L181" s="56" t="b">
        <v>0</v>
      </c>
      <c r="M181" s="56" t="b">
        <v>0</v>
      </c>
      <c r="N181" s="54">
        <v>0</v>
      </c>
      <c r="O181" s="54" t="s">
        <v>238</v>
      </c>
      <c r="P181" s="54">
        <v>100</v>
      </c>
      <c r="Q181" s="54">
        <v>1</v>
      </c>
      <c r="R181" s="54">
        <v>0</v>
      </c>
      <c r="S181" s="54" t="s">
        <v>480</v>
      </c>
      <c r="T181" s="54" t="s">
        <v>486</v>
      </c>
      <c r="U181" s="54" t="s">
        <v>482</v>
      </c>
      <c r="V181" s="54" t="s">
        <v>483</v>
      </c>
      <c r="W181" s="54" t="b">
        <v>0</v>
      </c>
      <c r="X181" s="54"/>
      <c r="Y181" s="57" t="s">
        <v>2291</v>
      </c>
      <c r="Z181" s="54" t="s">
        <v>2292</v>
      </c>
      <c r="AA181" s="54"/>
      <c r="AB181" s="54" t="s">
        <v>484</v>
      </c>
      <c r="AC181" s="56" t="b">
        <v>0</v>
      </c>
      <c r="AD181" s="56" t="b">
        <v>0</v>
      </c>
      <c r="AE181" s="54"/>
      <c r="AF181" s="58"/>
      <c r="AG181" s="62" t="s">
        <v>293</v>
      </c>
      <c r="AH181" s="54"/>
      <c r="AI181" s="54"/>
      <c r="AJ181" s="54"/>
      <c r="AK181" s="54"/>
      <c r="AL181" s="54"/>
      <c r="AM181" s="54">
        <v>0</v>
      </c>
      <c r="AN181" s="54"/>
      <c r="AO181" s="54"/>
      <c r="AP181" s="54"/>
      <c r="AQ181" s="54"/>
      <c r="AR181" s="54"/>
      <c r="AS181" s="54"/>
      <c r="AT181" s="54"/>
      <c r="AU181" s="54"/>
      <c r="AV181" s="54"/>
      <c r="AW181" s="54"/>
      <c r="AX181" s="59"/>
      <c r="AY181" s="59"/>
      <c r="AZ181" s="59"/>
      <c r="BA181" s="59"/>
      <c r="BB181" s="59"/>
      <c r="BC181" s="60"/>
      <c r="BD181" s="61"/>
      <c r="BE181" s="62"/>
      <c r="BF181" s="35">
        <f t="shared" si="345"/>
        <v>4.9000000000000004</v>
      </c>
      <c r="BG181" s="35">
        <f t="shared" si="345"/>
        <v>6.5333000000000002E-2</v>
      </c>
      <c r="BH181" s="35" t="str">
        <f t="shared" si="336"/>
        <v>?</v>
      </c>
      <c r="BI181" s="110" t="str">
        <f t="shared" si="337"/>
        <v/>
      </c>
      <c r="BJ181" s="83">
        <f>VLOOKUP($F181,REP_Info!$D$6:$H$250,5,FALSE)</f>
        <v>0.123</v>
      </c>
      <c r="BK181" s="30" t="e">
        <f t="shared" si="346"/>
        <v>#N/A</v>
      </c>
      <c r="BL181" s="30" t="e">
        <f t="shared" si="346"/>
        <v>#N/A</v>
      </c>
      <c r="BM181" s="30" t="e">
        <f t="shared" si="346"/>
        <v>#N/A</v>
      </c>
      <c r="BN181" s="29" t="e">
        <f t="shared" si="346"/>
        <v>#N/A</v>
      </c>
      <c r="BO181" s="85" t="str">
        <f t="shared" si="350"/>
        <v>$$$</v>
      </c>
      <c r="BP181" s="88" t="str">
        <f t="shared" si="338"/>
        <v>$$$</v>
      </c>
      <c r="BQ181" s="88" t="str">
        <f t="shared" si="358"/>
        <v>$$$</v>
      </c>
      <c r="BR181" s="88" t="str">
        <f t="shared" si="359"/>
        <v>$$$</v>
      </c>
      <c r="BS181" s="29" t="e">
        <f t="shared" si="347"/>
        <v>#N/A</v>
      </c>
      <c r="BT181" s="29" t="e">
        <f t="shared" si="347"/>
        <v>#N/A</v>
      </c>
      <c r="BU181" s="29" t="e">
        <f t="shared" si="347"/>
        <v>#N/A</v>
      </c>
      <c r="BV181" s="29" t="e">
        <f t="shared" si="347"/>
        <v>#N/A</v>
      </c>
      <c r="BW181" s="29" t="e">
        <f t="shared" si="347"/>
        <v>#N/A</v>
      </c>
      <c r="BX181" s="29" t="e">
        <f t="shared" si="347"/>
        <v>#N/A</v>
      </c>
      <c r="BY181" s="29" t="e">
        <f t="shared" si="347"/>
        <v>#N/A</v>
      </c>
      <c r="BZ181" s="29" t="e">
        <f t="shared" si="347"/>
        <v>#N/A</v>
      </c>
      <c r="CA181" s="29" t="e">
        <f t="shared" si="347"/>
        <v>#N/A</v>
      </c>
      <c r="CB181" s="29" t="e">
        <f t="shared" si="347"/>
        <v>#N/A</v>
      </c>
      <c r="CC181" s="29" t="e">
        <f t="shared" si="347"/>
        <v>#N/A</v>
      </c>
      <c r="CD181" s="29" t="e">
        <f t="shared" si="347"/>
        <v>#N/A</v>
      </c>
      <c r="CE181" s="6" t="str">
        <f t="shared" si="320"/>
        <v/>
      </c>
      <c r="CF181" s="27" t="e">
        <f>IF(AND(CI181,NOT(AD181)),LOOKUP(CF$5,{0,750,1500},H181:J181),"")</f>
        <v>#N/A</v>
      </c>
      <c r="CG181" s="6" t="str">
        <f t="shared" si="321"/>
        <v/>
      </c>
      <c r="CH181" t="e">
        <f t="shared" si="339"/>
        <v>#N/A</v>
      </c>
      <c r="CI181" t="e">
        <f t="shared" si="340"/>
        <v>#N/A</v>
      </c>
      <c r="CJ181" s="6" t="e">
        <f t="shared" si="351"/>
        <v>#N/A</v>
      </c>
      <c r="CK181" s="6">
        <f t="shared" si="352"/>
        <v>1</v>
      </c>
      <c r="CL181" s="6">
        <f t="shared" si="348"/>
        <v>1</v>
      </c>
      <c r="CM181" s="6">
        <f t="shared" si="353"/>
        <v>0</v>
      </c>
      <c r="CN181" s="6">
        <f t="shared" si="354"/>
        <v>0</v>
      </c>
      <c r="CO181" s="6">
        <f t="shared" si="355"/>
        <v>1</v>
      </c>
      <c r="CP181" s="6">
        <f t="shared" si="356"/>
        <v>1</v>
      </c>
      <c r="CQ181" s="6">
        <f t="shared" si="341"/>
        <v>1</v>
      </c>
      <c r="CR181" s="81" t="str">
        <f t="shared" si="357"/>
        <v/>
      </c>
      <c r="CS181">
        <f t="shared" si="342"/>
        <v>198</v>
      </c>
      <c r="CT181">
        <f t="shared" si="19"/>
        <v>0</v>
      </c>
      <c r="CU181" t="str">
        <f t="shared" si="349"/>
        <v/>
      </c>
      <c r="CV181" s="81">
        <f t="shared" si="343"/>
        <v>0</v>
      </c>
      <c r="CW181" s="81">
        <f>(CV181/25)^1.5*(Calculator!$BU$4/10000)*CW$5</f>
        <v>0</v>
      </c>
      <c r="CX181" t="str">
        <f t="shared" si="344"/>
        <v>$0</v>
      </c>
    </row>
    <row r="182" spans="2:102" x14ac:dyDescent="0.25">
      <c r="B182" s="115" t="s">
        <v>233</v>
      </c>
      <c r="C182" s="13">
        <v>46321.660416666666</v>
      </c>
      <c r="D182">
        <v>33794</v>
      </c>
      <c r="E182" s="54" t="s">
        <v>237</v>
      </c>
      <c r="F182" s="54" t="s">
        <v>478</v>
      </c>
      <c r="G182" s="54" t="s">
        <v>487</v>
      </c>
      <c r="H182" s="55">
        <v>12.2</v>
      </c>
      <c r="I182" s="55">
        <v>11.3</v>
      </c>
      <c r="J182" s="55">
        <v>10.8</v>
      </c>
      <c r="K182" s="54"/>
      <c r="L182" s="56" t="b">
        <v>0</v>
      </c>
      <c r="M182" s="56" t="b">
        <v>0</v>
      </c>
      <c r="N182" s="54">
        <v>0</v>
      </c>
      <c r="O182" s="54" t="s">
        <v>238</v>
      </c>
      <c r="P182" s="54">
        <v>100</v>
      </c>
      <c r="Q182" s="54">
        <v>1</v>
      </c>
      <c r="R182" s="54">
        <v>0</v>
      </c>
      <c r="S182" s="54" t="s">
        <v>480</v>
      </c>
      <c r="T182" s="54" t="s">
        <v>486</v>
      </c>
      <c r="U182" s="54" t="s">
        <v>482</v>
      </c>
      <c r="V182" s="54" t="s">
        <v>483</v>
      </c>
      <c r="W182" s="54" t="b">
        <v>0</v>
      </c>
      <c r="X182" s="54"/>
      <c r="Y182" s="57" t="s">
        <v>2293</v>
      </c>
      <c r="Z182" s="54" t="s">
        <v>2294</v>
      </c>
      <c r="AA182" s="54"/>
      <c r="AB182" s="54" t="s">
        <v>484</v>
      </c>
      <c r="AC182" s="56" t="b">
        <v>0</v>
      </c>
      <c r="AD182" s="56" t="b">
        <v>0</v>
      </c>
      <c r="AE182" s="54"/>
      <c r="AF182" s="58"/>
      <c r="AG182" s="62" t="s">
        <v>293</v>
      </c>
      <c r="AH182" s="54"/>
      <c r="AI182" s="54"/>
      <c r="AJ182" s="54"/>
      <c r="AK182" s="54"/>
      <c r="AL182" s="54"/>
      <c r="AM182" s="54">
        <v>0</v>
      </c>
      <c r="AN182" s="54"/>
      <c r="AO182" s="54"/>
      <c r="AP182" s="54"/>
      <c r="AQ182" s="54"/>
      <c r="AR182" s="54"/>
      <c r="AS182" s="54"/>
      <c r="AT182" s="54"/>
      <c r="AU182" s="54"/>
      <c r="AV182" s="54"/>
      <c r="AW182" s="54"/>
      <c r="AX182" s="59"/>
      <c r="AY182" s="59"/>
      <c r="AZ182" s="59"/>
      <c r="BA182" s="59"/>
      <c r="BB182" s="59"/>
      <c r="BC182" s="60"/>
      <c r="BD182" s="61"/>
      <c r="BE182" s="62"/>
      <c r="BF182" s="35">
        <f t="shared" si="345"/>
        <v>4.0600000000000005</v>
      </c>
      <c r="BG182" s="35">
        <f t="shared" si="345"/>
        <v>6.8672999999999998E-2</v>
      </c>
      <c r="BH182" s="35" t="str">
        <f t="shared" si="336"/>
        <v>?</v>
      </c>
      <c r="BI182" s="110" t="str">
        <f t="shared" si="337"/>
        <v/>
      </c>
      <c r="BJ182" s="83">
        <f>VLOOKUP($F182,REP_Info!$D$6:$H$250,5,FALSE)</f>
        <v>0.123</v>
      </c>
      <c r="BK182" s="30" t="e">
        <f t="shared" si="346"/>
        <v>#N/A</v>
      </c>
      <c r="BL182" s="30" t="e">
        <f t="shared" si="346"/>
        <v>#N/A</v>
      </c>
      <c r="BM182" s="30" t="e">
        <f t="shared" si="346"/>
        <v>#N/A</v>
      </c>
      <c r="BN182" s="29" t="e">
        <f t="shared" si="346"/>
        <v>#N/A</v>
      </c>
      <c r="BO182" s="85" t="str">
        <f t="shared" si="350"/>
        <v>$$$</v>
      </c>
      <c r="BP182" s="88" t="str">
        <f t="shared" si="338"/>
        <v>$$$</v>
      </c>
      <c r="BQ182" s="88" t="str">
        <f t="shared" si="358"/>
        <v>$$$</v>
      </c>
      <c r="BR182" s="88" t="str">
        <f t="shared" si="359"/>
        <v>$$$</v>
      </c>
      <c r="BS182" s="29" t="e">
        <f t="shared" si="347"/>
        <v>#N/A</v>
      </c>
      <c r="BT182" s="29" t="e">
        <f t="shared" si="347"/>
        <v>#N/A</v>
      </c>
      <c r="BU182" s="29" t="e">
        <f t="shared" si="347"/>
        <v>#N/A</v>
      </c>
      <c r="BV182" s="29" t="e">
        <f t="shared" si="347"/>
        <v>#N/A</v>
      </c>
      <c r="BW182" s="29" t="e">
        <f t="shared" si="347"/>
        <v>#N/A</v>
      </c>
      <c r="BX182" s="29" t="e">
        <f t="shared" si="347"/>
        <v>#N/A</v>
      </c>
      <c r="BY182" s="29" t="e">
        <f t="shared" si="347"/>
        <v>#N/A</v>
      </c>
      <c r="BZ182" s="29" t="e">
        <f t="shared" si="347"/>
        <v>#N/A</v>
      </c>
      <c r="CA182" s="29" t="e">
        <f t="shared" si="347"/>
        <v>#N/A</v>
      </c>
      <c r="CB182" s="29" t="e">
        <f t="shared" si="347"/>
        <v>#N/A</v>
      </c>
      <c r="CC182" s="29" t="e">
        <f t="shared" si="347"/>
        <v>#N/A</v>
      </c>
      <c r="CD182" s="29" t="e">
        <f t="shared" si="347"/>
        <v>#N/A</v>
      </c>
      <c r="CE182" s="6" t="str">
        <f t="shared" si="320"/>
        <v/>
      </c>
      <c r="CF182" s="27" t="e">
        <f>IF(AND(CI182,NOT(AD182)),LOOKUP(CF$5,{0,750,1500},H182:J182),"")</f>
        <v>#N/A</v>
      </c>
      <c r="CG182" s="6" t="str">
        <f t="shared" si="321"/>
        <v/>
      </c>
      <c r="CH182" t="e">
        <f t="shared" si="339"/>
        <v>#N/A</v>
      </c>
      <c r="CI182" t="e">
        <f t="shared" si="340"/>
        <v>#N/A</v>
      </c>
      <c r="CJ182" s="6" t="e">
        <f t="shared" si="351"/>
        <v>#N/A</v>
      </c>
      <c r="CK182" s="6">
        <f t="shared" si="352"/>
        <v>1</v>
      </c>
      <c r="CL182" s="6">
        <f t="shared" si="348"/>
        <v>1</v>
      </c>
      <c r="CM182" s="6">
        <f t="shared" si="353"/>
        <v>0</v>
      </c>
      <c r="CN182" s="6">
        <f t="shared" si="354"/>
        <v>0</v>
      </c>
      <c r="CO182" s="6">
        <f t="shared" si="355"/>
        <v>1</v>
      </c>
      <c r="CP182" s="6">
        <f t="shared" si="356"/>
        <v>1</v>
      </c>
      <c r="CQ182" s="6">
        <f t="shared" si="341"/>
        <v>1</v>
      </c>
      <c r="CR182" s="81" t="str">
        <f t="shared" si="357"/>
        <v/>
      </c>
      <c r="CS182">
        <f t="shared" si="342"/>
        <v>198</v>
      </c>
      <c r="CT182">
        <f t="shared" si="19"/>
        <v>0</v>
      </c>
      <c r="CU182" t="str">
        <f t="shared" si="349"/>
        <v/>
      </c>
      <c r="CV182" s="81">
        <f t="shared" si="343"/>
        <v>0</v>
      </c>
      <c r="CW182" s="81">
        <f>(CV182/25)^1.5*(Calculator!$BU$4/10000)*CW$5</f>
        <v>0</v>
      </c>
      <c r="CX182" t="str">
        <f t="shared" si="344"/>
        <v>$0</v>
      </c>
    </row>
    <row r="183" spans="2:102" x14ac:dyDescent="0.25">
      <c r="B183" s="115" t="s">
        <v>233</v>
      </c>
      <c r="C183" s="13">
        <v>46321.660416666666</v>
      </c>
      <c r="D183">
        <v>33798</v>
      </c>
      <c r="E183" s="54" t="s">
        <v>235</v>
      </c>
      <c r="F183" s="54" t="s">
        <v>478</v>
      </c>
      <c r="G183" s="54" t="s">
        <v>488</v>
      </c>
      <c r="H183" s="55">
        <v>12.3</v>
      </c>
      <c r="I183" s="55">
        <v>11.3</v>
      </c>
      <c r="J183" s="55">
        <v>10.8</v>
      </c>
      <c r="K183" s="54"/>
      <c r="L183" s="56" t="b">
        <v>0</v>
      </c>
      <c r="M183" s="56" t="b">
        <v>0</v>
      </c>
      <c r="N183" s="54">
        <v>0</v>
      </c>
      <c r="O183" s="54" t="s">
        <v>238</v>
      </c>
      <c r="P183" s="54">
        <v>24</v>
      </c>
      <c r="Q183" s="54">
        <v>1</v>
      </c>
      <c r="R183" s="54">
        <v>0</v>
      </c>
      <c r="S183" s="54" t="s">
        <v>480</v>
      </c>
      <c r="T183" s="54" t="s">
        <v>481</v>
      </c>
      <c r="U183" s="54" t="s">
        <v>482</v>
      </c>
      <c r="V183" s="54" t="s">
        <v>483</v>
      </c>
      <c r="W183" s="54" t="b">
        <v>0</v>
      </c>
      <c r="X183" s="54"/>
      <c r="Y183" s="57" t="s">
        <v>2295</v>
      </c>
      <c r="Z183" s="54" t="s">
        <v>2296</v>
      </c>
      <c r="AA183" s="54"/>
      <c r="AB183" s="54" t="s">
        <v>484</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ref="BF183:BG188" si="360">IF($E183=$E$4,BF$4,IF($E183=$E$5,BF$5,""))</f>
        <v>4.9000000000000004</v>
      </c>
      <c r="BG183" s="35">
        <f t="shared" si="360"/>
        <v>6.5333000000000002E-2</v>
      </c>
      <c r="BH183" s="35" t="str">
        <f t="shared" ref="BH183:BH188" si="361">IF(ISTEXT(BE183),IF(AND(AV183=0,SUM(AN183:AQ183)=0),IF(AM183&lt;=0,IF(BE183="Y","Low","Flat"),"Med"),"High"),"?")</f>
        <v>?</v>
      </c>
      <c r="BI183" s="110" t="str">
        <f t="shared" ref="BI183:BI188" si="362">IF(ISNUMBER(AH183),0*BI$5*SIN((EDATE($A$3,$Q183)-DATE(YEAR(EDATE($A$3,$Q183)),1,0)-BI$4)*2*PI()/365),"")</f>
        <v/>
      </c>
      <c r="BJ183" s="83">
        <f>VLOOKUP($F183,REP_Info!$D$6:$H$250,5,FALSE)</f>
        <v>0.123</v>
      </c>
      <c r="BK183" s="30" t="e">
        <f t="shared" ref="BK183:BN188" si="363">IF(BK$7&gt;0,(LOOKUP(BK$7,$AH183:$AL183,$AM183:$AQ183)+IF($AG183="Y",SUMPRODUCT($AX183:$BB183-$AW183:$BA183,BK$7-$AR183:$AV183,N(BK$7&gt;$AR183:$AV183)),BK$7*LOOKUP(BK$7,$AR183:$AV183,$AX183:$BB183))+IF($BE183="Y",$BF183,$BC183)+BK$7*IF($BE183="Y",$BG183,$BD183))*100/BK$7,"")</f>
        <v>#N/A</v>
      </c>
      <c r="BL183" s="30" t="e">
        <f t="shared" si="363"/>
        <v>#N/A</v>
      </c>
      <c r="BM183" s="30" t="e">
        <f t="shared" si="363"/>
        <v>#N/A</v>
      </c>
      <c r="BN183" s="29" t="e">
        <f t="shared" si="363"/>
        <v>#N/A</v>
      </c>
      <c r="BO183" s="85" t="str">
        <f t="shared" si="2"/>
        <v>$$$</v>
      </c>
      <c r="BP183" s="88" t="str">
        <f t="shared" ref="BP183:BP188" si="364">IFERROR(BO183*100/BO$5,"$$$")</f>
        <v>$$$</v>
      </c>
      <c r="BQ183" s="88" t="str">
        <f t="shared" si="4"/>
        <v>$$$</v>
      </c>
      <c r="BR183" s="88" t="str">
        <f t="shared" si="5"/>
        <v>$$$</v>
      </c>
      <c r="BS183" s="29" t="e">
        <f t="shared" ref="BS183:CD188" si="365">IF($CI183,IF(BS$7&gt;0,IF(BS$4&gt;$Q183,$BF183+BS$7*(BS$5+$BG183+$BI183),LOOKUP(BS$7,$AH183:$AL183,$AM183:$AQ183)+IF($AG183="Y",SUMPRODUCT($AX183:$BB183-$AW183:$BA183,BS$7-$AR183:$AV183,N(BS$7&gt;$AR183:$AV183)),BS$7*LOOKUP(BS$7,$AR183:$AV183,$AX183:$BB183))+IF($BE183="Y",$BF183,$BC183)+BS$7*IF($BE183="Y",$BG183,$BD183))*100/BS$7,""),NA())</f>
        <v>#N/A</v>
      </c>
      <c r="BT183" s="29" t="e">
        <f t="shared" si="365"/>
        <v>#N/A</v>
      </c>
      <c r="BU183" s="29" t="e">
        <f t="shared" si="365"/>
        <v>#N/A</v>
      </c>
      <c r="BV183" s="29" t="e">
        <f t="shared" si="365"/>
        <v>#N/A</v>
      </c>
      <c r="BW183" s="29" t="e">
        <f t="shared" si="365"/>
        <v>#N/A</v>
      </c>
      <c r="BX183" s="29" t="e">
        <f t="shared" si="365"/>
        <v>#N/A</v>
      </c>
      <c r="BY183" s="29" t="e">
        <f t="shared" si="365"/>
        <v>#N/A</v>
      </c>
      <c r="BZ183" s="29" t="e">
        <f t="shared" si="365"/>
        <v>#N/A</v>
      </c>
      <c r="CA183" s="29" t="e">
        <f t="shared" si="365"/>
        <v>#N/A</v>
      </c>
      <c r="CB183" s="29" t="e">
        <f t="shared" si="365"/>
        <v>#N/A</v>
      </c>
      <c r="CC183" s="29" t="e">
        <f t="shared" si="365"/>
        <v>#N/A</v>
      </c>
      <c r="CD183" s="29" t="e">
        <f t="shared" si="365"/>
        <v>#N/A</v>
      </c>
      <c r="CE183" s="6" t="str">
        <f t="shared" si="320"/>
        <v/>
      </c>
      <c r="CF183" s="27" t="e">
        <f>IF(AND(CI183,NOT(AD183)),LOOKUP(CF$5,{0,750,1500},H183:J183),"")</f>
        <v>#N/A</v>
      </c>
      <c r="CG183" s="6" t="str">
        <f t="shared" si="321"/>
        <v/>
      </c>
      <c r="CH183" t="e">
        <f t="shared" ref="CH183:CH188" si="366">IF(CI183,IF(ISNUMBER(BO183),BO183,100000)+CV183/10000+IF(ISNUMBER(BJ183),BJ183,2)/10000-P183/100000+ROW()/10000000,"")</f>
        <v>#N/A</v>
      </c>
      <c r="CI183" t="e">
        <f t="shared" ref="CI183:CI188" si="367">PRODUCT(CJ183:CQ183)</f>
        <v>#N/A</v>
      </c>
      <c r="CJ183" s="6" t="e">
        <f t="shared" si="11"/>
        <v>#N/A</v>
      </c>
      <c r="CK183" s="6">
        <f t="shared" si="12"/>
        <v>1</v>
      </c>
      <c r="CL183" s="6">
        <f t="shared" ref="CL183:CL188" si="368">IFERROR(--OR(ISBLANK(CL$5),$BJ183="",AND(ISNUMBER($BJ183),$BJ183&lt;=CL$5)),1)</f>
        <v>1</v>
      </c>
      <c r="CM183" s="6">
        <f t="shared" si="13"/>
        <v>0</v>
      </c>
      <c r="CN183" s="6">
        <f t="shared" si="14"/>
        <v>0</v>
      </c>
      <c r="CO183" s="6">
        <f t="shared" si="15"/>
        <v>1</v>
      </c>
      <c r="CP183" s="6">
        <f t="shared" si="16"/>
        <v>1</v>
      </c>
      <c r="CQ183" s="6">
        <f t="shared" ref="CQ183:CQ188" si="369">IF(CQ$5="Any",1,IF(AND(CQ$5="Med",AV183=0,SUM(AN183:AQ183)=0),1,IF(AND(CQ$5="Low",AV183=0,SUM(AN183:AQ183)=0,AM183=0),1,IF(AND(CQ$5="Flat",AV183=0,SUM(AN183:AQ183)=0,AM183=0,IFERROR(NOT(BE183="Y"),0)),1,0))))</f>
        <v>1</v>
      </c>
      <c r="CR183" s="81" t="str">
        <f t="shared" si="17"/>
        <v/>
      </c>
      <c r="CS183">
        <f t="shared" ref="CS183:CS188" si="370">CS$5*(12/(MIN(12,Q183))-1)</f>
        <v>198</v>
      </c>
      <c r="CT183">
        <f t="shared" si="19"/>
        <v>0</v>
      </c>
      <c r="CU183" t="str">
        <f t="shared" ref="CU183:CU188" si="371">IF(AND(ISERR(FIND("remain",$R183)),ISERR(FIND("left",$R183))),"","r")&amp;IF(ISERR(FIND("mon",$R183)),"","m")</f>
        <v/>
      </c>
      <c r="CV183" s="81">
        <f t="shared" ref="CV183:CV188" si="372">CT183*IF(CU183="",1,Q183)</f>
        <v>0</v>
      </c>
      <c r="CW183" s="81">
        <f>(CV183/25)^1.5*(Calculator!$BU$4/10000)*CW$5</f>
        <v>0</v>
      </c>
      <c r="CX183" t="str">
        <f t="shared" ref="CX183:CX188" si="373">"$"&amp;IF(LEFT(CU183,1)="r",CT183&amp;"/"&amp;CU183,CV183)</f>
        <v>$0</v>
      </c>
    </row>
    <row r="184" spans="2:102" x14ac:dyDescent="0.25">
      <c r="B184" s="115" t="s">
        <v>233</v>
      </c>
      <c r="C184" s="13">
        <v>46321.660416666666</v>
      </c>
      <c r="D184">
        <v>33799</v>
      </c>
      <c r="E184" s="54" t="s">
        <v>237</v>
      </c>
      <c r="F184" s="54" t="s">
        <v>478</v>
      </c>
      <c r="G184" s="54" t="s">
        <v>488</v>
      </c>
      <c r="H184" s="55">
        <v>12.1</v>
      </c>
      <c r="I184" s="55">
        <v>11.200000000000001</v>
      </c>
      <c r="J184" s="55">
        <v>10.7</v>
      </c>
      <c r="K184" s="54"/>
      <c r="L184" s="56" t="b">
        <v>0</v>
      </c>
      <c r="M184" s="56" t="b">
        <v>0</v>
      </c>
      <c r="N184" s="54">
        <v>0</v>
      </c>
      <c r="O184" s="54" t="s">
        <v>238</v>
      </c>
      <c r="P184" s="54">
        <v>24</v>
      </c>
      <c r="Q184" s="54">
        <v>1</v>
      </c>
      <c r="R184" s="54">
        <v>0</v>
      </c>
      <c r="S184" s="54" t="s">
        <v>480</v>
      </c>
      <c r="T184" s="54" t="s">
        <v>481</v>
      </c>
      <c r="U184" s="54" t="s">
        <v>482</v>
      </c>
      <c r="V184" s="54" t="s">
        <v>483</v>
      </c>
      <c r="W184" s="54" t="b">
        <v>0</v>
      </c>
      <c r="X184" s="54"/>
      <c r="Y184" s="57" t="s">
        <v>2297</v>
      </c>
      <c r="Z184" s="54" t="s">
        <v>2298</v>
      </c>
      <c r="AA184" s="54"/>
      <c r="AB184" s="54" t="s">
        <v>484</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60"/>
        <v>4.0600000000000005</v>
      </c>
      <c r="BG184" s="35">
        <f t="shared" si="360"/>
        <v>6.8672999999999998E-2</v>
      </c>
      <c r="BH184" s="35" t="str">
        <f t="shared" si="361"/>
        <v>?</v>
      </c>
      <c r="BI184" s="110" t="str">
        <f t="shared" si="362"/>
        <v/>
      </c>
      <c r="BJ184" s="83">
        <f>VLOOKUP($F184,REP_Info!$D$6:$H$250,5,FALSE)</f>
        <v>0.123</v>
      </c>
      <c r="BK184" s="30" t="e">
        <f t="shared" si="363"/>
        <v>#N/A</v>
      </c>
      <c r="BL184" s="30" t="e">
        <f t="shared" si="363"/>
        <v>#N/A</v>
      </c>
      <c r="BM184" s="30" t="e">
        <f t="shared" si="363"/>
        <v>#N/A</v>
      </c>
      <c r="BN184" s="29" t="e">
        <f t="shared" si="363"/>
        <v>#N/A</v>
      </c>
      <c r="BO184" s="85" t="str">
        <f t="shared" si="2"/>
        <v>$$$</v>
      </c>
      <c r="BP184" s="88" t="str">
        <f t="shared" si="364"/>
        <v>$$$</v>
      </c>
      <c r="BQ184" s="88" t="str">
        <f t="shared" si="4"/>
        <v>$$$</v>
      </c>
      <c r="BR184" s="88" t="str">
        <f t="shared" si="5"/>
        <v>$$$</v>
      </c>
      <c r="BS184" s="29" t="e">
        <f t="shared" si="365"/>
        <v>#N/A</v>
      </c>
      <c r="BT184" s="29" t="e">
        <f t="shared" si="365"/>
        <v>#N/A</v>
      </c>
      <c r="BU184" s="29" t="e">
        <f t="shared" si="365"/>
        <v>#N/A</v>
      </c>
      <c r="BV184" s="29" t="e">
        <f t="shared" si="365"/>
        <v>#N/A</v>
      </c>
      <c r="BW184" s="29" t="e">
        <f t="shared" si="365"/>
        <v>#N/A</v>
      </c>
      <c r="BX184" s="29" t="e">
        <f t="shared" si="365"/>
        <v>#N/A</v>
      </c>
      <c r="BY184" s="29" t="e">
        <f t="shared" si="365"/>
        <v>#N/A</v>
      </c>
      <c r="BZ184" s="29" t="e">
        <f t="shared" si="365"/>
        <v>#N/A</v>
      </c>
      <c r="CA184" s="29" t="e">
        <f t="shared" si="365"/>
        <v>#N/A</v>
      </c>
      <c r="CB184" s="29" t="e">
        <f t="shared" si="365"/>
        <v>#N/A</v>
      </c>
      <c r="CC184" s="29" t="e">
        <f t="shared" si="365"/>
        <v>#N/A</v>
      </c>
      <c r="CD184" s="29" t="e">
        <f t="shared" si="365"/>
        <v>#N/A</v>
      </c>
      <c r="CE184" s="6" t="str">
        <f t="shared" si="320"/>
        <v/>
      </c>
      <c r="CF184" s="27" t="e">
        <f>IF(AND(CI184,NOT(AD184)),LOOKUP(CF$5,{0,750,1500},H184:J184),"")</f>
        <v>#N/A</v>
      </c>
      <c r="CG184" s="6" t="str">
        <f t="shared" si="321"/>
        <v/>
      </c>
      <c r="CH184" t="e">
        <f t="shared" si="366"/>
        <v>#N/A</v>
      </c>
      <c r="CI184" t="e">
        <f t="shared" si="367"/>
        <v>#N/A</v>
      </c>
      <c r="CJ184" s="6" t="e">
        <f t="shared" si="11"/>
        <v>#N/A</v>
      </c>
      <c r="CK184" s="6">
        <f t="shared" si="12"/>
        <v>1</v>
      </c>
      <c r="CL184" s="6">
        <f t="shared" si="368"/>
        <v>1</v>
      </c>
      <c r="CM184" s="6">
        <f t="shared" si="13"/>
        <v>0</v>
      </c>
      <c r="CN184" s="6">
        <f t="shared" si="14"/>
        <v>0</v>
      </c>
      <c r="CO184" s="6">
        <f t="shared" si="15"/>
        <v>1</v>
      </c>
      <c r="CP184" s="6">
        <f t="shared" si="16"/>
        <v>1</v>
      </c>
      <c r="CQ184" s="6">
        <f t="shared" si="369"/>
        <v>1</v>
      </c>
      <c r="CR184" s="81" t="str">
        <f t="shared" si="17"/>
        <v/>
      </c>
      <c r="CS184">
        <f t="shared" si="370"/>
        <v>198</v>
      </c>
      <c r="CT184">
        <f t="shared" si="19"/>
        <v>0</v>
      </c>
      <c r="CU184" t="str">
        <f t="shared" si="371"/>
        <v/>
      </c>
      <c r="CV184" s="81">
        <f t="shared" si="372"/>
        <v>0</v>
      </c>
      <c r="CW184" s="81">
        <f>(CV184/25)^1.5*(Calculator!$BU$4/10000)*CW$5</f>
        <v>0</v>
      </c>
      <c r="CX184" t="str">
        <f t="shared" si="373"/>
        <v>$0</v>
      </c>
    </row>
    <row r="185" spans="2:102" x14ac:dyDescent="0.25">
      <c r="B185" s="115" t="s">
        <v>233</v>
      </c>
      <c r="C185" s="13">
        <v>46321.660416666666</v>
      </c>
      <c r="D185">
        <v>33813</v>
      </c>
      <c r="E185" s="54" t="s">
        <v>235</v>
      </c>
      <c r="F185" s="54" t="s">
        <v>478</v>
      </c>
      <c r="G185" s="54" t="s">
        <v>489</v>
      </c>
      <c r="H185" s="55">
        <v>11.899999999999999</v>
      </c>
      <c r="I185" s="55">
        <v>11.200000000000001</v>
      </c>
      <c r="J185" s="55">
        <v>10.9</v>
      </c>
      <c r="K185" s="54"/>
      <c r="L185" s="56" t="b">
        <v>0</v>
      </c>
      <c r="M185" s="56" t="b">
        <v>0</v>
      </c>
      <c r="N185" s="54">
        <v>1</v>
      </c>
      <c r="O185" s="54" t="s">
        <v>228</v>
      </c>
      <c r="P185" s="54">
        <v>24</v>
      </c>
      <c r="Q185" s="54">
        <v>3</v>
      </c>
      <c r="R185" s="54">
        <v>100</v>
      </c>
      <c r="S185" s="54" t="s">
        <v>480</v>
      </c>
      <c r="T185" s="54" t="s">
        <v>481</v>
      </c>
      <c r="U185" s="54" t="s">
        <v>482</v>
      </c>
      <c r="V185" s="54" t="s">
        <v>483</v>
      </c>
      <c r="W185" s="54" t="b">
        <v>0</v>
      </c>
      <c r="X185" s="54"/>
      <c r="Y185" s="57" t="s">
        <v>2299</v>
      </c>
      <c r="Z185" s="54" t="s">
        <v>2300</v>
      </c>
      <c r="AA185" s="54"/>
      <c r="AB185" s="54" t="s">
        <v>484</v>
      </c>
      <c r="AC185" s="56" t="b">
        <v>1</v>
      </c>
      <c r="AD185" s="56" t="b">
        <v>0</v>
      </c>
      <c r="AE185" s="54" t="s">
        <v>302</v>
      </c>
      <c r="AF185" s="58">
        <v>46321</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4.0099999999999997E-2</v>
      </c>
      <c r="BC185" s="60">
        <v>4.9000000000000004</v>
      </c>
      <c r="BD185" s="61">
        <v>6.5333000000000002E-2</v>
      </c>
      <c r="BE185" s="62" t="s">
        <v>293</v>
      </c>
      <c r="BF185" s="35">
        <f t="shared" si="360"/>
        <v>4.9000000000000004</v>
      </c>
      <c r="BG185" s="35">
        <f t="shared" si="360"/>
        <v>6.5333000000000002E-2</v>
      </c>
      <c r="BH185" s="35" t="str">
        <f t="shared" si="361"/>
        <v>Med</v>
      </c>
      <c r="BI185" s="110">
        <f t="shared" si="362"/>
        <v>0</v>
      </c>
      <c r="BJ185" s="83">
        <f>VLOOKUP($F185,REP_Info!$D$6:$H$250,5,FALSE)</f>
        <v>0.123</v>
      </c>
      <c r="BK185" s="30">
        <f t="shared" si="363"/>
        <v>11.923299999999999</v>
      </c>
      <c r="BL185" s="30">
        <f t="shared" si="363"/>
        <v>11.2333</v>
      </c>
      <c r="BM185" s="30">
        <f t="shared" si="363"/>
        <v>10.888299999999999</v>
      </c>
      <c r="BN185" s="29">
        <f t="shared" si="363"/>
        <v>10.773300000000001</v>
      </c>
      <c r="BO185" s="85" t="str">
        <f t="shared" si="2"/>
        <v>$$$</v>
      </c>
      <c r="BP185" s="88" t="str">
        <f t="shared" si="364"/>
        <v>$$$</v>
      </c>
      <c r="BQ185" s="88" t="str">
        <f t="shared" si="4"/>
        <v>$$$</v>
      </c>
      <c r="BR185" s="88" t="str">
        <f t="shared" si="5"/>
        <v>$$$</v>
      </c>
      <c r="BS185" s="29" t="e">
        <f t="shared" si="365"/>
        <v>#N/A</v>
      </c>
      <c r="BT185" s="29" t="e">
        <f t="shared" si="365"/>
        <v>#N/A</v>
      </c>
      <c r="BU185" s="29" t="e">
        <f t="shared" si="365"/>
        <v>#N/A</v>
      </c>
      <c r="BV185" s="29" t="e">
        <f t="shared" si="365"/>
        <v>#N/A</v>
      </c>
      <c r="BW185" s="29" t="e">
        <f t="shared" si="365"/>
        <v>#N/A</v>
      </c>
      <c r="BX185" s="29" t="e">
        <f t="shared" si="365"/>
        <v>#N/A</v>
      </c>
      <c r="BY185" s="29" t="e">
        <f t="shared" si="365"/>
        <v>#N/A</v>
      </c>
      <c r="BZ185" s="29" t="e">
        <f t="shared" si="365"/>
        <v>#N/A</v>
      </c>
      <c r="CA185" s="29" t="e">
        <f t="shared" si="365"/>
        <v>#N/A</v>
      </c>
      <c r="CB185" s="29" t="e">
        <f t="shared" si="365"/>
        <v>#N/A</v>
      </c>
      <c r="CC185" s="29" t="e">
        <f t="shared" si="365"/>
        <v>#N/A</v>
      </c>
      <c r="CD185" s="29" t="e">
        <f t="shared" si="365"/>
        <v>#N/A</v>
      </c>
      <c r="CE185" s="6" t="str">
        <f t="shared" si="320"/>
        <v/>
      </c>
      <c r="CF185" s="27" t="e">
        <f>IF(AND(CI185,NOT(AD185)),LOOKUP(CF$5,{0,750,1500},H185:J185),"")</f>
        <v>#N/A</v>
      </c>
      <c r="CG185" s="6" t="str">
        <f t="shared" si="321"/>
        <v/>
      </c>
      <c r="CH185" t="e">
        <f t="shared" si="366"/>
        <v>#N/A</v>
      </c>
      <c r="CI185" t="e">
        <f t="shared" si="367"/>
        <v>#N/A</v>
      </c>
      <c r="CJ185" s="6" t="e">
        <f t="shared" si="11"/>
        <v>#N/A</v>
      </c>
      <c r="CK185" s="6">
        <f t="shared" si="12"/>
        <v>1</v>
      </c>
      <c r="CL185" s="6">
        <f t="shared" si="368"/>
        <v>1</v>
      </c>
      <c r="CM185" s="6">
        <f t="shared" si="13"/>
        <v>1</v>
      </c>
      <c r="CN185" s="6">
        <f t="shared" si="14"/>
        <v>0</v>
      </c>
      <c r="CO185" s="6">
        <f t="shared" si="15"/>
        <v>1</v>
      </c>
      <c r="CP185" s="6">
        <f t="shared" si="16"/>
        <v>1</v>
      </c>
      <c r="CQ185" s="6">
        <f t="shared" si="369"/>
        <v>1</v>
      </c>
      <c r="CR185" s="81" t="str">
        <f t="shared" si="17"/>
        <v/>
      </c>
      <c r="CS185">
        <f t="shared" si="370"/>
        <v>54</v>
      </c>
      <c r="CT185">
        <f t="shared" si="19"/>
        <v>100</v>
      </c>
      <c r="CU185" t="str">
        <f t="shared" si="371"/>
        <v/>
      </c>
      <c r="CV185" s="81">
        <f t="shared" si="372"/>
        <v>100</v>
      </c>
      <c r="CW185" s="81">
        <f>(CV185/25)^1.5*(Calculator!$BU$4/10000)*CW$5</f>
        <v>4.1604480000000077</v>
      </c>
      <c r="CX185" t="str">
        <f t="shared" si="373"/>
        <v>$100</v>
      </c>
    </row>
    <row r="186" spans="2:102" x14ac:dyDescent="0.25">
      <c r="B186" s="115" t="s">
        <v>233</v>
      </c>
      <c r="C186" s="13">
        <v>46321.660416666666</v>
      </c>
      <c r="D186">
        <v>33814</v>
      </c>
      <c r="E186" s="54" t="s">
        <v>237</v>
      </c>
      <c r="F186" s="54" t="s">
        <v>478</v>
      </c>
      <c r="G186" s="54" t="s">
        <v>489</v>
      </c>
      <c r="H186" s="55">
        <v>12.8</v>
      </c>
      <c r="I186" s="55">
        <v>12.2</v>
      </c>
      <c r="J186" s="55">
        <v>11.899999999999999</v>
      </c>
      <c r="K186" s="54"/>
      <c r="L186" s="56" t="b">
        <v>0</v>
      </c>
      <c r="M186" s="56" t="b">
        <v>0</v>
      </c>
      <c r="N186" s="54">
        <v>1</v>
      </c>
      <c r="O186" s="54" t="s">
        <v>228</v>
      </c>
      <c r="P186" s="54">
        <v>24</v>
      </c>
      <c r="Q186" s="54">
        <v>3</v>
      </c>
      <c r="R186" s="54">
        <v>100</v>
      </c>
      <c r="S186" s="54" t="s">
        <v>480</v>
      </c>
      <c r="T186" s="54" t="s">
        <v>481</v>
      </c>
      <c r="U186" s="54" t="s">
        <v>482</v>
      </c>
      <c r="V186" s="54" t="s">
        <v>483</v>
      </c>
      <c r="W186" s="54" t="b">
        <v>0</v>
      </c>
      <c r="X186" s="54"/>
      <c r="Y186" s="57" t="s">
        <v>2301</v>
      </c>
      <c r="Z186" s="54" t="s">
        <v>2302</v>
      </c>
      <c r="AA186" s="54"/>
      <c r="AB186" s="54" t="s">
        <v>484</v>
      </c>
      <c r="AC186" s="56" t="b">
        <v>1</v>
      </c>
      <c r="AD186" s="56" t="b">
        <v>0</v>
      </c>
      <c r="AE186" s="54" t="s">
        <v>302</v>
      </c>
      <c r="AF186" s="58">
        <v>46321</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4.7140000000000001E-2</v>
      </c>
      <c r="BC186" s="60">
        <v>4.0599999999999996</v>
      </c>
      <c r="BD186" s="61">
        <v>6.8672999999999998E-2</v>
      </c>
      <c r="BE186" s="62" t="s">
        <v>293</v>
      </c>
      <c r="BF186" s="35">
        <f t="shared" si="360"/>
        <v>4.0600000000000005</v>
      </c>
      <c r="BG186" s="35">
        <f t="shared" si="360"/>
        <v>6.8672999999999998E-2</v>
      </c>
      <c r="BH186" s="35" t="str">
        <f t="shared" si="361"/>
        <v>Med</v>
      </c>
      <c r="BI186" s="110">
        <f t="shared" si="362"/>
        <v>0</v>
      </c>
      <c r="BJ186" s="83">
        <f>VLOOKUP($F186,REP_Info!$D$6:$H$250,5,FALSE)</f>
        <v>0.123</v>
      </c>
      <c r="BK186" s="30">
        <f t="shared" si="363"/>
        <v>12.7933</v>
      </c>
      <c r="BL186" s="30">
        <f t="shared" si="363"/>
        <v>12.1873</v>
      </c>
      <c r="BM186" s="30">
        <f t="shared" si="363"/>
        <v>11.884300000000001</v>
      </c>
      <c r="BN186" s="29">
        <f t="shared" si="363"/>
        <v>11.783300000000001</v>
      </c>
      <c r="BO186" s="85" t="str">
        <f t="shared" si="2"/>
        <v>$$$</v>
      </c>
      <c r="BP186" s="88" t="str">
        <f t="shared" si="364"/>
        <v>$$$</v>
      </c>
      <c r="BQ186" s="88" t="str">
        <f t="shared" si="4"/>
        <v>$$$</v>
      </c>
      <c r="BR186" s="88" t="str">
        <f t="shared" si="5"/>
        <v>$$$</v>
      </c>
      <c r="BS186" s="29" t="e">
        <f t="shared" si="365"/>
        <v>#N/A</v>
      </c>
      <c r="BT186" s="29" t="e">
        <f t="shared" si="365"/>
        <v>#N/A</v>
      </c>
      <c r="BU186" s="29" t="e">
        <f t="shared" si="365"/>
        <v>#N/A</v>
      </c>
      <c r="BV186" s="29" t="e">
        <f t="shared" si="365"/>
        <v>#N/A</v>
      </c>
      <c r="BW186" s="29" t="e">
        <f t="shared" si="365"/>
        <v>#N/A</v>
      </c>
      <c r="BX186" s="29" t="e">
        <f t="shared" si="365"/>
        <v>#N/A</v>
      </c>
      <c r="BY186" s="29" t="e">
        <f t="shared" si="365"/>
        <v>#N/A</v>
      </c>
      <c r="BZ186" s="29" t="e">
        <f t="shared" si="365"/>
        <v>#N/A</v>
      </c>
      <c r="CA186" s="29" t="e">
        <f t="shared" si="365"/>
        <v>#N/A</v>
      </c>
      <c r="CB186" s="29" t="e">
        <f t="shared" si="365"/>
        <v>#N/A</v>
      </c>
      <c r="CC186" s="29" t="e">
        <f t="shared" si="365"/>
        <v>#N/A</v>
      </c>
      <c r="CD186" s="29" t="e">
        <f t="shared" si="365"/>
        <v>#N/A</v>
      </c>
      <c r="CE186" s="6" t="str">
        <f t="shared" si="320"/>
        <v/>
      </c>
      <c r="CF186" s="27" t="e">
        <f>IF(AND(CI186,NOT(AD186)),LOOKUP(CF$5,{0,750,1500},H186:J186),"")</f>
        <v>#N/A</v>
      </c>
      <c r="CG186" s="6" t="str">
        <f t="shared" si="321"/>
        <v/>
      </c>
      <c r="CH186" t="e">
        <f t="shared" si="366"/>
        <v>#N/A</v>
      </c>
      <c r="CI186" t="e">
        <f t="shared" si="367"/>
        <v>#N/A</v>
      </c>
      <c r="CJ186" s="6" t="e">
        <f t="shared" si="11"/>
        <v>#N/A</v>
      </c>
      <c r="CK186" s="6">
        <f t="shared" si="12"/>
        <v>1</v>
      </c>
      <c r="CL186" s="6">
        <f t="shared" si="368"/>
        <v>1</v>
      </c>
      <c r="CM186" s="6">
        <f t="shared" si="13"/>
        <v>1</v>
      </c>
      <c r="CN186" s="6">
        <f t="shared" si="14"/>
        <v>0</v>
      </c>
      <c r="CO186" s="6">
        <f t="shared" si="15"/>
        <v>1</v>
      </c>
      <c r="CP186" s="6">
        <f t="shared" si="16"/>
        <v>1</v>
      </c>
      <c r="CQ186" s="6">
        <f t="shared" si="369"/>
        <v>1</v>
      </c>
      <c r="CR186" s="81" t="str">
        <f t="shared" si="17"/>
        <v/>
      </c>
      <c r="CS186">
        <f t="shared" si="370"/>
        <v>54</v>
      </c>
      <c r="CT186">
        <f t="shared" si="19"/>
        <v>100</v>
      </c>
      <c r="CU186" t="str">
        <f t="shared" si="371"/>
        <v/>
      </c>
      <c r="CV186" s="81">
        <f t="shared" si="372"/>
        <v>100</v>
      </c>
      <c r="CW186" s="81">
        <f>(CV186/25)^1.5*(Calculator!$BU$4/10000)*CW$5</f>
        <v>4.1604480000000077</v>
      </c>
      <c r="CX186" t="str">
        <f t="shared" si="373"/>
        <v>$100</v>
      </c>
    </row>
    <row r="187" spans="2:102" x14ac:dyDescent="0.25">
      <c r="B187" s="115" t="s">
        <v>233</v>
      </c>
      <c r="C187" s="13">
        <v>46321.660416666666</v>
      </c>
      <c r="D187">
        <v>33853</v>
      </c>
      <c r="E187" s="54" t="s">
        <v>235</v>
      </c>
      <c r="F187" s="54" t="s">
        <v>478</v>
      </c>
      <c r="G187" s="54" t="s">
        <v>490</v>
      </c>
      <c r="H187" s="55">
        <v>12.9</v>
      </c>
      <c r="I187" s="55">
        <v>12.2</v>
      </c>
      <c r="J187" s="55">
        <v>11.899999999999999</v>
      </c>
      <c r="K187" s="54"/>
      <c r="L187" s="56" t="b">
        <v>0</v>
      </c>
      <c r="M187" s="56" t="b">
        <v>0</v>
      </c>
      <c r="N187" s="54">
        <v>1</v>
      </c>
      <c r="O187" s="54" t="s">
        <v>228</v>
      </c>
      <c r="P187" s="54">
        <v>24</v>
      </c>
      <c r="Q187" s="54">
        <v>6</v>
      </c>
      <c r="R187" s="54">
        <v>150</v>
      </c>
      <c r="S187" s="54" t="s">
        <v>480</v>
      </c>
      <c r="T187" s="54" t="s">
        <v>481</v>
      </c>
      <c r="U187" s="54" t="s">
        <v>482</v>
      </c>
      <c r="V187" s="54" t="s">
        <v>483</v>
      </c>
      <c r="W187" s="54" t="b">
        <v>0</v>
      </c>
      <c r="X187" s="54"/>
      <c r="Y187" s="57" t="s">
        <v>2303</v>
      </c>
      <c r="Z187" s="54" t="s">
        <v>2304</v>
      </c>
      <c r="AA187" s="54"/>
      <c r="AB187" s="54" t="s">
        <v>484</v>
      </c>
      <c r="AC187" s="56" t="b">
        <v>1</v>
      </c>
      <c r="AD187" s="56" t="b">
        <v>0</v>
      </c>
      <c r="AE187" s="54" t="s">
        <v>302</v>
      </c>
      <c r="AF187" s="58">
        <v>46321</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4.9849999999999998E-2</v>
      </c>
      <c r="BC187" s="60">
        <v>4.9000000000000004</v>
      </c>
      <c r="BD187" s="61">
        <v>6.5333000000000002E-2</v>
      </c>
      <c r="BE187" s="62" t="s">
        <v>293</v>
      </c>
      <c r="BF187" s="35">
        <f t="shared" si="360"/>
        <v>4.9000000000000004</v>
      </c>
      <c r="BG187" s="35">
        <f t="shared" si="360"/>
        <v>6.5333000000000002E-2</v>
      </c>
      <c r="BH187" s="35" t="str">
        <f t="shared" si="361"/>
        <v>Med</v>
      </c>
      <c r="BI187" s="110">
        <f t="shared" si="362"/>
        <v>0</v>
      </c>
      <c r="BJ187" s="83">
        <f>VLOOKUP($F187,REP_Info!$D$6:$H$250,5,FALSE)</f>
        <v>0.123</v>
      </c>
      <c r="BK187" s="30">
        <f t="shared" si="363"/>
        <v>12.898300000000001</v>
      </c>
      <c r="BL187" s="30">
        <f t="shared" si="363"/>
        <v>12.208299999999999</v>
      </c>
      <c r="BM187" s="30">
        <f t="shared" si="363"/>
        <v>11.863300000000001</v>
      </c>
      <c r="BN187" s="29">
        <f t="shared" si="363"/>
        <v>11.748299999999999</v>
      </c>
      <c r="BO187" s="85" t="str">
        <f t="shared" si="2"/>
        <v>$$$</v>
      </c>
      <c r="BP187" s="88" t="str">
        <f t="shared" si="364"/>
        <v>$$$</v>
      </c>
      <c r="BQ187" s="88" t="str">
        <f t="shared" si="4"/>
        <v>$$$</v>
      </c>
      <c r="BR187" s="88" t="str">
        <f t="shared" si="5"/>
        <v>$$$</v>
      </c>
      <c r="BS187" s="29" t="e">
        <f t="shared" si="365"/>
        <v>#N/A</v>
      </c>
      <c r="BT187" s="29" t="e">
        <f t="shared" si="365"/>
        <v>#N/A</v>
      </c>
      <c r="BU187" s="29" t="e">
        <f t="shared" si="365"/>
        <v>#N/A</v>
      </c>
      <c r="BV187" s="29" t="e">
        <f t="shared" si="365"/>
        <v>#N/A</v>
      </c>
      <c r="BW187" s="29" t="e">
        <f t="shared" si="365"/>
        <v>#N/A</v>
      </c>
      <c r="BX187" s="29" t="e">
        <f t="shared" si="365"/>
        <v>#N/A</v>
      </c>
      <c r="BY187" s="29" t="e">
        <f t="shared" si="365"/>
        <v>#N/A</v>
      </c>
      <c r="BZ187" s="29" t="e">
        <f t="shared" si="365"/>
        <v>#N/A</v>
      </c>
      <c r="CA187" s="29" t="e">
        <f t="shared" si="365"/>
        <v>#N/A</v>
      </c>
      <c r="CB187" s="29" t="e">
        <f t="shared" si="365"/>
        <v>#N/A</v>
      </c>
      <c r="CC187" s="29" t="e">
        <f t="shared" si="365"/>
        <v>#N/A</v>
      </c>
      <c r="CD187" s="29" t="e">
        <f t="shared" si="365"/>
        <v>#N/A</v>
      </c>
      <c r="CE187" s="6" t="str">
        <f t="shared" si="320"/>
        <v/>
      </c>
      <c r="CF187" s="27" t="e">
        <f>IF(AND(CI187,NOT(AD187)),LOOKUP(CF$5,{0,750,1500},H187:J187),"")</f>
        <v>#N/A</v>
      </c>
      <c r="CG187" s="6" t="str">
        <f t="shared" si="321"/>
        <v/>
      </c>
      <c r="CH187" t="e">
        <f t="shared" si="366"/>
        <v>#N/A</v>
      </c>
      <c r="CI187" t="e">
        <f t="shared" si="367"/>
        <v>#N/A</v>
      </c>
      <c r="CJ187" s="6" t="e">
        <f t="shared" si="11"/>
        <v>#N/A</v>
      </c>
      <c r="CK187" s="6">
        <f t="shared" si="12"/>
        <v>1</v>
      </c>
      <c r="CL187" s="6">
        <f t="shared" si="368"/>
        <v>1</v>
      </c>
      <c r="CM187" s="6">
        <f t="shared" si="13"/>
        <v>1</v>
      </c>
      <c r="CN187" s="6">
        <f t="shared" si="14"/>
        <v>0</v>
      </c>
      <c r="CO187" s="6">
        <f t="shared" si="15"/>
        <v>1</v>
      </c>
      <c r="CP187" s="6">
        <f t="shared" si="16"/>
        <v>1</v>
      </c>
      <c r="CQ187" s="6">
        <f t="shared" si="369"/>
        <v>1</v>
      </c>
      <c r="CR187" s="81" t="str">
        <f t="shared" si="17"/>
        <v/>
      </c>
      <c r="CS187">
        <f t="shared" si="370"/>
        <v>18</v>
      </c>
      <c r="CT187">
        <f t="shared" si="19"/>
        <v>150</v>
      </c>
      <c r="CU187" t="str">
        <f t="shared" si="371"/>
        <v/>
      </c>
      <c r="CV187" s="81">
        <f t="shared" si="372"/>
        <v>150</v>
      </c>
      <c r="CW187" s="81">
        <f>(CV187/25)^1.5*(Calculator!$BU$4/10000)*CW$5</f>
        <v>7.6432310260371077</v>
      </c>
      <c r="CX187" t="str">
        <f t="shared" si="373"/>
        <v>$150</v>
      </c>
    </row>
    <row r="188" spans="2:102" x14ac:dyDescent="0.25">
      <c r="B188" s="115" t="s">
        <v>233</v>
      </c>
      <c r="C188" s="13">
        <v>46321.660416666666</v>
      </c>
      <c r="D188">
        <v>33854</v>
      </c>
      <c r="E188" s="54" t="s">
        <v>237</v>
      </c>
      <c r="F188" s="54" t="s">
        <v>478</v>
      </c>
      <c r="G188" s="54" t="s">
        <v>490</v>
      </c>
      <c r="H188" s="55">
        <v>13.3</v>
      </c>
      <c r="I188" s="55">
        <v>12.7</v>
      </c>
      <c r="J188" s="55">
        <v>12.4</v>
      </c>
      <c r="K188" s="54"/>
      <c r="L188" s="56" t="b">
        <v>0</v>
      </c>
      <c r="M188" s="56" t="b">
        <v>0</v>
      </c>
      <c r="N188" s="54">
        <v>1</v>
      </c>
      <c r="O188" s="54" t="s">
        <v>228</v>
      </c>
      <c r="P188" s="54">
        <v>24</v>
      </c>
      <c r="Q188" s="54">
        <v>6</v>
      </c>
      <c r="R188" s="54">
        <v>150</v>
      </c>
      <c r="S188" s="54" t="s">
        <v>480</v>
      </c>
      <c r="T188" s="54" t="s">
        <v>481</v>
      </c>
      <c r="U188" s="54" t="s">
        <v>482</v>
      </c>
      <c r="V188" s="54" t="s">
        <v>483</v>
      </c>
      <c r="W188" s="54" t="b">
        <v>0</v>
      </c>
      <c r="X188" s="54"/>
      <c r="Y188" s="57" t="s">
        <v>2305</v>
      </c>
      <c r="Z188" s="54" t="s">
        <v>2306</v>
      </c>
      <c r="AA188" s="54"/>
      <c r="AB188" s="54" t="s">
        <v>484</v>
      </c>
      <c r="AC188" s="56" t="b">
        <v>1</v>
      </c>
      <c r="AD188" s="56" t="b">
        <v>0</v>
      </c>
      <c r="AE188" s="54" t="s">
        <v>302</v>
      </c>
      <c r="AF188" s="58">
        <v>46321</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5.1799999999999999E-2</v>
      </c>
      <c r="BC188" s="60">
        <v>4.0599999999999996</v>
      </c>
      <c r="BD188" s="61">
        <v>6.8672999999999998E-2</v>
      </c>
      <c r="BE188" s="62" t="s">
        <v>293</v>
      </c>
      <c r="BF188" s="35">
        <f t="shared" si="360"/>
        <v>4.0600000000000005</v>
      </c>
      <c r="BG188" s="35">
        <f t="shared" si="360"/>
        <v>6.8672999999999998E-2</v>
      </c>
      <c r="BH188" s="35" t="str">
        <f t="shared" si="361"/>
        <v>Med</v>
      </c>
      <c r="BI188" s="110">
        <f t="shared" si="362"/>
        <v>0</v>
      </c>
      <c r="BJ188" s="83">
        <f>VLOOKUP($F188,REP_Info!$D$6:$H$250,5,FALSE)</f>
        <v>0.123</v>
      </c>
      <c r="BK188" s="30">
        <f t="shared" si="363"/>
        <v>13.259300000000001</v>
      </c>
      <c r="BL188" s="30">
        <f t="shared" si="363"/>
        <v>12.6533</v>
      </c>
      <c r="BM188" s="30">
        <f t="shared" si="363"/>
        <v>12.350299999999999</v>
      </c>
      <c r="BN188" s="29">
        <f t="shared" si="363"/>
        <v>12.2493</v>
      </c>
      <c r="BO188" s="85" t="str">
        <f t="shared" si="2"/>
        <v>$$$</v>
      </c>
      <c r="BP188" s="88" t="str">
        <f t="shared" si="364"/>
        <v>$$$</v>
      </c>
      <c r="BQ188" s="88" t="str">
        <f t="shared" si="4"/>
        <v>$$$</v>
      </c>
      <c r="BR188" s="88" t="str">
        <f t="shared" si="5"/>
        <v>$$$</v>
      </c>
      <c r="BS188" s="29" t="e">
        <f t="shared" si="365"/>
        <v>#N/A</v>
      </c>
      <c r="BT188" s="29" t="e">
        <f t="shared" si="365"/>
        <v>#N/A</v>
      </c>
      <c r="BU188" s="29" t="e">
        <f t="shared" si="365"/>
        <v>#N/A</v>
      </c>
      <c r="BV188" s="29" t="e">
        <f t="shared" si="365"/>
        <v>#N/A</v>
      </c>
      <c r="BW188" s="29" t="e">
        <f t="shared" si="365"/>
        <v>#N/A</v>
      </c>
      <c r="BX188" s="29" t="e">
        <f t="shared" si="365"/>
        <v>#N/A</v>
      </c>
      <c r="BY188" s="29" t="e">
        <f t="shared" si="365"/>
        <v>#N/A</v>
      </c>
      <c r="BZ188" s="29" t="e">
        <f t="shared" si="365"/>
        <v>#N/A</v>
      </c>
      <c r="CA188" s="29" t="e">
        <f t="shared" si="365"/>
        <v>#N/A</v>
      </c>
      <c r="CB188" s="29" t="e">
        <f t="shared" si="365"/>
        <v>#N/A</v>
      </c>
      <c r="CC188" s="29" t="e">
        <f t="shared" si="365"/>
        <v>#N/A</v>
      </c>
      <c r="CD188" s="29" t="e">
        <f t="shared" si="365"/>
        <v>#N/A</v>
      </c>
      <c r="CE188" s="6" t="str">
        <f t="shared" si="320"/>
        <v/>
      </c>
      <c r="CF188" s="27" t="e">
        <f>IF(AND(CI188,NOT(AD188)),LOOKUP(CF$5,{0,750,1500},H188:J188),"")</f>
        <v>#N/A</v>
      </c>
      <c r="CG188" s="6" t="str">
        <f t="shared" si="321"/>
        <v/>
      </c>
      <c r="CH188" t="e">
        <f t="shared" si="366"/>
        <v>#N/A</v>
      </c>
      <c r="CI188" t="e">
        <f t="shared" si="367"/>
        <v>#N/A</v>
      </c>
      <c r="CJ188" s="6" t="e">
        <f t="shared" si="11"/>
        <v>#N/A</v>
      </c>
      <c r="CK188" s="6">
        <f t="shared" si="12"/>
        <v>1</v>
      </c>
      <c r="CL188" s="6">
        <f t="shared" si="368"/>
        <v>1</v>
      </c>
      <c r="CM188" s="6">
        <f t="shared" si="13"/>
        <v>1</v>
      </c>
      <c r="CN188" s="6">
        <f t="shared" si="14"/>
        <v>0</v>
      </c>
      <c r="CO188" s="6">
        <f t="shared" si="15"/>
        <v>1</v>
      </c>
      <c r="CP188" s="6">
        <f t="shared" si="16"/>
        <v>1</v>
      </c>
      <c r="CQ188" s="6">
        <f t="shared" si="369"/>
        <v>1</v>
      </c>
      <c r="CR188" s="81" t="str">
        <f t="shared" si="17"/>
        <v/>
      </c>
      <c r="CS188">
        <f t="shared" si="370"/>
        <v>18</v>
      </c>
      <c r="CT188">
        <f t="shared" si="19"/>
        <v>150</v>
      </c>
      <c r="CU188" t="str">
        <f t="shared" si="371"/>
        <v/>
      </c>
      <c r="CV188" s="81">
        <f t="shared" si="372"/>
        <v>150</v>
      </c>
      <c r="CW188" s="81">
        <f>(CV188/25)^1.5*(Calculator!$BU$4/10000)*CW$5</f>
        <v>7.6432310260371077</v>
      </c>
      <c r="CX188" t="str">
        <f t="shared" si="373"/>
        <v>$150</v>
      </c>
    </row>
    <row r="189" spans="2:102" x14ac:dyDescent="0.25">
      <c r="B189" s="115" t="s">
        <v>233</v>
      </c>
      <c r="C189" s="13">
        <v>46321.660416666666</v>
      </c>
      <c r="D189">
        <v>33933</v>
      </c>
      <c r="E189" s="54" t="s">
        <v>235</v>
      </c>
      <c r="F189" s="54" t="s">
        <v>478</v>
      </c>
      <c r="G189" s="54" t="s">
        <v>491</v>
      </c>
      <c r="H189" s="55">
        <v>13.5</v>
      </c>
      <c r="I189" s="55">
        <v>12.8</v>
      </c>
      <c r="J189" s="55">
        <v>12.5</v>
      </c>
      <c r="K189" s="54"/>
      <c r="L189" s="56" t="b">
        <v>0</v>
      </c>
      <c r="M189" s="56" t="b">
        <v>0</v>
      </c>
      <c r="N189" s="54">
        <v>1</v>
      </c>
      <c r="O189" s="54" t="s">
        <v>228</v>
      </c>
      <c r="P189" s="54">
        <v>24</v>
      </c>
      <c r="Q189" s="54">
        <v>12</v>
      </c>
      <c r="R189" s="54">
        <v>200</v>
      </c>
      <c r="S189" s="54" t="s">
        <v>480</v>
      </c>
      <c r="T189" s="54" t="s">
        <v>481</v>
      </c>
      <c r="U189" s="54" t="s">
        <v>482</v>
      </c>
      <c r="V189" s="54" t="s">
        <v>483</v>
      </c>
      <c r="W189" s="54" t="b">
        <v>0</v>
      </c>
      <c r="X189" s="54"/>
      <c r="Y189" s="57" t="s">
        <v>2307</v>
      </c>
      <c r="Z189" s="54" t="s">
        <v>2308</v>
      </c>
      <c r="AA189" s="54"/>
      <c r="AB189" s="54" t="s">
        <v>484</v>
      </c>
      <c r="AC189" s="56" t="b">
        <v>1</v>
      </c>
      <c r="AD189" s="56" t="b">
        <v>0</v>
      </c>
      <c r="AE189" s="54" t="s">
        <v>302</v>
      </c>
      <c r="AF189" s="58">
        <v>46321</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5.6149999999999999E-2</v>
      </c>
      <c r="BC189" s="60">
        <v>4.9000000000000004</v>
      </c>
      <c r="BD189" s="61">
        <v>6.5333000000000002E-2</v>
      </c>
      <c r="BE189" s="62" t="s">
        <v>293</v>
      </c>
      <c r="BF189" s="35">
        <f t="shared" ref="BF189:BG194" si="374">IF($E189=$E$4,BF$4,IF($E189=$E$5,BF$5,""))</f>
        <v>4.9000000000000004</v>
      </c>
      <c r="BG189" s="35">
        <f t="shared" si="374"/>
        <v>6.5333000000000002E-2</v>
      </c>
      <c r="BH189" s="35" t="str">
        <f t="shared" ref="BH189:BH194" si="375">IF(ISTEXT(BE189),IF(AND(AV189=0,SUM(AN189:AQ189)=0),IF(AM189&lt;=0,IF(BE189="Y","Low","Flat"),"Med"),"High"),"?")</f>
        <v>Med</v>
      </c>
      <c r="BI189" s="110">
        <f t="shared" ref="BI189:BI194" si="376">IF(ISNUMBER(AH189),0*BI$5*SIN((EDATE($A$3,$Q189)-DATE(YEAR(EDATE($A$3,$Q189)),1,0)-BI$4)*2*PI()/365),"")</f>
        <v>0</v>
      </c>
      <c r="BJ189" s="83">
        <f>VLOOKUP($F189,REP_Info!$D$6:$H$250,5,FALSE)</f>
        <v>0.123</v>
      </c>
      <c r="BK189" s="30">
        <f t="shared" ref="BK189:BN194" si="377">IF(BK$7&gt;0,(LOOKUP(BK$7,$AH189:$AL189,$AM189:$AQ189)+IF($AG189="Y",SUMPRODUCT($AX189:$BB189-$AW189:$BA189,BK$7-$AR189:$AV189,N(BK$7&gt;$AR189:$AV189)),BK$7*LOOKUP(BK$7,$AR189:$AV189,$AX189:$BB189))+IF($BE189="Y",$BF189,$BC189)+BK$7*IF($BE189="Y",$BG189,$BD189))*100/BK$7,"")</f>
        <v>13.528300000000002</v>
      </c>
      <c r="BL189" s="30">
        <f t="shared" si="377"/>
        <v>12.838299999999997</v>
      </c>
      <c r="BM189" s="30">
        <f t="shared" si="377"/>
        <v>12.4933</v>
      </c>
      <c r="BN189" s="29">
        <f t="shared" si="377"/>
        <v>12.378300000000001</v>
      </c>
      <c r="BO189" s="85" t="str">
        <f t="shared" si="2"/>
        <v>$$$</v>
      </c>
      <c r="BP189" s="88" t="str">
        <f t="shared" ref="BP189:BP194" si="378">IFERROR(BO189*100/BO$5,"$$$")</f>
        <v>$$$</v>
      </c>
      <c r="BQ189" s="88" t="str">
        <f t="shared" si="4"/>
        <v>$$$</v>
      </c>
      <c r="BR189" s="88" t="str">
        <f t="shared" si="5"/>
        <v>$$$</v>
      </c>
      <c r="BS189" s="29" t="e">
        <f t="shared" ref="BS189:CD194" si="379">IF($CI189,IF(BS$7&gt;0,IF(BS$4&gt;$Q189,$BF189+BS$7*(BS$5+$BG189+$BI189),LOOKUP(BS$7,$AH189:$AL189,$AM189:$AQ189)+IF($AG189="Y",SUMPRODUCT($AX189:$BB189-$AW189:$BA189,BS$7-$AR189:$AV189,N(BS$7&gt;$AR189:$AV189)),BS$7*LOOKUP(BS$7,$AR189:$AV189,$AX189:$BB189))+IF($BE189="Y",$BF189,$BC189)+BS$7*IF($BE189="Y",$BG189,$BD189))*100/BS$7,""),NA())</f>
        <v>#N/A</v>
      </c>
      <c r="BT189" s="29" t="e">
        <f t="shared" si="379"/>
        <v>#N/A</v>
      </c>
      <c r="BU189" s="29" t="e">
        <f t="shared" si="379"/>
        <v>#N/A</v>
      </c>
      <c r="BV189" s="29" t="e">
        <f t="shared" si="379"/>
        <v>#N/A</v>
      </c>
      <c r="BW189" s="29" t="e">
        <f t="shared" si="379"/>
        <v>#N/A</v>
      </c>
      <c r="BX189" s="29" t="e">
        <f t="shared" si="379"/>
        <v>#N/A</v>
      </c>
      <c r="BY189" s="29" t="e">
        <f t="shared" si="379"/>
        <v>#N/A</v>
      </c>
      <c r="BZ189" s="29" t="e">
        <f t="shared" si="379"/>
        <v>#N/A</v>
      </c>
      <c r="CA189" s="29" t="e">
        <f t="shared" si="379"/>
        <v>#N/A</v>
      </c>
      <c r="CB189" s="29" t="e">
        <f t="shared" si="379"/>
        <v>#N/A</v>
      </c>
      <c r="CC189" s="29" t="e">
        <f t="shared" si="379"/>
        <v>#N/A</v>
      </c>
      <c r="CD189" s="29" t="e">
        <f t="shared" si="379"/>
        <v>#N/A</v>
      </c>
      <c r="CE189" s="6" t="str">
        <f t="shared" si="320"/>
        <v/>
      </c>
      <c r="CF189" s="27" t="e">
        <f>IF(AND(CI189,NOT(AD189)),LOOKUP(CF$5,{0,750,1500},H189:J189),"")</f>
        <v>#N/A</v>
      </c>
      <c r="CG189" s="6" t="str">
        <f t="shared" si="321"/>
        <v/>
      </c>
      <c r="CH189" t="e">
        <f t="shared" ref="CH189:CH194" si="380">IF(CI189,IF(ISNUMBER(BO189),BO189,100000)+CV189/10000+IF(ISNUMBER(BJ189),BJ189,2)/10000-P189/100000+ROW()/10000000,"")</f>
        <v>#N/A</v>
      </c>
      <c r="CI189" t="e">
        <f t="shared" ref="CI189:CI194" si="381">PRODUCT(CJ189:CQ189)</f>
        <v>#N/A</v>
      </c>
      <c r="CJ189" s="6" t="e">
        <f t="shared" si="11"/>
        <v>#N/A</v>
      </c>
      <c r="CK189" s="6">
        <f t="shared" si="12"/>
        <v>1</v>
      </c>
      <c r="CL189" s="6">
        <f t="shared" ref="CL189:CL194" si="382">IFERROR(--OR(ISBLANK(CL$5),$BJ189="",AND(ISNUMBER($BJ189),$BJ189&lt;=CL$5)),1)</f>
        <v>1</v>
      </c>
      <c r="CM189" s="6">
        <f t="shared" si="13"/>
        <v>1</v>
      </c>
      <c r="CN189" s="6">
        <f t="shared" si="14"/>
        <v>1</v>
      </c>
      <c r="CO189" s="6">
        <f t="shared" si="15"/>
        <v>1</v>
      </c>
      <c r="CP189" s="6">
        <f t="shared" si="16"/>
        <v>1</v>
      </c>
      <c r="CQ189" s="6">
        <f t="shared" ref="CQ189:CQ194" si="383">IF(CQ$5="Any",1,IF(AND(CQ$5="Med",AV189=0,SUM(AN189:AQ189)=0),1,IF(AND(CQ$5="Low",AV189=0,SUM(AN189:AQ189)=0,AM189=0),1,IF(AND(CQ$5="Flat",AV189=0,SUM(AN189:AQ189)=0,AM189=0,IFERROR(NOT(BE189="Y"),0)),1,0))))</f>
        <v>1</v>
      </c>
      <c r="CR189" s="81" t="str">
        <f t="shared" si="17"/>
        <v/>
      </c>
      <c r="CS189">
        <f t="shared" ref="CS189:CS194" si="384">CS$5*(12/(MIN(12,Q189))-1)</f>
        <v>0</v>
      </c>
      <c r="CT189">
        <f t="shared" si="19"/>
        <v>200</v>
      </c>
      <c r="CU189" t="str">
        <f t="shared" ref="CU189:CU194" si="385">IF(AND(ISERR(FIND("remain",$R189)),ISERR(FIND("left",$R189))),"","r")&amp;IF(ISERR(FIND("mon",$R189)),"","m")</f>
        <v/>
      </c>
      <c r="CV189" s="81">
        <f t="shared" ref="CV189:CV194" si="386">CT189*IF(CU189="",1,Q189)</f>
        <v>200</v>
      </c>
      <c r="CW189" s="81">
        <f>(CV189/25)^1.5*(Calculator!$BU$4/10000)*CW$5</f>
        <v>11.767523974296054</v>
      </c>
      <c r="CX189" t="str">
        <f t="shared" ref="CX189:CX194" si="387">"$"&amp;IF(LEFT(CU189,1)="r",CT189&amp;"/"&amp;CU189,CV189)</f>
        <v>$200</v>
      </c>
    </row>
    <row r="190" spans="2:102" x14ac:dyDescent="0.25">
      <c r="B190" s="115" t="s">
        <v>233</v>
      </c>
      <c r="C190" s="13">
        <v>46321.660416666666</v>
      </c>
      <c r="D190">
        <v>33934</v>
      </c>
      <c r="E190" s="54" t="s">
        <v>237</v>
      </c>
      <c r="F190" s="54" t="s">
        <v>478</v>
      </c>
      <c r="G190" s="54" t="s">
        <v>491</v>
      </c>
      <c r="H190" s="55">
        <v>13.700000000000001</v>
      </c>
      <c r="I190" s="55">
        <v>13</v>
      </c>
      <c r="J190" s="55">
        <v>12.7</v>
      </c>
      <c r="K190" s="54"/>
      <c r="L190" s="56" t="b">
        <v>0</v>
      </c>
      <c r="M190" s="56" t="b">
        <v>0</v>
      </c>
      <c r="N190" s="54">
        <v>1</v>
      </c>
      <c r="O190" s="54" t="s">
        <v>228</v>
      </c>
      <c r="P190" s="54">
        <v>24</v>
      </c>
      <c r="Q190" s="54">
        <v>12</v>
      </c>
      <c r="R190" s="54">
        <v>200</v>
      </c>
      <c r="S190" s="54" t="s">
        <v>480</v>
      </c>
      <c r="T190" s="54" t="s">
        <v>481</v>
      </c>
      <c r="U190" s="54" t="s">
        <v>482</v>
      </c>
      <c r="V190" s="54" t="s">
        <v>483</v>
      </c>
      <c r="W190" s="54" t="b">
        <v>0</v>
      </c>
      <c r="X190" s="54"/>
      <c r="Y190" s="57" t="s">
        <v>2309</v>
      </c>
      <c r="Z190" s="54" t="s">
        <v>2310</v>
      </c>
      <c r="AA190" s="54"/>
      <c r="AB190" s="54" t="s">
        <v>484</v>
      </c>
      <c r="AC190" s="56" t="b">
        <v>1</v>
      </c>
      <c r="AD190" s="56" t="b">
        <v>0</v>
      </c>
      <c r="AE190" s="54" t="s">
        <v>302</v>
      </c>
      <c r="AF190" s="58">
        <v>46321</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5.5730000000000002E-2</v>
      </c>
      <c r="BC190" s="60">
        <v>4.0599999999999996</v>
      </c>
      <c r="BD190" s="61">
        <v>6.8672999999999998E-2</v>
      </c>
      <c r="BE190" s="62" t="s">
        <v>293</v>
      </c>
      <c r="BF190" s="35">
        <f t="shared" si="374"/>
        <v>4.0600000000000005</v>
      </c>
      <c r="BG190" s="35">
        <f t="shared" si="374"/>
        <v>6.8672999999999998E-2</v>
      </c>
      <c r="BH190" s="35" t="str">
        <f t="shared" si="375"/>
        <v>Med</v>
      </c>
      <c r="BI190" s="110">
        <f t="shared" si="376"/>
        <v>0</v>
      </c>
      <c r="BJ190" s="83">
        <f>VLOOKUP($F190,REP_Info!$D$6:$H$250,5,FALSE)</f>
        <v>0.123</v>
      </c>
      <c r="BK190" s="30">
        <f t="shared" si="377"/>
        <v>13.652300000000002</v>
      </c>
      <c r="BL190" s="30">
        <f t="shared" si="377"/>
        <v>13.046300000000002</v>
      </c>
      <c r="BM190" s="30">
        <f t="shared" si="377"/>
        <v>12.743300000000001</v>
      </c>
      <c r="BN190" s="29">
        <f t="shared" si="377"/>
        <v>12.642300000000001</v>
      </c>
      <c r="BO190" s="85" t="str">
        <f t="shared" si="2"/>
        <v>$$$</v>
      </c>
      <c r="BP190" s="88" t="str">
        <f t="shared" si="378"/>
        <v>$$$</v>
      </c>
      <c r="BQ190" s="88" t="str">
        <f t="shared" si="4"/>
        <v>$$$</v>
      </c>
      <c r="BR190" s="88" t="str">
        <f t="shared" si="5"/>
        <v>$$$</v>
      </c>
      <c r="BS190" s="29" t="e">
        <f t="shared" si="379"/>
        <v>#N/A</v>
      </c>
      <c r="BT190" s="29" t="e">
        <f t="shared" si="379"/>
        <v>#N/A</v>
      </c>
      <c r="BU190" s="29" t="e">
        <f t="shared" si="379"/>
        <v>#N/A</v>
      </c>
      <c r="BV190" s="29" t="e">
        <f t="shared" si="379"/>
        <v>#N/A</v>
      </c>
      <c r="BW190" s="29" t="e">
        <f t="shared" si="379"/>
        <v>#N/A</v>
      </c>
      <c r="BX190" s="29" t="e">
        <f t="shared" si="379"/>
        <v>#N/A</v>
      </c>
      <c r="BY190" s="29" t="e">
        <f t="shared" si="379"/>
        <v>#N/A</v>
      </c>
      <c r="BZ190" s="29" t="e">
        <f t="shared" si="379"/>
        <v>#N/A</v>
      </c>
      <c r="CA190" s="29" t="e">
        <f t="shared" si="379"/>
        <v>#N/A</v>
      </c>
      <c r="CB190" s="29" t="e">
        <f t="shared" si="379"/>
        <v>#N/A</v>
      </c>
      <c r="CC190" s="29" t="e">
        <f t="shared" si="379"/>
        <v>#N/A</v>
      </c>
      <c r="CD190" s="29" t="e">
        <f t="shared" si="379"/>
        <v>#N/A</v>
      </c>
      <c r="CE190" s="6" t="str">
        <f t="shared" si="320"/>
        <v/>
      </c>
      <c r="CF190" s="27" t="e">
        <f>IF(AND(CI190,NOT(AD190)),LOOKUP(CF$5,{0,750,1500},H190:J190),"")</f>
        <v>#N/A</v>
      </c>
      <c r="CG190" s="6" t="str">
        <f t="shared" si="321"/>
        <v/>
      </c>
      <c r="CH190" t="e">
        <f t="shared" si="380"/>
        <v>#N/A</v>
      </c>
      <c r="CI190" t="e">
        <f t="shared" si="381"/>
        <v>#N/A</v>
      </c>
      <c r="CJ190" s="6" t="e">
        <f t="shared" si="11"/>
        <v>#N/A</v>
      </c>
      <c r="CK190" s="6">
        <f t="shared" si="12"/>
        <v>1</v>
      </c>
      <c r="CL190" s="6">
        <f t="shared" si="382"/>
        <v>1</v>
      </c>
      <c r="CM190" s="6">
        <f t="shared" si="13"/>
        <v>1</v>
      </c>
      <c r="CN190" s="6">
        <f t="shared" si="14"/>
        <v>1</v>
      </c>
      <c r="CO190" s="6">
        <f t="shared" si="15"/>
        <v>1</v>
      </c>
      <c r="CP190" s="6">
        <f t="shared" si="16"/>
        <v>1</v>
      </c>
      <c r="CQ190" s="6">
        <f t="shared" si="383"/>
        <v>1</v>
      </c>
      <c r="CR190" s="81" t="str">
        <f t="shared" si="17"/>
        <v/>
      </c>
      <c r="CS190">
        <f t="shared" si="384"/>
        <v>0</v>
      </c>
      <c r="CT190">
        <f t="shared" si="19"/>
        <v>200</v>
      </c>
      <c r="CU190" t="str">
        <f t="shared" si="385"/>
        <v/>
      </c>
      <c r="CV190" s="81">
        <f t="shared" si="386"/>
        <v>200</v>
      </c>
      <c r="CW190" s="81">
        <f>(CV190/25)^1.5*(Calculator!$BU$4/10000)*CW$5</f>
        <v>11.767523974296054</v>
      </c>
      <c r="CX190" t="str">
        <f t="shared" si="387"/>
        <v>$200</v>
      </c>
    </row>
    <row r="191" spans="2:102" x14ac:dyDescent="0.25">
      <c r="B191" s="115" t="s">
        <v>233</v>
      </c>
      <c r="C191" s="13">
        <v>46321.660416666666</v>
      </c>
      <c r="D191">
        <v>34024</v>
      </c>
      <c r="E191" s="54" t="s">
        <v>235</v>
      </c>
      <c r="F191" s="54" t="s">
        <v>478</v>
      </c>
      <c r="G191" s="54" t="s">
        <v>492</v>
      </c>
      <c r="H191" s="55">
        <v>13.900000000000002</v>
      </c>
      <c r="I191" s="55">
        <v>13.200000000000001</v>
      </c>
      <c r="J191" s="55">
        <v>12.9</v>
      </c>
      <c r="K191" s="54"/>
      <c r="L191" s="56" t="b">
        <v>0</v>
      </c>
      <c r="M191" s="56" t="b">
        <v>0</v>
      </c>
      <c r="N191" s="54">
        <v>1</v>
      </c>
      <c r="O191" s="54" t="s">
        <v>228</v>
      </c>
      <c r="P191" s="54">
        <v>24</v>
      </c>
      <c r="Q191" s="54">
        <v>24</v>
      </c>
      <c r="R191" s="54">
        <v>300</v>
      </c>
      <c r="S191" s="54" t="s">
        <v>480</v>
      </c>
      <c r="T191" s="54" t="s">
        <v>481</v>
      </c>
      <c r="U191" s="54" t="s">
        <v>482</v>
      </c>
      <c r="V191" s="54" t="s">
        <v>483</v>
      </c>
      <c r="W191" s="54" t="b">
        <v>0</v>
      </c>
      <c r="X191" s="54"/>
      <c r="Y191" s="57" t="s">
        <v>2311</v>
      </c>
      <c r="Z191" s="54" t="s">
        <v>2312</v>
      </c>
      <c r="AA191" s="54"/>
      <c r="AB191" s="54" t="s">
        <v>484</v>
      </c>
      <c r="AC191" s="56" t="b">
        <v>1</v>
      </c>
      <c r="AD191" s="56" t="b">
        <v>0</v>
      </c>
      <c r="AE191" s="54" t="s">
        <v>302</v>
      </c>
      <c r="AF191" s="58">
        <v>46321</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5.9950000000000003E-2</v>
      </c>
      <c r="BC191" s="60">
        <v>4.9000000000000004</v>
      </c>
      <c r="BD191" s="61">
        <v>6.5333000000000002E-2</v>
      </c>
      <c r="BE191" s="62" t="s">
        <v>293</v>
      </c>
      <c r="BF191" s="35">
        <f t="shared" si="374"/>
        <v>4.9000000000000004</v>
      </c>
      <c r="BG191" s="35">
        <f t="shared" si="374"/>
        <v>6.5333000000000002E-2</v>
      </c>
      <c r="BH191" s="35" t="str">
        <f t="shared" si="375"/>
        <v>Med</v>
      </c>
      <c r="BI191" s="110">
        <f t="shared" si="376"/>
        <v>0</v>
      </c>
      <c r="BJ191" s="83">
        <f>VLOOKUP($F191,REP_Info!$D$6:$H$250,5,FALSE)</f>
        <v>0.123</v>
      </c>
      <c r="BK191" s="30">
        <f t="shared" si="377"/>
        <v>13.908299999999999</v>
      </c>
      <c r="BL191" s="30">
        <f t="shared" si="377"/>
        <v>13.218299999999999</v>
      </c>
      <c r="BM191" s="30">
        <f t="shared" si="377"/>
        <v>12.8733</v>
      </c>
      <c r="BN191" s="29">
        <f t="shared" si="377"/>
        <v>12.7583</v>
      </c>
      <c r="BO191" s="85" t="str">
        <f t="shared" ref="BO191:BO194" si="388">IFERROR(SUMPRODUCT($BS$7:$CD$7,$BS191:$CD191)/100,"$$$")</f>
        <v>$$$</v>
      </c>
      <c r="BP191" s="88" t="str">
        <f t="shared" si="378"/>
        <v>$$$</v>
      </c>
      <c r="BQ191" s="88" t="str">
        <f t="shared" si="4"/>
        <v>$$$</v>
      </c>
      <c r="BR191" s="88" t="str">
        <f t="shared" si="5"/>
        <v>$$$</v>
      </c>
      <c r="BS191" s="29" t="e">
        <f t="shared" si="379"/>
        <v>#N/A</v>
      </c>
      <c r="BT191" s="29" t="e">
        <f t="shared" si="379"/>
        <v>#N/A</v>
      </c>
      <c r="BU191" s="29" t="e">
        <f t="shared" si="379"/>
        <v>#N/A</v>
      </c>
      <c r="BV191" s="29" t="e">
        <f t="shared" si="379"/>
        <v>#N/A</v>
      </c>
      <c r="BW191" s="29" t="e">
        <f t="shared" si="379"/>
        <v>#N/A</v>
      </c>
      <c r="BX191" s="29" t="e">
        <f t="shared" si="379"/>
        <v>#N/A</v>
      </c>
      <c r="BY191" s="29" t="e">
        <f t="shared" si="379"/>
        <v>#N/A</v>
      </c>
      <c r="BZ191" s="29" t="e">
        <f t="shared" si="379"/>
        <v>#N/A</v>
      </c>
      <c r="CA191" s="29" t="e">
        <f t="shared" si="379"/>
        <v>#N/A</v>
      </c>
      <c r="CB191" s="29" t="e">
        <f t="shared" si="379"/>
        <v>#N/A</v>
      </c>
      <c r="CC191" s="29" t="e">
        <f t="shared" si="379"/>
        <v>#N/A</v>
      </c>
      <c r="CD191" s="29" t="e">
        <f t="shared" si="379"/>
        <v>#N/A</v>
      </c>
      <c r="CE191" s="6" t="str">
        <f t="shared" si="320"/>
        <v/>
      </c>
      <c r="CF191" s="27" t="e">
        <f>IF(AND(CI191,NOT(AD191)),LOOKUP(CF$5,{0,750,1500},H191:J191),"")</f>
        <v>#N/A</v>
      </c>
      <c r="CG191" s="6" t="str">
        <f t="shared" si="321"/>
        <v/>
      </c>
      <c r="CH191" t="e">
        <f t="shared" si="380"/>
        <v>#N/A</v>
      </c>
      <c r="CI191" t="e">
        <f t="shared" si="381"/>
        <v>#N/A</v>
      </c>
      <c r="CJ191" s="6" t="e">
        <f t="shared" ref="CJ191:CJ194" si="389">IF($E191=CJ$5,1,0)</f>
        <v>#N/A</v>
      </c>
      <c r="CK191" s="6">
        <f t="shared" ref="CK191:CK194" si="390">IF(CK$5="[Any]",1,IF($F191=CK$5,1,0))</f>
        <v>1</v>
      </c>
      <c r="CL191" s="6">
        <f t="shared" si="382"/>
        <v>1</v>
      </c>
      <c r="CM191" s="6">
        <f t="shared" ref="CM191:CM194" si="391">IF($O191="Fixed",1,0)</f>
        <v>1</v>
      </c>
      <c r="CN191" s="6">
        <f t="shared" ref="CN191:CN194" si="392">IF($Q191&gt;=CN$5,1,0)</f>
        <v>1</v>
      </c>
      <c r="CO191" s="6">
        <f t="shared" ref="CO191:CO194" si="393">IF($Q191&lt;=CO$5,1,0)</f>
        <v>0</v>
      </c>
      <c r="CP191" s="6">
        <f t="shared" ref="CP191:CP194" si="394">IF($P191&gt;=CP$5,1,0)</f>
        <v>1</v>
      </c>
      <c r="CQ191" s="6">
        <f t="shared" si="383"/>
        <v>1</v>
      </c>
      <c r="CR191" s="81" t="str">
        <f t="shared" ref="CR191:CR194" si="395">IF(ISNUMBER($CH191),$CH191+$CS191+$CW191,"")</f>
        <v/>
      </c>
      <c r="CS191">
        <f t="shared" si="384"/>
        <v>0</v>
      </c>
      <c r="CT191">
        <f t="shared" si="19"/>
        <v>300</v>
      </c>
      <c r="CU191" t="str">
        <f t="shared" si="385"/>
        <v/>
      </c>
      <c r="CV191" s="81">
        <f t="shared" si="386"/>
        <v>300</v>
      </c>
      <c r="CW191" s="81">
        <f>(CV191/25)^1.5*(Calculator!$BU$4/10000)*CW$5</f>
        <v>21.618321954745014</v>
      </c>
      <c r="CX191" t="str">
        <f t="shared" si="387"/>
        <v>$300</v>
      </c>
    </row>
    <row r="192" spans="2:102" x14ac:dyDescent="0.25">
      <c r="B192" s="115" t="s">
        <v>233</v>
      </c>
      <c r="C192" s="13">
        <v>46321.660416666666</v>
      </c>
      <c r="D192">
        <v>34026</v>
      </c>
      <c r="E192" s="54" t="s">
        <v>237</v>
      </c>
      <c r="F192" s="54" t="s">
        <v>478</v>
      </c>
      <c r="G192" s="54" t="s">
        <v>492</v>
      </c>
      <c r="H192" s="55">
        <v>14.000000000000002</v>
      </c>
      <c r="I192" s="55">
        <v>13.4</v>
      </c>
      <c r="J192" s="55">
        <v>13.100000000000001</v>
      </c>
      <c r="K192" s="54"/>
      <c r="L192" s="56" t="b">
        <v>0</v>
      </c>
      <c r="M192" s="56" t="b">
        <v>0</v>
      </c>
      <c r="N192" s="54">
        <v>1</v>
      </c>
      <c r="O192" s="54" t="s">
        <v>228</v>
      </c>
      <c r="P192" s="54">
        <v>24</v>
      </c>
      <c r="Q192" s="54">
        <v>24</v>
      </c>
      <c r="R192" s="54">
        <v>300</v>
      </c>
      <c r="S192" s="54" t="s">
        <v>480</v>
      </c>
      <c r="T192" s="54" t="s">
        <v>481</v>
      </c>
      <c r="U192" s="54" t="s">
        <v>482</v>
      </c>
      <c r="V192" s="54" t="s">
        <v>483</v>
      </c>
      <c r="W192" s="54" t="b">
        <v>0</v>
      </c>
      <c r="X192" s="54"/>
      <c r="Y192" s="57" t="s">
        <v>2313</v>
      </c>
      <c r="Z192" s="54" t="s">
        <v>2314</v>
      </c>
      <c r="AA192" s="54"/>
      <c r="AB192" s="54" t="s">
        <v>484</v>
      </c>
      <c r="AC192" s="56" t="b">
        <v>1</v>
      </c>
      <c r="AD192" s="56" t="b">
        <v>0</v>
      </c>
      <c r="AE192" s="54" t="s">
        <v>302</v>
      </c>
      <c r="AF192" s="58">
        <v>46321</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5.9499999999999997E-2</v>
      </c>
      <c r="BC192" s="60">
        <v>4.0599999999999996</v>
      </c>
      <c r="BD192" s="61">
        <v>6.8672999999999998E-2</v>
      </c>
      <c r="BE192" s="62" t="s">
        <v>293</v>
      </c>
      <c r="BF192" s="35">
        <f t="shared" si="374"/>
        <v>4.0600000000000005</v>
      </c>
      <c r="BG192" s="35">
        <f t="shared" si="374"/>
        <v>6.8672999999999998E-2</v>
      </c>
      <c r="BH192" s="35" t="str">
        <f t="shared" si="375"/>
        <v>Med</v>
      </c>
      <c r="BI192" s="110">
        <f t="shared" si="376"/>
        <v>0</v>
      </c>
      <c r="BJ192" s="83">
        <f>VLOOKUP($F192,REP_Info!$D$6:$H$250,5,FALSE)</f>
        <v>0.123</v>
      </c>
      <c r="BK192" s="30">
        <f t="shared" si="377"/>
        <v>14.029300000000001</v>
      </c>
      <c r="BL192" s="30">
        <f t="shared" si="377"/>
        <v>13.423300000000001</v>
      </c>
      <c r="BM192" s="30">
        <f t="shared" si="377"/>
        <v>13.1203</v>
      </c>
      <c r="BN192" s="29">
        <f t="shared" si="377"/>
        <v>13.019300000000001</v>
      </c>
      <c r="BO192" s="85" t="str">
        <f t="shared" si="388"/>
        <v>$$$</v>
      </c>
      <c r="BP192" s="88" t="str">
        <f t="shared" si="378"/>
        <v>$$$</v>
      </c>
      <c r="BQ192" s="88" t="str">
        <f t="shared" si="4"/>
        <v>$$$</v>
      </c>
      <c r="BR192" s="88" t="str">
        <f t="shared" si="5"/>
        <v>$$$</v>
      </c>
      <c r="BS192" s="29" t="e">
        <f t="shared" si="379"/>
        <v>#N/A</v>
      </c>
      <c r="BT192" s="29" t="e">
        <f t="shared" si="379"/>
        <v>#N/A</v>
      </c>
      <c r="BU192" s="29" t="e">
        <f t="shared" si="379"/>
        <v>#N/A</v>
      </c>
      <c r="BV192" s="29" t="e">
        <f t="shared" si="379"/>
        <v>#N/A</v>
      </c>
      <c r="BW192" s="29" t="e">
        <f t="shared" si="379"/>
        <v>#N/A</v>
      </c>
      <c r="BX192" s="29" t="e">
        <f t="shared" si="379"/>
        <v>#N/A</v>
      </c>
      <c r="BY192" s="29" t="e">
        <f t="shared" si="379"/>
        <v>#N/A</v>
      </c>
      <c r="BZ192" s="29" t="e">
        <f t="shared" si="379"/>
        <v>#N/A</v>
      </c>
      <c r="CA192" s="29" t="e">
        <f t="shared" si="379"/>
        <v>#N/A</v>
      </c>
      <c r="CB192" s="29" t="e">
        <f t="shared" si="379"/>
        <v>#N/A</v>
      </c>
      <c r="CC192" s="29" t="e">
        <f t="shared" si="379"/>
        <v>#N/A</v>
      </c>
      <c r="CD192" s="29" t="e">
        <f t="shared" si="379"/>
        <v>#N/A</v>
      </c>
      <c r="CE192" s="6" t="str">
        <f t="shared" si="320"/>
        <v/>
      </c>
      <c r="CF192" s="27" t="e">
        <f>IF(AND(CI192,NOT(AD192)),LOOKUP(CF$5,{0,750,1500},H192:J192),"")</f>
        <v>#N/A</v>
      </c>
      <c r="CG192" s="6" t="str">
        <f t="shared" si="321"/>
        <v/>
      </c>
      <c r="CH192" t="e">
        <f t="shared" si="380"/>
        <v>#N/A</v>
      </c>
      <c r="CI192" t="e">
        <f t="shared" si="381"/>
        <v>#N/A</v>
      </c>
      <c r="CJ192" s="6" t="e">
        <f t="shared" si="389"/>
        <v>#N/A</v>
      </c>
      <c r="CK192" s="6">
        <f t="shared" si="390"/>
        <v>1</v>
      </c>
      <c r="CL192" s="6">
        <f t="shared" si="382"/>
        <v>1</v>
      </c>
      <c r="CM192" s="6">
        <f t="shared" si="391"/>
        <v>1</v>
      </c>
      <c r="CN192" s="6">
        <f t="shared" si="392"/>
        <v>1</v>
      </c>
      <c r="CO192" s="6">
        <f t="shared" si="393"/>
        <v>0</v>
      </c>
      <c r="CP192" s="6">
        <f t="shared" si="394"/>
        <v>1</v>
      </c>
      <c r="CQ192" s="6">
        <f t="shared" si="383"/>
        <v>1</v>
      </c>
      <c r="CR192" s="81" t="str">
        <f t="shared" si="395"/>
        <v/>
      </c>
      <c r="CS192">
        <f t="shared" si="384"/>
        <v>0</v>
      </c>
      <c r="CT192">
        <f t="shared" si="19"/>
        <v>300</v>
      </c>
      <c r="CU192" t="str">
        <f t="shared" si="385"/>
        <v/>
      </c>
      <c r="CV192" s="81">
        <f t="shared" si="386"/>
        <v>300</v>
      </c>
      <c r="CW192" s="81">
        <f>(CV192/25)^1.5*(Calculator!$BU$4/10000)*CW$5</f>
        <v>21.618321954745014</v>
      </c>
      <c r="CX192" t="str">
        <f t="shared" si="387"/>
        <v>$300</v>
      </c>
    </row>
    <row r="193" spans="2:102" x14ac:dyDescent="0.25">
      <c r="B193" s="115" t="s">
        <v>233</v>
      </c>
      <c r="C193" s="13">
        <v>46321.660416666666</v>
      </c>
      <c r="D193">
        <v>34107</v>
      </c>
      <c r="E193" s="54" t="s">
        <v>235</v>
      </c>
      <c r="F193" s="54" t="s">
        <v>478</v>
      </c>
      <c r="G193" s="54" t="s">
        <v>493</v>
      </c>
      <c r="H193" s="55">
        <v>14.2</v>
      </c>
      <c r="I193" s="55">
        <v>13.5</v>
      </c>
      <c r="J193" s="55">
        <v>13.100000000000001</v>
      </c>
      <c r="K193" s="54"/>
      <c r="L193" s="56" t="b">
        <v>0</v>
      </c>
      <c r="M193" s="56" t="b">
        <v>0</v>
      </c>
      <c r="N193" s="54">
        <v>1</v>
      </c>
      <c r="O193" s="54" t="s">
        <v>228</v>
      </c>
      <c r="P193" s="54">
        <v>24</v>
      </c>
      <c r="Q193" s="54">
        <v>36</v>
      </c>
      <c r="R193" s="54">
        <v>375</v>
      </c>
      <c r="S193" s="54" t="s">
        <v>480</v>
      </c>
      <c r="T193" s="54" t="s">
        <v>481</v>
      </c>
      <c r="U193" s="54" t="s">
        <v>482</v>
      </c>
      <c r="V193" s="54" t="s">
        <v>483</v>
      </c>
      <c r="W193" s="54" t="b">
        <v>0</v>
      </c>
      <c r="X193" s="54"/>
      <c r="Y193" s="57" t="s">
        <v>2315</v>
      </c>
      <c r="Z193" s="54" t="s">
        <v>2316</v>
      </c>
      <c r="AA193" s="54"/>
      <c r="AB193" s="54" t="s">
        <v>484</v>
      </c>
      <c r="AC193" s="56" t="b">
        <v>1</v>
      </c>
      <c r="AD193" s="56" t="b">
        <v>0</v>
      </c>
      <c r="AE193" s="54" t="s">
        <v>302</v>
      </c>
      <c r="AF193" s="58">
        <v>46321</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6.2520000000000006E-2</v>
      </c>
      <c r="BC193" s="60">
        <v>4.9000000000000004</v>
      </c>
      <c r="BD193" s="61">
        <v>6.5333000000000002E-2</v>
      </c>
      <c r="BE193" s="62" t="s">
        <v>293</v>
      </c>
      <c r="BF193" s="35">
        <f t="shared" si="374"/>
        <v>4.9000000000000004</v>
      </c>
      <c r="BG193" s="35">
        <f t="shared" si="374"/>
        <v>6.5333000000000002E-2</v>
      </c>
      <c r="BH193" s="35" t="str">
        <f t="shared" si="375"/>
        <v>Med</v>
      </c>
      <c r="BI193" s="110">
        <f t="shared" si="376"/>
        <v>0</v>
      </c>
      <c r="BJ193" s="83">
        <f>VLOOKUP($F193,REP_Info!$D$6:$H$250,5,FALSE)</f>
        <v>0.123</v>
      </c>
      <c r="BK193" s="30">
        <f t="shared" si="377"/>
        <v>14.165300000000004</v>
      </c>
      <c r="BL193" s="30">
        <f t="shared" si="377"/>
        <v>13.475300000000001</v>
      </c>
      <c r="BM193" s="30">
        <f t="shared" si="377"/>
        <v>13.1303</v>
      </c>
      <c r="BN193" s="29">
        <f t="shared" si="377"/>
        <v>13.015300000000003</v>
      </c>
      <c r="BO193" s="85" t="str">
        <f t="shared" si="388"/>
        <v>$$$</v>
      </c>
      <c r="BP193" s="88" t="str">
        <f t="shared" si="378"/>
        <v>$$$</v>
      </c>
      <c r="BQ193" s="88" t="str">
        <f t="shared" ref="BQ193:BQ194" si="396">IFERROR(SUMPRODUCT($BS$7:$CD$7,$BS193:$CD193,--($BS$4:$CD$4&lt;=$Q193))/SUMPRODUCT(--($BS$4:$CD$4&lt;=$Q193),$BS$7:$CD$7),"$$$")</f>
        <v>$$$</v>
      </c>
      <c r="BR193" s="88" t="str">
        <f t="shared" ref="BR193:BR194" si="397">IFERROR($BQ193-$BF193*100*SUMPRODUCT(--($BS$4:$CD$4&lt;=$Q193))/SUMPRODUCT(--($BS$4:$CD$4&lt;=$Q193),$BS$7:$CD$7)-$BG193*100,"$$$")</f>
        <v>$$$</v>
      </c>
      <c r="BS193" s="29" t="e">
        <f t="shared" si="379"/>
        <v>#N/A</v>
      </c>
      <c r="BT193" s="29" t="e">
        <f t="shared" si="379"/>
        <v>#N/A</v>
      </c>
      <c r="BU193" s="29" t="e">
        <f t="shared" si="379"/>
        <v>#N/A</v>
      </c>
      <c r="BV193" s="29" t="e">
        <f t="shared" si="379"/>
        <v>#N/A</v>
      </c>
      <c r="BW193" s="29" t="e">
        <f t="shared" si="379"/>
        <v>#N/A</v>
      </c>
      <c r="BX193" s="29" t="e">
        <f t="shared" si="379"/>
        <v>#N/A</v>
      </c>
      <c r="BY193" s="29" t="e">
        <f t="shared" si="379"/>
        <v>#N/A</v>
      </c>
      <c r="BZ193" s="29" t="e">
        <f t="shared" si="379"/>
        <v>#N/A</v>
      </c>
      <c r="CA193" s="29" t="e">
        <f t="shared" si="379"/>
        <v>#N/A</v>
      </c>
      <c r="CB193" s="29" t="e">
        <f t="shared" si="379"/>
        <v>#N/A</v>
      </c>
      <c r="CC193" s="29" t="e">
        <f t="shared" si="379"/>
        <v>#N/A</v>
      </c>
      <c r="CD193" s="29" t="e">
        <f t="shared" si="379"/>
        <v>#N/A</v>
      </c>
      <c r="CE193" s="6" t="str">
        <f t="shared" si="320"/>
        <v/>
      </c>
      <c r="CF193" s="27" t="e">
        <f>IF(AND(CI193,NOT(AD193)),LOOKUP(CF$5,{0,750,1500},H193:J193),"")</f>
        <v>#N/A</v>
      </c>
      <c r="CG193" s="6" t="str">
        <f t="shared" si="321"/>
        <v/>
      </c>
      <c r="CH193" t="e">
        <f t="shared" si="380"/>
        <v>#N/A</v>
      </c>
      <c r="CI193" t="e">
        <f t="shared" si="381"/>
        <v>#N/A</v>
      </c>
      <c r="CJ193" s="6" t="e">
        <f t="shared" si="389"/>
        <v>#N/A</v>
      </c>
      <c r="CK193" s="6">
        <f t="shared" si="390"/>
        <v>1</v>
      </c>
      <c r="CL193" s="6">
        <f t="shared" si="382"/>
        <v>1</v>
      </c>
      <c r="CM193" s="6">
        <f t="shared" si="391"/>
        <v>1</v>
      </c>
      <c r="CN193" s="6">
        <f t="shared" si="392"/>
        <v>1</v>
      </c>
      <c r="CO193" s="6">
        <f t="shared" si="393"/>
        <v>0</v>
      </c>
      <c r="CP193" s="6">
        <f t="shared" si="394"/>
        <v>1</v>
      </c>
      <c r="CQ193" s="6">
        <f t="shared" si="383"/>
        <v>1</v>
      </c>
      <c r="CR193" s="81" t="str">
        <f t="shared" si="395"/>
        <v/>
      </c>
      <c r="CS193">
        <f t="shared" si="384"/>
        <v>0</v>
      </c>
      <c r="CT193">
        <f t="shared" si="19"/>
        <v>375</v>
      </c>
      <c r="CU193" t="str">
        <f t="shared" si="385"/>
        <v/>
      </c>
      <c r="CV193" s="81">
        <f t="shared" si="386"/>
        <v>375</v>
      </c>
      <c r="CW193" s="81">
        <f>(CV193/25)^1.5*(Calculator!$BU$4/10000)*CW$5</f>
        <v>30.212523406428716</v>
      </c>
      <c r="CX193" t="str">
        <f t="shared" si="387"/>
        <v>$375</v>
      </c>
    </row>
    <row r="194" spans="2:102" x14ac:dyDescent="0.25">
      <c r="B194" s="115" t="s">
        <v>233</v>
      </c>
      <c r="C194" s="13">
        <v>46321.660416666666</v>
      </c>
      <c r="D194">
        <v>34109</v>
      </c>
      <c r="E194" s="54" t="s">
        <v>237</v>
      </c>
      <c r="F194" s="54" t="s">
        <v>478</v>
      </c>
      <c r="G194" s="54" t="s">
        <v>493</v>
      </c>
      <c r="H194" s="55">
        <v>14.299999999999999</v>
      </c>
      <c r="I194" s="55">
        <v>13.700000000000001</v>
      </c>
      <c r="J194" s="55">
        <v>13.4</v>
      </c>
      <c r="K194" s="54"/>
      <c r="L194" s="56" t="b">
        <v>0</v>
      </c>
      <c r="M194" s="56" t="b">
        <v>0</v>
      </c>
      <c r="N194" s="54">
        <v>1</v>
      </c>
      <c r="O194" s="54" t="s">
        <v>228</v>
      </c>
      <c r="P194" s="54">
        <v>24</v>
      </c>
      <c r="Q194" s="54">
        <v>36</v>
      </c>
      <c r="R194" s="54">
        <v>375</v>
      </c>
      <c r="S194" s="54" t="s">
        <v>480</v>
      </c>
      <c r="T194" s="54" t="s">
        <v>481</v>
      </c>
      <c r="U194" s="54" t="s">
        <v>482</v>
      </c>
      <c r="V194" s="54" t="s">
        <v>483</v>
      </c>
      <c r="W194" s="54" t="b">
        <v>0</v>
      </c>
      <c r="X194" s="54"/>
      <c r="Y194" s="57" t="s">
        <v>2317</v>
      </c>
      <c r="Z194" s="54" t="s">
        <v>2318</v>
      </c>
      <c r="AA194" s="54"/>
      <c r="AB194" s="54" t="s">
        <v>484</v>
      </c>
      <c r="AC194" s="56" t="b">
        <v>1</v>
      </c>
      <c r="AD194" s="56" t="b">
        <v>0</v>
      </c>
      <c r="AE194" s="54" t="s">
        <v>302</v>
      </c>
      <c r="AF194" s="58">
        <v>46321</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6.2109999999999999E-2</v>
      </c>
      <c r="BC194" s="60">
        <v>4.0599999999999996</v>
      </c>
      <c r="BD194" s="61">
        <v>6.8672999999999998E-2</v>
      </c>
      <c r="BE194" s="62" t="s">
        <v>293</v>
      </c>
      <c r="BF194" s="35">
        <f t="shared" si="374"/>
        <v>4.0600000000000005</v>
      </c>
      <c r="BG194" s="35">
        <f t="shared" si="374"/>
        <v>6.8672999999999998E-2</v>
      </c>
      <c r="BH194" s="35" t="str">
        <f t="shared" si="375"/>
        <v>Med</v>
      </c>
      <c r="BI194" s="110">
        <f t="shared" si="376"/>
        <v>0</v>
      </c>
      <c r="BJ194" s="83">
        <f>VLOOKUP($F194,REP_Info!$D$6:$H$250,5,FALSE)</f>
        <v>0.123</v>
      </c>
      <c r="BK194" s="30">
        <f t="shared" si="377"/>
        <v>14.290300000000004</v>
      </c>
      <c r="BL194" s="30">
        <f t="shared" si="377"/>
        <v>13.6843</v>
      </c>
      <c r="BM194" s="30">
        <f t="shared" si="377"/>
        <v>13.3813</v>
      </c>
      <c r="BN194" s="29">
        <f t="shared" si="377"/>
        <v>13.2803</v>
      </c>
      <c r="BO194" s="85" t="str">
        <f t="shared" si="388"/>
        <v>$$$</v>
      </c>
      <c r="BP194" s="88" t="str">
        <f t="shared" si="378"/>
        <v>$$$</v>
      </c>
      <c r="BQ194" s="88" t="str">
        <f t="shared" si="396"/>
        <v>$$$</v>
      </c>
      <c r="BR194" s="88" t="str">
        <f t="shared" si="397"/>
        <v>$$$</v>
      </c>
      <c r="BS194" s="29" t="e">
        <f t="shared" si="379"/>
        <v>#N/A</v>
      </c>
      <c r="BT194" s="29" t="e">
        <f t="shared" si="379"/>
        <v>#N/A</v>
      </c>
      <c r="BU194" s="29" t="e">
        <f t="shared" si="379"/>
        <v>#N/A</v>
      </c>
      <c r="BV194" s="29" t="e">
        <f t="shared" si="379"/>
        <v>#N/A</v>
      </c>
      <c r="BW194" s="29" t="e">
        <f t="shared" si="379"/>
        <v>#N/A</v>
      </c>
      <c r="BX194" s="29" t="e">
        <f t="shared" si="379"/>
        <v>#N/A</v>
      </c>
      <c r="BY194" s="29" t="e">
        <f t="shared" si="379"/>
        <v>#N/A</v>
      </c>
      <c r="BZ194" s="29" t="e">
        <f t="shared" si="379"/>
        <v>#N/A</v>
      </c>
      <c r="CA194" s="29" t="e">
        <f t="shared" si="379"/>
        <v>#N/A</v>
      </c>
      <c r="CB194" s="29" t="e">
        <f t="shared" si="379"/>
        <v>#N/A</v>
      </c>
      <c r="CC194" s="29" t="e">
        <f t="shared" si="379"/>
        <v>#N/A</v>
      </c>
      <c r="CD194" s="29" t="e">
        <f t="shared" si="379"/>
        <v>#N/A</v>
      </c>
      <c r="CE194" s="6" t="str">
        <f t="shared" si="320"/>
        <v/>
      </c>
      <c r="CF194" s="27" t="e">
        <f>IF(AND(CI194,NOT(AD194)),LOOKUP(CF$5,{0,750,1500},H194:J194),"")</f>
        <v>#N/A</v>
      </c>
      <c r="CG194" s="6" t="str">
        <f t="shared" si="321"/>
        <v/>
      </c>
      <c r="CH194" t="e">
        <f t="shared" si="380"/>
        <v>#N/A</v>
      </c>
      <c r="CI194" t="e">
        <f t="shared" si="381"/>
        <v>#N/A</v>
      </c>
      <c r="CJ194" s="6" t="e">
        <f t="shared" si="389"/>
        <v>#N/A</v>
      </c>
      <c r="CK194" s="6">
        <f t="shared" si="390"/>
        <v>1</v>
      </c>
      <c r="CL194" s="6">
        <f t="shared" si="382"/>
        <v>1</v>
      </c>
      <c r="CM194" s="6">
        <f t="shared" si="391"/>
        <v>1</v>
      </c>
      <c r="CN194" s="6">
        <f t="shared" si="392"/>
        <v>1</v>
      </c>
      <c r="CO194" s="6">
        <f t="shared" si="393"/>
        <v>0</v>
      </c>
      <c r="CP194" s="6">
        <f t="shared" si="394"/>
        <v>1</v>
      </c>
      <c r="CQ194" s="6">
        <f t="shared" si="383"/>
        <v>1</v>
      </c>
      <c r="CR194" s="81" t="str">
        <f t="shared" si="395"/>
        <v/>
      </c>
      <c r="CS194">
        <f t="shared" si="384"/>
        <v>0</v>
      </c>
      <c r="CT194">
        <f t="shared" si="19"/>
        <v>375</v>
      </c>
      <c r="CU194" t="str">
        <f t="shared" si="385"/>
        <v/>
      </c>
      <c r="CV194" s="81">
        <f t="shared" si="386"/>
        <v>375</v>
      </c>
      <c r="CW194" s="81">
        <f>(CV194/25)^1.5*(Calculator!$BU$4/10000)*CW$5</f>
        <v>30.212523406428716</v>
      </c>
      <c r="CX194" t="str">
        <f t="shared" si="387"/>
        <v>$375</v>
      </c>
    </row>
    <row r="195" spans="2:102" x14ac:dyDescent="0.25">
      <c r="B195" s="115" t="s">
        <v>233</v>
      </c>
      <c r="C195" s="13">
        <v>46321.660416666666</v>
      </c>
      <c r="D195">
        <v>17283</v>
      </c>
      <c r="E195" s="54" t="s">
        <v>237</v>
      </c>
      <c r="F195" s="54" t="s">
        <v>494</v>
      </c>
      <c r="G195" s="54" t="s">
        <v>1632</v>
      </c>
      <c r="H195" s="55">
        <v>10.9</v>
      </c>
      <c r="I195" s="55">
        <v>10.100000000000001</v>
      </c>
      <c r="J195" s="55">
        <v>9.7000000000000011</v>
      </c>
      <c r="K195" s="54"/>
      <c r="L195" s="56" t="b">
        <v>0</v>
      </c>
      <c r="M195" s="56" t="b">
        <v>0</v>
      </c>
      <c r="N195" s="54">
        <v>1</v>
      </c>
      <c r="O195" s="54" t="s">
        <v>228</v>
      </c>
      <c r="P195" s="54">
        <v>22</v>
      </c>
      <c r="Q195" s="54">
        <v>3</v>
      </c>
      <c r="R195" s="54">
        <v>175</v>
      </c>
      <c r="S195" s="54" t="s">
        <v>495</v>
      </c>
      <c r="T195" s="54" t="s">
        <v>496</v>
      </c>
      <c r="U195" s="54" t="s">
        <v>1620</v>
      </c>
      <c r="V195" s="54" t="s">
        <v>497</v>
      </c>
      <c r="W195" s="54" t="b">
        <v>0</v>
      </c>
      <c r="X195" s="54"/>
      <c r="Y195" s="57" t="s">
        <v>1633</v>
      </c>
      <c r="Z195" s="54" t="s">
        <v>498</v>
      </c>
      <c r="AA195" s="54"/>
      <c r="AB195" s="54" t="s">
        <v>499</v>
      </c>
      <c r="AC195" s="56" t="b">
        <v>1</v>
      </c>
      <c r="AD195" s="56" t="b">
        <v>0</v>
      </c>
      <c r="AE195" s="54" t="s">
        <v>302</v>
      </c>
      <c r="AF195" s="58">
        <v>46321</v>
      </c>
      <c r="AG195" s="62" t="s">
        <v>293</v>
      </c>
      <c r="AH195" s="54">
        <v>0</v>
      </c>
      <c r="AI195" s="54"/>
      <c r="AJ195" s="54"/>
      <c r="AK195" s="54"/>
      <c r="AL195" s="54"/>
      <c r="AM195" s="54">
        <v>16.663333333333334</v>
      </c>
      <c r="AN195" s="54"/>
      <c r="AO195" s="54"/>
      <c r="AP195" s="54"/>
      <c r="AQ195" s="54"/>
      <c r="AR195" s="54"/>
      <c r="AS195" s="54"/>
      <c r="AT195" s="54"/>
      <c r="AU195" s="54"/>
      <c r="AV195" s="54"/>
      <c r="AW195" s="54"/>
      <c r="AX195" s="59"/>
      <c r="AY195" s="59"/>
      <c r="AZ195" s="59"/>
      <c r="BA195" s="59"/>
      <c r="BB195" s="59">
        <v>2.4E-2</v>
      </c>
      <c r="BC195" s="60">
        <v>4.0599999999999996</v>
      </c>
      <c r="BD195" s="61">
        <v>6.8672999999999998E-2</v>
      </c>
      <c r="BE195" s="62" t="s">
        <v>293</v>
      </c>
      <c r="BF195" s="35">
        <f t="shared" ref="BF195:BG196" si="398">IF($E195=$E$4,BF$4,IF($E195=$E$5,BF$5,""))</f>
        <v>4.0600000000000005</v>
      </c>
      <c r="BG195" s="35">
        <f t="shared" si="398"/>
        <v>6.8672999999999998E-2</v>
      </c>
      <c r="BH195" s="35" t="str">
        <f t="shared" ref="BH195:BH196" si="399">IF(ISTEXT(BE195),IF(AND(AV195=0,SUM(AN195:AQ195)=0),IF(AM195&lt;=0,IF(BE195="Y","Low","Flat"),"Med"),"High"),"?")</f>
        <v>Med</v>
      </c>
      <c r="BI195" s="110">
        <f t="shared" ref="BI195:BI196" si="400">IF(ISNUMBER(AH195),0*BI$5*SIN((EDATE($A$3,$Q195)-DATE(YEAR(EDATE($A$3,$Q195)),1,0)-BI$4)*2*PI()/365),"")</f>
        <v>0</v>
      </c>
      <c r="BJ195" s="83">
        <f>VLOOKUP($F195,REP_Info!$D$6:$H$250,5,FALSE)</f>
        <v>1.8620000000000001</v>
      </c>
      <c r="BK195" s="30">
        <f t="shared" ref="BK195:BN196" si="401">IF(BK$7&gt;0,(LOOKUP(BK$7,$AH195:$AL195,$AM195:$AQ195)+IF($AG195="Y",SUMPRODUCT($AX195:$BB195-$AW195:$BA195,BK$7-$AR195:$AV195,N(BK$7&gt;$AR195:$AV195)),BK$7*LOOKUP(BK$7,$AR195:$AV195,$AX195:$BB195))+IF($BE195="Y",$BF195,$BC195)+BK$7*IF($BE195="Y",$BG195,$BD195))*100/BK$7,"")</f>
        <v>13.411966666666665</v>
      </c>
      <c r="BL195" s="30">
        <f t="shared" si="401"/>
        <v>11.339633333333333</v>
      </c>
      <c r="BM195" s="30">
        <f t="shared" si="401"/>
        <v>10.303466666666667</v>
      </c>
      <c r="BN195" s="29">
        <f t="shared" si="401"/>
        <v>9.9580777777777794</v>
      </c>
      <c r="BO195" s="85" t="str">
        <f t="shared" si="2"/>
        <v>$$$</v>
      </c>
      <c r="BP195" s="88" t="str">
        <f t="shared" ref="BP195:BP196" si="402">IFERROR(BO195*100/BO$5,"$$$")</f>
        <v>$$$</v>
      </c>
      <c r="BQ195" s="88" t="str">
        <f t="shared" si="4"/>
        <v>$$$</v>
      </c>
      <c r="BR195" s="88" t="str">
        <f t="shared" si="5"/>
        <v>$$$</v>
      </c>
      <c r="BS195" s="29" t="e">
        <f t="shared" ref="BS195:CD196" si="403">IF($CI195,IF(BS$7&gt;0,IF(BS$4&gt;$Q195,$BF195+BS$7*(BS$5+$BG195+$BI195),LOOKUP(BS$7,$AH195:$AL195,$AM195:$AQ195)+IF($AG195="Y",SUMPRODUCT($AX195:$BB195-$AW195:$BA195,BS$7-$AR195:$AV195,N(BS$7&gt;$AR195:$AV195)),BS$7*LOOKUP(BS$7,$AR195:$AV195,$AX195:$BB195))+IF($BE195="Y",$BF195,$BC195)+BS$7*IF($BE195="Y",$BG195,$BD195))*100/BS$7,""),NA())</f>
        <v>#N/A</v>
      </c>
      <c r="BT195" s="29" t="e">
        <f t="shared" si="403"/>
        <v>#N/A</v>
      </c>
      <c r="BU195" s="29" t="e">
        <f t="shared" si="403"/>
        <v>#N/A</v>
      </c>
      <c r="BV195" s="29" t="e">
        <f t="shared" si="403"/>
        <v>#N/A</v>
      </c>
      <c r="BW195" s="29" t="e">
        <f t="shared" si="403"/>
        <v>#N/A</v>
      </c>
      <c r="BX195" s="29" t="e">
        <f t="shared" si="403"/>
        <v>#N/A</v>
      </c>
      <c r="BY195" s="29" t="e">
        <f t="shared" si="403"/>
        <v>#N/A</v>
      </c>
      <c r="BZ195" s="29" t="e">
        <f t="shared" si="403"/>
        <v>#N/A</v>
      </c>
      <c r="CA195" s="29" t="e">
        <f t="shared" si="403"/>
        <v>#N/A</v>
      </c>
      <c r="CB195" s="29" t="e">
        <f t="shared" si="403"/>
        <v>#N/A</v>
      </c>
      <c r="CC195" s="29" t="e">
        <f t="shared" si="403"/>
        <v>#N/A</v>
      </c>
      <c r="CD195" s="29" t="e">
        <f t="shared" si="403"/>
        <v>#N/A</v>
      </c>
      <c r="CE195" s="6" t="str">
        <f t="shared" si="320"/>
        <v/>
      </c>
      <c r="CF195" s="27" t="e">
        <f>IF(AND(CI195,NOT(AD195)),LOOKUP(CF$5,{0,750,1500},H195:J195),"")</f>
        <v>#N/A</v>
      </c>
      <c r="CG195" s="6" t="str">
        <f t="shared" si="321"/>
        <v/>
      </c>
      <c r="CH195" t="e">
        <f t="shared" ref="CH195:CH196" si="404">IF(CI195,IF(ISNUMBER(BO195),BO195,100000)+CV195/10000+IF(ISNUMBER(BJ195),BJ195,2)/10000-P195/100000+ROW()/10000000,"")</f>
        <v>#N/A</v>
      </c>
      <c r="CI195" t="e">
        <f t="shared" ref="CI195:CI196" si="405">PRODUCT(CJ195:CQ195)</f>
        <v>#N/A</v>
      </c>
      <c r="CJ195" s="6" t="e">
        <f t="shared" si="11"/>
        <v>#N/A</v>
      </c>
      <c r="CK195" s="6">
        <f t="shared" si="12"/>
        <v>1</v>
      </c>
      <c r="CL195" s="6">
        <f t="shared" ref="CL195:CL196" si="406">IFERROR(--OR(ISBLANK(CL$5),$BJ195="",AND(ISNUMBER($BJ195),$BJ195&lt;=CL$5)),1)</f>
        <v>1</v>
      </c>
      <c r="CM195" s="6">
        <f t="shared" si="13"/>
        <v>1</v>
      </c>
      <c r="CN195" s="6">
        <f t="shared" si="14"/>
        <v>0</v>
      </c>
      <c r="CO195" s="6">
        <f t="shared" si="15"/>
        <v>1</v>
      </c>
      <c r="CP195" s="6">
        <f t="shared" si="16"/>
        <v>1</v>
      </c>
      <c r="CQ195" s="6">
        <f t="shared" ref="CQ195:CQ196" si="407">IF(CQ$5="Any",1,IF(AND(CQ$5="Med",AV195=0,SUM(AN195:AQ195)=0),1,IF(AND(CQ$5="Low",AV195=0,SUM(AN195:AQ195)=0,AM195=0),1,IF(AND(CQ$5="Flat",AV195=0,SUM(AN195:AQ195)=0,AM195=0,IFERROR(NOT(BE195="Y"),0)),1,0))))</f>
        <v>1</v>
      </c>
      <c r="CR195" s="81" t="str">
        <f t="shared" si="17"/>
        <v/>
      </c>
      <c r="CS195">
        <f t="shared" ref="CS195:CS196" si="408">CS$5*(12/(MIN(12,Q195))-1)</f>
        <v>54</v>
      </c>
      <c r="CT195">
        <f t="shared" si="19"/>
        <v>175</v>
      </c>
      <c r="CU195" t="str">
        <f t="shared" ref="CU195:CU196" si="409">IF(AND(ISERR(FIND("remain",$R195)),ISERR(FIND("left",$R195))),"","r")&amp;IF(ISERR(FIND("mon",$R195)),"","m")</f>
        <v/>
      </c>
      <c r="CV195" s="81">
        <f t="shared" ref="CV195:CV196" si="410">CT195*IF(CU195="",1,Q195)</f>
        <v>175</v>
      </c>
      <c r="CW195" s="81">
        <f>(CV195/25)^1.5*(Calculator!$BU$4/10000)*CW$5</f>
        <v>9.6315719067890644</v>
      </c>
      <c r="CX195" t="str">
        <f t="shared" ref="CX195:CX196" si="411">"$"&amp;IF(LEFT(CU195,1)="r",CT195&amp;"/"&amp;CU195,CV195)</f>
        <v>$175</v>
      </c>
    </row>
    <row r="196" spans="2:102" x14ac:dyDescent="0.25">
      <c r="B196" s="115" t="s">
        <v>233</v>
      </c>
      <c r="C196" s="13">
        <v>46321.660416666666</v>
      </c>
      <c r="D196">
        <v>17287</v>
      </c>
      <c r="E196" s="54" t="s">
        <v>235</v>
      </c>
      <c r="F196" s="54" t="s">
        <v>494</v>
      </c>
      <c r="G196" s="54" t="s">
        <v>1632</v>
      </c>
      <c r="H196" s="55">
        <v>11.200000000000001</v>
      </c>
      <c r="I196" s="55">
        <v>10.299999999999999</v>
      </c>
      <c r="J196" s="55">
        <v>9.9</v>
      </c>
      <c r="K196" s="54"/>
      <c r="L196" s="56" t="b">
        <v>0</v>
      </c>
      <c r="M196" s="56" t="b">
        <v>0</v>
      </c>
      <c r="N196" s="54">
        <v>1</v>
      </c>
      <c r="O196" s="54" t="s">
        <v>228</v>
      </c>
      <c r="P196" s="54">
        <v>22</v>
      </c>
      <c r="Q196" s="54">
        <v>3</v>
      </c>
      <c r="R196" s="54">
        <v>175</v>
      </c>
      <c r="S196" s="54" t="s">
        <v>495</v>
      </c>
      <c r="T196" s="54" t="s">
        <v>496</v>
      </c>
      <c r="U196" s="54" t="s">
        <v>1619</v>
      </c>
      <c r="V196" s="54" t="s">
        <v>497</v>
      </c>
      <c r="W196" s="54" t="b">
        <v>0</v>
      </c>
      <c r="X196" s="54"/>
      <c r="Y196" s="57" t="s">
        <v>1634</v>
      </c>
      <c r="Z196" s="54" t="s">
        <v>498</v>
      </c>
      <c r="AA196" s="54"/>
      <c r="AB196" s="54" t="s">
        <v>499</v>
      </c>
      <c r="AC196" s="56" t="b">
        <v>1</v>
      </c>
      <c r="AD196" s="56" t="b">
        <v>0</v>
      </c>
      <c r="AE196" s="54" t="s">
        <v>302</v>
      </c>
      <c r="AF196" s="58">
        <v>46321</v>
      </c>
      <c r="AG196" s="62" t="s">
        <v>293</v>
      </c>
      <c r="AH196" s="54">
        <v>0</v>
      </c>
      <c r="AI196" s="54"/>
      <c r="AJ196" s="54"/>
      <c r="AK196" s="54"/>
      <c r="AL196" s="54"/>
      <c r="AM196" s="54">
        <v>16.663333333333334</v>
      </c>
      <c r="AN196" s="54"/>
      <c r="AO196" s="54"/>
      <c r="AP196" s="54"/>
      <c r="AQ196" s="54"/>
      <c r="AR196" s="54"/>
      <c r="AS196" s="54"/>
      <c r="AT196" s="54"/>
      <c r="AU196" s="54"/>
      <c r="AV196" s="54"/>
      <c r="AW196" s="54"/>
      <c r="AX196" s="59"/>
      <c r="AY196" s="59"/>
      <c r="AZ196" s="59"/>
      <c r="BA196" s="59"/>
      <c r="BB196" s="59">
        <v>2.9000000000000001E-2</v>
      </c>
      <c r="BC196" s="60">
        <v>4.9000000000000004</v>
      </c>
      <c r="BD196" s="61">
        <v>6.5333000000000002E-2</v>
      </c>
      <c r="BE196" s="62" t="s">
        <v>293</v>
      </c>
      <c r="BF196" s="35">
        <f t="shared" si="398"/>
        <v>4.9000000000000004</v>
      </c>
      <c r="BG196" s="35">
        <f t="shared" si="398"/>
        <v>6.5333000000000002E-2</v>
      </c>
      <c r="BH196" s="35" t="str">
        <f t="shared" si="399"/>
        <v>Med</v>
      </c>
      <c r="BI196" s="110">
        <f t="shared" si="400"/>
        <v>0</v>
      </c>
      <c r="BJ196" s="83">
        <f>VLOOKUP($F196,REP_Info!$D$6:$H$250,5,FALSE)</f>
        <v>1.8620000000000001</v>
      </c>
      <c r="BK196" s="30">
        <f t="shared" si="401"/>
        <v>13.745966666666668</v>
      </c>
      <c r="BL196" s="30">
        <f t="shared" si="401"/>
        <v>11.589633333333333</v>
      </c>
      <c r="BM196" s="30">
        <f t="shared" si="401"/>
        <v>10.511466666666667</v>
      </c>
      <c r="BN196" s="29">
        <f t="shared" si="401"/>
        <v>10.152077777777777</v>
      </c>
      <c r="BO196" s="85" t="str">
        <f t="shared" si="2"/>
        <v>$$$</v>
      </c>
      <c r="BP196" s="88" t="str">
        <f t="shared" si="402"/>
        <v>$$$</v>
      </c>
      <c r="BQ196" s="88" t="str">
        <f t="shared" si="4"/>
        <v>$$$</v>
      </c>
      <c r="BR196" s="88" t="str">
        <f t="shared" si="5"/>
        <v>$$$</v>
      </c>
      <c r="BS196" s="29" t="e">
        <f t="shared" si="403"/>
        <v>#N/A</v>
      </c>
      <c r="BT196" s="29" t="e">
        <f t="shared" si="403"/>
        <v>#N/A</v>
      </c>
      <c r="BU196" s="29" t="e">
        <f t="shared" si="403"/>
        <v>#N/A</v>
      </c>
      <c r="BV196" s="29" t="e">
        <f t="shared" si="403"/>
        <v>#N/A</v>
      </c>
      <c r="BW196" s="29" t="e">
        <f t="shared" si="403"/>
        <v>#N/A</v>
      </c>
      <c r="BX196" s="29" t="e">
        <f t="shared" si="403"/>
        <v>#N/A</v>
      </c>
      <c r="BY196" s="29" t="e">
        <f t="shared" si="403"/>
        <v>#N/A</v>
      </c>
      <c r="BZ196" s="29" t="e">
        <f t="shared" si="403"/>
        <v>#N/A</v>
      </c>
      <c r="CA196" s="29" t="e">
        <f t="shared" si="403"/>
        <v>#N/A</v>
      </c>
      <c r="CB196" s="29" t="e">
        <f t="shared" si="403"/>
        <v>#N/A</v>
      </c>
      <c r="CC196" s="29" t="e">
        <f t="shared" si="403"/>
        <v>#N/A</v>
      </c>
      <c r="CD196" s="29" t="e">
        <f t="shared" si="403"/>
        <v>#N/A</v>
      </c>
      <c r="CE196" s="6" t="str">
        <f t="shared" si="320"/>
        <v/>
      </c>
      <c r="CF196" s="27" t="e">
        <f>IF(AND(CI196,NOT(AD196)),LOOKUP(CF$5,{0,750,1500},H196:J196),"")</f>
        <v>#N/A</v>
      </c>
      <c r="CG196" s="6" t="str">
        <f t="shared" si="321"/>
        <v/>
      </c>
      <c r="CH196" t="e">
        <f t="shared" si="404"/>
        <v>#N/A</v>
      </c>
      <c r="CI196" t="e">
        <f t="shared" si="405"/>
        <v>#N/A</v>
      </c>
      <c r="CJ196" s="6" t="e">
        <f t="shared" si="11"/>
        <v>#N/A</v>
      </c>
      <c r="CK196" s="6">
        <f t="shared" si="12"/>
        <v>1</v>
      </c>
      <c r="CL196" s="6">
        <f t="shared" si="406"/>
        <v>1</v>
      </c>
      <c r="CM196" s="6">
        <f t="shared" si="13"/>
        <v>1</v>
      </c>
      <c r="CN196" s="6">
        <f t="shared" si="14"/>
        <v>0</v>
      </c>
      <c r="CO196" s="6">
        <f t="shared" si="15"/>
        <v>1</v>
      </c>
      <c r="CP196" s="6">
        <f t="shared" si="16"/>
        <v>1</v>
      </c>
      <c r="CQ196" s="6">
        <f t="shared" si="407"/>
        <v>1</v>
      </c>
      <c r="CR196" s="81" t="str">
        <f t="shared" si="17"/>
        <v/>
      </c>
      <c r="CS196">
        <f t="shared" si="408"/>
        <v>54</v>
      </c>
      <c r="CT196">
        <f t="shared" si="19"/>
        <v>175</v>
      </c>
      <c r="CU196" t="str">
        <f t="shared" si="409"/>
        <v/>
      </c>
      <c r="CV196" s="81">
        <f t="shared" si="410"/>
        <v>175</v>
      </c>
      <c r="CW196" s="81">
        <f>(CV196/25)^1.5*(Calculator!$BU$4/10000)*CW$5</f>
        <v>9.6315719067890644</v>
      </c>
      <c r="CX196" t="str">
        <f t="shared" si="411"/>
        <v>$175</v>
      </c>
    </row>
    <row r="197" spans="2:102" x14ac:dyDescent="0.25">
      <c r="B197" s="115" t="s">
        <v>233</v>
      </c>
      <c r="C197" s="13">
        <v>46321.660416666666</v>
      </c>
      <c r="D197">
        <v>24636</v>
      </c>
      <c r="E197" s="54" t="s">
        <v>237</v>
      </c>
      <c r="F197" s="54" t="s">
        <v>494</v>
      </c>
      <c r="G197" s="54" t="s">
        <v>1635</v>
      </c>
      <c r="H197" s="55">
        <v>10.9</v>
      </c>
      <c r="I197" s="55">
        <v>10.100000000000001</v>
      </c>
      <c r="J197" s="55">
        <v>9.7000000000000011</v>
      </c>
      <c r="K197" s="54"/>
      <c r="L197" s="56" t="b">
        <v>0</v>
      </c>
      <c r="M197" s="56" t="b">
        <v>1</v>
      </c>
      <c r="N197" s="54">
        <v>1</v>
      </c>
      <c r="O197" s="54" t="s">
        <v>228</v>
      </c>
      <c r="P197" s="54">
        <v>22</v>
      </c>
      <c r="Q197" s="54">
        <v>3</v>
      </c>
      <c r="R197" s="54">
        <v>175</v>
      </c>
      <c r="S197" s="54" t="s">
        <v>495</v>
      </c>
      <c r="T197" s="54" t="s">
        <v>500</v>
      </c>
      <c r="U197" s="54" t="s">
        <v>1617</v>
      </c>
      <c r="V197" s="54" t="s">
        <v>497</v>
      </c>
      <c r="W197" s="54" t="b">
        <v>0</v>
      </c>
      <c r="X197" s="54"/>
      <c r="Y197" s="57" t="s">
        <v>1636</v>
      </c>
      <c r="Z197" s="54" t="s">
        <v>498</v>
      </c>
      <c r="AA197" s="54"/>
      <c r="AB197" s="54" t="s">
        <v>499</v>
      </c>
      <c r="AC197" s="56" t="b">
        <v>1</v>
      </c>
      <c r="AD197" s="56" t="b">
        <v>0</v>
      </c>
      <c r="AE197" s="54" t="s">
        <v>302</v>
      </c>
      <c r="AF197" s="58">
        <v>46321</v>
      </c>
      <c r="AG197" s="62" t="s">
        <v>293</v>
      </c>
      <c r="AH197" s="54">
        <v>0</v>
      </c>
      <c r="AI197" s="54"/>
      <c r="AJ197" s="54"/>
      <c r="AK197" s="54"/>
      <c r="AL197" s="54"/>
      <c r="AM197" s="54">
        <v>16.663333333333334</v>
      </c>
      <c r="AN197" s="54"/>
      <c r="AO197" s="54"/>
      <c r="AP197" s="54"/>
      <c r="AQ197" s="54"/>
      <c r="AR197" s="54"/>
      <c r="AS197" s="54"/>
      <c r="AT197" s="54"/>
      <c r="AU197" s="54"/>
      <c r="AV197" s="54"/>
      <c r="AW197" s="54"/>
      <c r="AX197" s="59"/>
      <c r="AY197" s="59"/>
      <c r="AZ197" s="59"/>
      <c r="BA197" s="59"/>
      <c r="BB197" s="59">
        <v>2.4119999999999999E-2</v>
      </c>
      <c r="BC197" s="60">
        <v>4.0599999999999996</v>
      </c>
      <c r="BD197" s="61">
        <v>6.8672999999999998E-2</v>
      </c>
      <c r="BE197" s="62" t="e">
        <v>#N/A</v>
      </c>
      <c r="BF197" s="35">
        <f t="shared" ref="BF197:BG200" si="412">IF($E197=$E$4,BF$4,IF($E197=$E$5,BF$5,""))</f>
        <v>4.0600000000000005</v>
      </c>
      <c r="BG197" s="35">
        <f t="shared" si="412"/>
        <v>6.8672999999999998E-2</v>
      </c>
      <c r="BH197" s="35" t="str">
        <f t="shared" ref="BH197:BH200" si="413">IF(ISTEXT(BE197),IF(AND(AV197=0,SUM(AN197:AQ197)=0),IF(AM197&lt;=0,IF(BE197="Y","Low","Flat"),"Med"),"High"),"?")</f>
        <v>?</v>
      </c>
      <c r="BI197" s="110">
        <f t="shared" ref="BI197:BI200" si="414">IF(ISNUMBER(AH197),0*BI$5*SIN((EDATE($A$3,$Q197)-DATE(YEAR(EDATE($A$3,$Q197)),1,0)-BI$4)*2*PI()/365),"")</f>
        <v>0</v>
      </c>
      <c r="BJ197" s="83">
        <f>VLOOKUP($F197,REP_Info!$D$6:$H$250,5,FALSE)</f>
        <v>1.8620000000000001</v>
      </c>
      <c r="BK197" s="30" t="e">
        <f t="shared" ref="BK197:BN200" si="415">IF(BK$7&gt;0,(LOOKUP(BK$7,$AH197:$AL197,$AM197:$AQ197)+IF($AG197="Y",SUMPRODUCT($AX197:$BB197-$AW197:$BA197,BK$7-$AR197:$AV197,N(BK$7&gt;$AR197:$AV197)),BK$7*LOOKUP(BK$7,$AR197:$AV197,$AX197:$BB197))+IF($BE197="Y",$BF197,$BC197)+BK$7*IF($BE197="Y",$BG197,$BD197))*100/BK$7,"")</f>
        <v>#N/A</v>
      </c>
      <c r="BL197" s="30" t="e">
        <f t="shared" si="415"/>
        <v>#N/A</v>
      </c>
      <c r="BM197" s="30" t="e">
        <f t="shared" si="415"/>
        <v>#N/A</v>
      </c>
      <c r="BN197" s="29" t="e">
        <f t="shared" si="415"/>
        <v>#N/A</v>
      </c>
      <c r="BO197" s="85" t="str">
        <f t="shared" si="2"/>
        <v>$$$</v>
      </c>
      <c r="BP197" s="88" t="str">
        <f t="shared" ref="BP197:BP200" si="416">IFERROR(BO197*100/BO$5,"$$$")</f>
        <v>$$$</v>
      </c>
      <c r="BQ197" s="88" t="str">
        <f t="shared" si="4"/>
        <v>$$$</v>
      </c>
      <c r="BR197" s="88" t="str">
        <f t="shared" si="5"/>
        <v>$$$</v>
      </c>
      <c r="BS197" s="29" t="e">
        <f t="shared" ref="BS197:CD200" si="417">IF($CI197,IF(BS$7&gt;0,IF(BS$4&gt;$Q197,$BF197+BS$7*(BS$5+$BG197+$BI197),LOOKUP(BS$7,$AH197:$AL197,$AM197:$AQ197)+IF($AG197="Y",SUMPRODUCT($AX197:$BB197-$AW197:$BA197,BS$7-$AR197:$AV197,N(BS$7&gt;$AR197:$AV197)),BS$7*LOOKUP(BS$7,$AR197:$AV197,$AX197:$BB197))+IF($BE197="Y",$BF197,$BC197)+BS$7*IF($BE197="Y",$BG197,$BD197))*100/BS$7,""),NA())</f>
        <v>#N/A</v>
      </c>
      <c r="BT197" s="29" t="e">
        <f t="shared" si="417"/>
        <v>#N/A</v>
      </c>
      <c r="BU197" s="29" t="e">
        <f t="shared" si="417"/>
        <v>#N/A</v>
      </c>
      <c r="BV197" s="29" t="e">
        <f t="shared" si="417"/>
        <v>#N/A</v>
      </c>
      <c r="BW197" s="29" t="e">
        <f t="shared" si="417"/>
        <v>#N/A</v>
      </c>
      <c r="BX197" s="29" t="e">
        <f t="shared" si="417"/>
        <v>#N/A</v>
      </c>
      <c r="BY197" s="29" t="e">
        <f t="shared" si="417"/>
        <v>#N/A</v>
      </c>
      <c r="BZ197" s="29" t="e">
        <f t="shared" si="417"/>
        <v>#N/A</v>
      </c>
      <c r="CA197" s="29" t="e">
        <f t="shared" si="417"/>
        <v>#N/A</v>
      </c>
      <c r="CB197" s="29" t="e">
        <f t="shared" si="417"/>
        <v>#N/A</v>
      </c>
      <c r="CC197" s="29" t="e">
        <f t="shared" si="417"/>
        <v>#N/A</v>
      </c>
      <c r="CD197" s="29" t="e">
        <f t="shared" si="417"/>
        <v>#N/A</v>
      </c>
      <c r="CE197" s="6" t="str">
        <f t="shared" si="320"/>
        <v/>
      </c>
      <c r="CF197" s="27" t="e">
        <f>IF(AND(CI197,NOT(AD197)),LOOKUP(CF$5,{0,750,1500},H197:J197),"")</f>
        <v>#N/A</v>
      </c>
      <c r="CG197" s="6" t="str">
        <f t="shared" si="321"/>
        <v/>
      </c>
      <c r="CH197" t="e">
        <f t="shared" ref="CH197:CH200" si="418">IF(CI197,IF(ISNUMBER(BO197),BO197,100000)+CV197/10000+IF(ISNUMBER(BJ197),BJ197,2)/10000-P197/100000+ROW()/10000000,"")</f>
        <v>#N/A</v>
      </c>
      <c r="CI197" t="e">
        <f t="shared" ref="CI197:CI200" si="419">PRODUCT(CJ197:CQ197)</f>
        <v>#N/A</v>
      </c>
      <c r="CJ197" s="6" t="e">
        <f t="shared" si="11"/>
        <v>#N/A</v>
      </c>
      <c r="CK197" s="6">
        <f t="shared" si="12"/>
        <v>1</v>
      </c>
      <c r="CL197" s="6">
        <f t="shared" ref="CL197:CL200" si="420">IFERROR(--OR(ISBLANK(CL$5),$BJ197="",AND(ISNUMBER($BJ197),$BJ197&lt;=CL$5)),1)</f>
        <v>1</v>
      </c>
      <c r="CM197" s="6">
        <f t="shared" si="13"/>
        <v>1</v>
      </c>
      <c r="CN197" s="6">
        <f t="shared" si="14"/>
        <v>0</v>
      </c>
      <c r="CO197" s="6">
        <f t="shared" si="15"/>
        <v>1</v>
      </c>
      <c r="CP197" s="6">
        <f t="shared" si="16"/>
        <v>1</v>
      </c>
      <c r="CQ197" s="6">
        <f t="shared" ref="CQ197:CQ200" si="421">IF(CQ$5="Any",1,IF(AND(CQ$5="Med",AV197=0,SUM(AN197:AQ197)=0),1,IF(AND(CQ$5="Low",AV197=0,SUM(AN197:AQ197)=0,AM197=0),1,IF(AND(CQ$5="Flat",AV197=0,SUM(AN197:AQ197)=0,AM197=0,IFERROR(NOT(BE197="Y"),0)),1,0))))</f>
        <v>1</v>
      </c>
      <c r="CR197" s="81" t="str">
        <f t="shared" si="17"/>
        <v/>
      </c>
      <c r="CS197">
        <f t="shared" ref="CS197:CS200" si="422">CS$5*(12/(MIN(12,Q197))-1)</f>
        <v>54</v>
      </c>
      <c r="CT197">
        <f t="shared" si="19"/>
        <v>175</v>
      </c>
      <c r="CU197" t="str">
        <f t="shared" ref="CU197:CU200" si="423">IF(AND(ISERR(FIND("remain",$R197)),ISERR(FIND("left",$R197))),"","r")&amp;IF(ISERR(FIND("mon",$R197)),"","m")</f>
        <v/>
      </c>
      <c r="CV197" s="81">
        <f t="shared" ref="CV197:CV200" si="424">CT197*IF(CU197="",1,Q197)</f>
        <v>175</v>
      </c>
      <c r="CW197" s="81">
        <f>(CV197/25)^1.5*(Calculator!$BU$4/10000)*CW$5</f>
        <v>9.6315719067890644</v>
      </c>
      <c r="CX197" t="str">
        <f t="shared" ref="CX197:CX200" si="425">"$"&amp;IF(LEFT(CU197,1)="r",CT197&amp;"/"&amp;CU197,CV197)</f>
        <v>$175</v>
      </c>
    </row>
    <row r="198" spans="2:102" x14ac:dyDescent="0.25">
      <c r="B198" s="115" t="s">
        <v>233</v>
      </c>
      <c r="C198" s="13">
        <v>46321.660416666666</v>
      </c>
      <c r="D198">
        <v>24638</v>
      </c>
      <c r="E198" s="54" t="s">
        <v>235</v>
      </c>
      <c r="F198" s="54" t="s">
        <v>494</v>
      </c>
      <c r="G198" s="54" t="s">
        <v>1635</v>
      </c>
      <c r="H198" s="55">
        <v>11.200000000000001</v>
      </c>
      <c r="I198" s="55">
        <v>10.299999999999999</v>
      </c>
      <c r="J198" s="55">
        <v>9.9</v>
      </c>
      <c r="K198" s="54"/>
      <c r="L198" s="56" t="b">
        <v>0</v>
      </c>
      <c r="M198" s="56" t="b">
        <v>1</v>
      </c>
      <c r="N198" s="54">
        <v>1</v>
      </c>
      <c r="O198" s="54" t="s">
        <v>228</v>
      </c>
      <c r="P198" s="54">
        <v>22</v>
      </c>
      <c r="Q198" s="54">
        <v>3</v>
      </c>
      <c r="R198" s="54">
        <v>175</v>
      </c>
      <c r="S198" s="54" t="s">
        <v>495</v>
      </c>
      <c r="T198" s="54" t="s">
        <v>500</v>
      </c>
      <c r="U198" s="54" t="s">
        <v>1618</v>
      </c>
      <c r="V198" s="54" t="s">
        <v>497</v>
      </c>
      <c r="W198" s="54" t="b">
        <v>0</v>
      </c>
      <c r="X198" s="54"/>
      <c r="Y198" s="57" t="s">
        <v>1637</v>
      </c>
      <c r="Z198" s="54" t="s">
        <v>498</v>
      </c>
      <c r="AA198" s="54"/>
      <c r="AB198" s="54" t="s">
        <v>499</v>
      </c>
      <c r="AC198" s="56" t="b">
        <v>1</v>
      </c>
      <c r="AD198" s="56" t="b">
        <v>0</v>
      </c>
      <c r="AE198" s="54" t="s">
        <v>302</v>
      </c>
      <c r="AF198" s="58">
        <v>46321</v>
      </c>
      <c r="AG198" s="62" t="s">
        <v>293</v>
      </c>
      <c r="AH198" s="54">
        <v>0</v>
      </c>
      <c r="AI198" s="54"/>
      <c r="AJ198" s="54"/>
      <c r="AK198" s="54"/>
      <c r="AL198" s="54"/>
      <c r="AM198" s="54">
        <v>16.663333333333334</v>
      </c>
      <c r="AN198" s="54"/>
      <c r="AO198" s="54"/>
      <c r="AP198" s="54"/>
      <c r="AQ198" s="54"/>
      <c r="AR198" s="54"/>
      <c r="AS198" s="54"/>
      <c r="AT198" s="54"/>
      <c r="AU198" s="54"/>
      <c r="AV198" s="54"/>
      <c r="AW198" s="54"/>
      <c r="AX198" s="59"/>
      <c r="AY198" s="59"/>
      <c r="AZ198" s="59"/>
      <c r="BA198" s="59"/>
      <c r="BB198" s="59">
        <v>2.8809999999999999E-2</v>
      </c>
      <c r="BC198" s="60">
        <v>4.9000000000000004</v>
      </c>
      <c r="BD198" s="61">
        <v>6.5333000000000002E-2</v>
      </c>
      <c r="BE198" s="62" t="e">
        <v>#N/A</v>
      </c>
      <c r="BF198" s="35">
        <f t="shared" si="412"/>
        <v>4.9000000000000004</v>
      </c>
      <c r="BG198" s="35">
        <f t="shared" si="412"/>
        <v>6.5333000000000002E-2</v>
      </c>
      <c r="BH198" s="35" t="str">
        <f t="shared" si="413"/>
        <v>?</v>
      </c>
      <c r="BI198" s="110">
        <f t="shared" si="414"/>
        <v>0</v>
      </c>
      <c r="BJ198" s="83">
        <f>VLOOKUP($F198,REP_Info!$D$6:$H$250,5,FALSE)</f>
        <v>1.8620000000000001</v>
      </c>
      <c r="BK198" s="30" t="e">
        <f t="shared" si="415"/>
        <v>#N/A</v>
      </c>
      <c r="BL198" s="30" t="e">
        <f t="shared" si="415"/>
        <v>#N/A</v>
      </c>
      <c r="BM198" s="30" t="e">
        <f t="shared" si="415"/>
        <v>#N/A</v>
      </c>
      <c r="BN198" s="29" t="e">
        <f t="shared" si="415"/>
        <v>#N/A</v>
      </c>
      <c r="BO198" s="85" t="str">
        <f t="shared" si="2"/>
        <v>$$$</v>
      </c>
      <c r="BP198" s="88" t="str">
        <f t="shared" si="416"/>
        <v>$$$</v>
      </c>
      <c r="BQ198" s="88" t="str">
        <f t="shared" si="4"/>
        <v>$$$</v>
      </c>
      <c r="BR198" s="88" t="str">
        <f t="shared" si="5"/>
        <v>$$$</v>
      </c>
      <c r="BS198" s="29" t="e">
        <f t="shared" si="417"/>
        <v>#N/A</v>
      </c>
      <c r="BT198" s="29" t="e">
        <f t="shared" si="417"/>
        <v>#N/A</v>
      </c>
      <c r="BU198" s="29" t="e">
        <f t="shared" si="417"/>
        <v>#N/A</v>
      </c>
      <c r="BV198" s="29" t="e">
        <f t="shared" si="417"/>
        <v>#N/A</v>
      </c>
      <c r="BW198" s="29" t="e">
        <f t="shared" si="417"/>
        <v>#N/A</v>
      </c>
      <c r="BX198" s="29" t="e">
        <f t="shared" si="417"/>
        <v>#N/A</v>
      </c>
      <c r="BY198" s="29" t="e">
        <f t="shared" si="417"/>
        <v>#N/A</v>
      </c>
      <c r="BZ198" s="29" t="e">
        <f t="shared" si="417"/>
        <v>#N/A</v>
      </c>
      <c r="CA198" s="29" t="e">
        <f t="shared" si="417"/>
        <v>#N/A</v>
      </c>
      <c r="CB198" s="29" t="e">
        <f t="shared" si="417"/>
        <v>#N/A</v>
      </c>
      <c r="CC198" s="29" t="e">
        <f t="shared" si="417"/>
        <v>#N/A</v>
      </c>
      <c r="CD198" s="29" t="e">
        <f t="shared" si="417"/>
        <v>#N/A</v>
      </c>
      <c r="CE198" s="6" t="str">
        <f t="shared" si="320"/>
        <v/>
      </c>
      <c r="CF198" s="27" t="e">
        <f>IF(AND(CI198,NOT(AD198)),LOOKUP(CF$5,{0,750,1500},H198:J198),"")</f>
        <v>#N/A</v>
      </c>
      <c r="CG198" s="6" t="str">
        <f t="shared" si="321"/>
        <v/>
      </c>
      <c r="CH198" t="e">
        <f t="shared" si="418"/>
        <v>#N/A</v>
      </c>
      <c r="CI198" t="e">
        <f t="shared" si="419"/>
        <v>#N/A</v>
      </c>
      <c r="CJ198" s="6" t="e">
        <f t="shared" si="11"/>
        <v>#N/A</v>
      </c>
      <c r="CK198" s="6">
        <f t="shared" si="12"/>
        <v>1</v>
      </c>
      <c r="CL198" s="6">
        <f t="shared" si="420"/>
        <v>1</v>
      </c>
      <c r="CM198" s="6">
        <f t="shared" si="13"/>
        <v>1</v>
      </c>
      <c r="CN198" s="6">
        <f t="shared" si="14"/>
        <v>0</v>
      </c>
      <c r="CO198" s="6">
        <f t="shared" si="15"/>
        <v>1</v>
      </c>
      <c r="CP198" s="6">
        <f t="shared" si="16"/>
        <v>1</v>
      </c>
      <c r="CQ198" s="6">
        <f t="shared" si="421"/>
        <v>1</v>
      </c>
      <c r="CR198" s="81" t="str">
        <f t="shared" si="17"/>
        <v/>
      </c>
      <c r="CS198">
        <f t="shared" si="422"/>
        <v>54</v>
      </c>
      <c r="CT198">
        <f t="shared" si="19"/>
        <v>175</v>
      </c>
      <c r="CU198" t="str">
        <f t="shared" si="423"/>
        <v/>
      </c>
      <c r="CV198" s="81">
        <f t="shared" si="424"/>
        <v>175</v>
      </c>
      <c r="CW198" s="81">
        <f>(CV198/25)^1.5*(Calculator!$BU$4/10000)*CW$5</f>
        <v>9.6315719067890644</v>
      </c>
      <c r="CX198" t="str">
        <f t="shared" si="425"/>
        <v>$175</v>
      </c>
    </row>
    <row r="199" spans="2:102" x14ac:dyDescent="0.25">
      <c r="B199" s="115" t="s">
        <v>233</v>
      </c>
      <c r="C199" s="13">
        <v>46302.234722222223</v>
      </c>
      <c r="D199">
        <v>24642</v>
      </c>
      <c r="E199" s="54" t="s">
        <v>237</v>
      </c>
      <c r="F199" s="54" t="s">
        <v>494</v>
      </c>
      <c r="G199" s="54" t="s">
        <v>501</v>
      </c>
      <c r="H199" s="55">
        <v>24.7</v>
      </c>
      <c r="I199" s="55">
        <v>11.799999999999999</v>
      </c>
      <c r="J199" s="55">
        <v>17.8</v>
      </c>
      <c r="K199" s="54" t="s">
        <v>312</v>
      </c>
      <c r="L199" s="56" t="b">
        <v>0</v>
      </c>
      <c r="M199" s="56" t="b">
        <v>0</v>
      </c>
      <c r="N199" s="54">
        <v>1</v>
      </c>
      <c r="O199" s="54" t="s">
        <v>228</v>
      </c>
      <c r="P199" s="54">
        <v>22</v>
      </c>
      <c r="Q199" s="54">
        <v>12</v>
      </c>
      <c r="R199" s="54">
        <v>175</v>
      </c>
      <c r="S199" s="54" t="s">
        <v>495</v>
      </c>
      <c r="T199" s="54" t="s">
        <v>502</v>
      </c>
      <c r="U199" s="54" t="s">
        <v>503</v>
      </c>
      <c r="V199" s="54" t="s">
        <v>497</v>
      </c>
      <c r="W199" s="54" t="b">
        <v>0</v>
      </c>
      <c r="X199" s="54"/>
      <c r="Y199" s="57" t="s">
        <v>504</v>
      </c>
      <c r="Z199" s="54" t="s">
        <v>505</v>
      </c>
      <c r="AA199" s="54"/>
      <c r="AB199" s="54" t="s">
        <v>499</v>
      </c>
      <c r="AC199" s="56" t="b">
        <v>1</v>
      </c>
      <c r="AD199" s="56" t="b">
        <v>1</v>
      </c>
      <c r="AE199" s="54" t="s">
        <v>302</v>
      </c>
      <c r="AF199" s="58">
        <v>46302</v>
      </c>
      <c r="AG199" s="62" t="s">
        <v>293</v>
      </c>
      <c r="AH199" s="54">
        <v>0</v>
      </c>
      <c r="AI199" s="54">
        <v>1000</v>
      </c>
      <c r="AJ199" s="54"/>
      <c r="AK199" s="54"/>
      <c r="AL199" s="54"/>
      <c r="AM199" s="54">
        <v>0</v>
      </c>
      <c r="AN199" s="54">
        <v>-125</v>
      </c>
      <c r="AO199" s="54"/>
      <c r="AP199" s="54"/>
      <c r="AQ199" s="54"/>
      <c r="AR199" s="54"/>
      <c r="AS199" s="54"/>
      <c r="AT199" s="54"/>
      <c r="AU199" s="54"/>
      <c r="AV199" s="54"/>
      <c r="AW199" s="54"/>
      <c r="AX199" s="59"/>
      <c r="AY199" s="59"/>
      <c r="AZ199" s="59"/>
      <c r="BA199" s="59"/>
      <c r="BB199" s="59">
        <v>0.17</v>
      </c>
      <c r="BC199" s="60">
        <v>4.0599999999999996</v>
      </c>
      <c r="BD199" s="61">
        <v>6.8672999999999998E-2</v>
      </c>
      <c r="BE199" s="62" t="s">
        <v>293</v>
      </c>
      <c r="BF199" s="35">
        <f t="shared" si="412"/>
        <v>4.0600000000000005</v>
      </c>
      <c r="BG199" s="35">
        <f t="shared" si="412"/>
        <v>6.8672999999999998E-2</v>
      </c>
      <c r="BH199" s="35" t="str">
        <f t="shared" si="413"/>
        <v>High</v>
      </c>
      <c r="BI199" s="110">
        <f t="shared" si="414"/>
        <v>0</v>
      </c>
      <c r="BJ199" s="83">
        <f>VLOOKUP($F199,REP_Info!$D$6:$H$250,5,FALSE)</f>
        <v>1.8620000000000001</v>
      </c>
      <c r="BK199" s="30">
        <f t="shared" si="415"/>
        <v>24.679299999999998</v>
      </c>
      <c r="BL199" s="30">
        <f t="shared" si="415"/>
        <v>11.773300000000001</v>
      </c>
      <c r="BM199" s="30">
        <f t="shared" si="415"/>
        <v>17.8203</v>
      </c>
      <c r="BN199" s="29">
        <f t="shared" si="415"/>
        <v>19.835966666666671</v>
      </c>
      <c r="BO199" s="85" t="str">
        <f t="shared" si="2"/>
        <v>$$$</v>
      </c>
      <c r="BP199" s="88" t="str">
        <f t="shared" si="416"/>
        <v>$$$</v>
      </c>
      <c r="BQ199" s="88" t="str">
        <f t="shared" si="4"/>
        <v>$$$</v>
      </c>
      <c r="BR199" s="88" t="str">
        <f t="shared" si="5"/>
        <v>$$$</v>
      </c>
      <c r="BS199" s="29" t="e">
        <f t="shared" si="417"/>
        <v>#N/A</v>
      </c>
      <c r="BT199" s="29" t="e">
        <f t="shared" si="417"/>
        <v>#N/A</v>
      </c>
      <c r="BU199" s="29" t="e">
        <f t="shared" si="417"/>
        <v>#N/A</v>
      </c>
      <c r="BV199" s="29" t="e">
        <f t="shared" si="417"/>
        <v>#N/A</v>
      </c>
      <c r="BW199" s="29" t="e">
        <f t="shared" si="417"/>
        <v>#N/A</v>
      </c>
      <c r="BX199" s="29" t="e">
        <f t="shared" si="417"/>
        <v>#N/A</v>
      </c>
      <c r="BY199" s="29" t="e">
        <f t="shared" si="417"/>
        <v>#N/A</v>
      </c>
      <c r="BZ199" s="29" t="e">
        <f t="shared" si="417"/>
        <v>#N/A</v>
      </c>
      <c r="CA199" s="29" t="e">
        <f t="shared" si="417"/>
        <v>#N/A</v>
      </c>
      <c r="CB199" s="29" t="e">
        <f t="shared" si="417"/>
        <v>#N/A</v>
      </c>
      <c r="CC199" s="29" t="e">
        <f t="shared" si="417"/>
        <v>#N/A</v>
      </c>
      <c r="CD199" s="29" t="e">
        <f t="shared" si="417"/>
        <v>#N/A</v>
      </c>
      <c r="CE199" s="6" t="str">
        <f t="shared" si="320"/>
        <v/>
      </c>
      <c r="CF199" s="27" t="e">
        <f>IF(AND(CI199,NOT(AD199)),LOOKUP(CF$5,{0,750,1500},H199:J199),"")</f>
        <v>#N/A</v>
      </c>
      <c r="CG199" s="6" t="str">
        <f t="shared" si="321"/>
        <v/>
      </c>
      <c r="CH199" t="e">
        <f t="shared" si="418"/>
        <v>#N/A</v>
      </c>
      <c r="CI199" t="e">
        <f t="shared" si="419"/>
        <v>#N/A</v>
      </c>
      <c r="CJ199" s="6" t="e">
        <f t="shared" si="11"/>
        <v>#N/A</v>
      </c>
      <c r="CK199" s="6">
        <f t="shared" si="12"/>
        <v>1</v>
      </c>
      <c r="CL199" s="6">
        <f t="shared" si="420"/>
        <v>1</v>
      </c>
      <c r="CM199" s="6">
        <f t="shared" si="13"/>
        <v>1</v>
      </c>
      <c r="CN199" s="6">
        <f t="shared" si="14"/>
        <v>1</v>
      </c>
      <c r="CO199" s="6">
        <f t="shared" si="15"/>
        <v>1</v>
      </c>
      <c r="CP199" s="6">
        <f t="shared" si="16"/>
        <v>1</v>
      </c>
      <c r="CQ199" s="6">
        <f t="shared" si="421"/>
        <v>1</v>
      </c>
      <c r="CR199" s="81" t="str">
        <f t="shared" si="17"/>
        <v/>
      </c>
      <c r="CS199">
        <f t="shared" si="422"/>
        <v>0</v>
      </c>
      <c r="CT199">
        <f t="shared" si="19"/>
        <v>175</v>
      </c>
      <c r="CU199" t="str">
        <f t="shared" si="423"/>
        <v/>
      </c>
      <c r="CV199" s="81">
        <f t="shared" si="424"/>
        <v>175</v>
      </c>
      <c r="CW199" s="81">
        <f>(CV199/25)^1.5*(Calculator!$BU$4/10000)*CW$5</f>
        <v>9.6315719067890644</v>
      </c>
      <c r="CX199" t="str">
        <f t="shared" si="425"/>
        <v>$175</v>
      </c>
    </row>
    <row r="200" spans="2:102" x14ac:dyDescent="0.25">
      <c r="B200" s="115" t="s">
        <v>233</v>
      </c>
      <c r="C200" s="13">
        <v>46296.854166666664</v>
      </c>
      <c r="D200">
        <v>24644</v>
      </c>
      <c r="E200" s="54" t="s">
        <v>235</v>
      </c>
      <c r="F200" s="54" t="s">
        <v>494</v>
      </c>
      <c r="G200" s="54" t="s">
        <v>501</v>
      </c>
      <c r="H200" s="55">
        <v>22.900000000000002</v>
      </c>
      <c r="I200" s="55">
        <v>9.9</v>
      </c>
      <c r="J200" s="55">
        <v>15.9</v>
      </c>
      <c r="K200" s="54" t="s">
        <v>312</v>
      </c>
      <c r="L200" s="56" t="b">
        <v>0</v>
      </c>
      <c r="M200" s="56" t="b">
        <v>0</v>
      </c>
      <c r="N200" s="54">
        <v>1</v>
      </c>
      <c r="O200" s="54" t="s">
        <v>228</v>
      </c>
      <c r="P200" s="54">
        <v>22</v>
      </c>
      <c r="Q200" s="54">
        <v>12</v>
      </c>
      <c r="R200" s="54">
        <v>175</v>
      </c>
      <c r="S200" s="54" t="s">
        <v>495</v>
      </c>
      <c r="T200" s="54" t="s">
        <v>502</v>
      </c>
      <c r="U200" s="54" t="s">
        <v>506</v>
      </c>
      <c r="V200" s="54" t="s">
        <v>497</v>
      </c>
      <c r="W200" s="54" t="b">
        <v>0</v>
      </c>
      <c r="X200" s="54"/>
      <c r="Y200" s="57" t="s">
        <v>507</v>
      </c>
      <c r="Z200" s="54" t="s">
        <v>505</v>
      </c>
      <c r="AA200" s="54"/>
      <c r="AB200" s="54" t="s">
        <v>499</v>
      </c>
      <c r="AC200" s="56" t="b">
        <v>1</v>
      </c>
      <c r="AD200" s="56" t="b">
        <v>1</v>
      </c>
      <c r="AE200" s="54" t="s">
        <v>302</v>
      </c>
      <c r="AF200" s="58">
        <v>46296</v>
      </c>
      <c r="AG200" s="62" t="s">
        <v>293</v>
      </c>
      <c r="AH200" s="54">
        <v>0</v>
      </c>
      <c r="AI200" s="54">
        <v>1000</v>
      </c>
      <c r="AJ200" s="54"/>
      <c r="AK200" s="54"/>
      <c r="AL200" s="54"/>
      <c r="AM200" s="54">
        <v>0</v>
      </c>
      <c r="AN200" s="54">
        <v>-125</v>
      </c>
      <c r="AO200" s="54"/>
      <c r="AP200" s="54"/>
      <c r="AQ200" s="54"/>
      <c r="AR200" s="54"/>
      <c r="AS200" s="54"/>
      <c r="AT200" s="54"/>
      <c r="AU200" s="54"/>
      <c r="AV200" s="54"/>
      <c r="AW200" s="54"/>
      <c r="AX200" s="59"/>
      <c r="AY200" s="59"/>
      <c r="AZ200" s="59"/>
      <c r="BA200" s="59"/>
      <c r="BB200" s="59">
        <v>0.154</v>
      </c>
      <c r="BC200" s="60">
        <v>4.9000000000000004</v>
      </c>
      <c r="BD200" s="61">
        <v>6.5333000000000002E-2</v>
      </c>
      <c r="BE200" s="62" t="s">
        <v>293</v>
      </c>
      <c r="BF200" s="35">
        <f t="shared" si="412"/>
        <v>4.9000000000000004</v>
      </c>
      <c r="BG200" s="35">
        <f t="shared" si="412"/>
        <v>6.5333000000000002E-2</v>
      </c>
      <c r="BH200" s="35" t="str">
        <f t="shared" si="413"/>
        <v>High</v>
      </c>
      <c r="BI200" s="110">
        <f t="shared" si="414"/>
        <v>0</v>
      </c>
      <c r="BJ200" s="83">
        <f>VLOOKUP($F200,REP_Info!$D$6:$H$250,5,FALSE)</f>
        <v>1.8620000000000001</v>
      </c>
      <c r="BK200" s="30">
        <f t="shared" si="415"/>
        <v>22.9133</v>
      </c>
      <c r="BL200" s="30">
        <f t="shared" si="415"/>
        <v>9.9233000000000011</v>
      </c>
      <c r="BM200" s="30">
        <f t="shared" si="415"/>
        <v>15.928300000000002</v>
      </c>
      <c r="BN200" s="29">
        <f t="shared" si="415"/>
        <v>17.929966666666669</v>
      </c>
      <c r="BO200" s="85" t="str">
        <f t="shared" si="2"/>
        <v>$$$</v>
      </c>
      <c r="BP200" s="88" t="str">
        <f t="shared" si="416"/>
        <v>$$$</v>
      </c>
      <c r="BQ200" s="88" t="str">
        <f t="shared" si="4"/>
        <v>$$$</v>
      </c>
      <c r="BR200" s="88" t="str">
        <f t="shared" si="5"/>
        <v>$$$</v>
      </c>
      <c r="BS200" s="29" t="e">
        <f t="shared" si="417"/>
        <v>#N/A</v>
      </c>
      <c r="BT200" s="29" t="e">
        <f t="shared" si="417"/>
        <v>#N/A</v>
      </c>
      <c r="BU200" s="29" t="e">
        <f t="shared" si="417"/>
        <v>#N/A</v>
      </c>
      <c r="BV200" s="29" t="e">
        <f t="shared" si="417"/>
        <v>#N/A</v>
      </c>
      <c r="BW200" s="29" t="e">
        <f t="shared" si="417"/>
        <v>#N/A</v>
      </c>
      <c r="BX200" s="29" t="e">
        <f t="shared" si="417"/>
        <v>#N/A</v>
      </c>
      <c r="BY200" s="29" t="e">
        <f t="shared" si="417"/>
        <v>#N/A</v>
      </c>
      <c r="BZ200" s="29" t="e">
        <f t="shared" si="417"/>
        <v>#N/A</v>
      </c>
      <c r="CA200" s="29" t="e">
        <f t="shared" si="417"/>
        <v>#N/A</v>
      </c>
      <c r="CB200" s="29" t="e">
        <f t="shared" si="417"/>
        <v>#N/A</v>
      </c>
      <c r="CC200" s="29" t="e">
        <f t="shared" si="417"/>
        <v>#N/A</v>
      </c>
      <c r="CD200" s="29" t="e">
        <f t="shared" si="417"/>
        <v>#N/A</v>
      </c>
      <c r="CE200" s="6" t="str">
        <f t="shared" si="320"/>
        <v/>
      </c>
      <c r="CF200" s="27" t="e">
        <f>IF(AND(CI200,NOT(AD200)),LOOKUP(CF$5,{0,750,1500},H200:J200),"")</f>
        <v>#N/A</v>
      </c>
      <c r="CG200" s="6" t="str">
        <f t="shared" si="321"/>
        <v/>
      </c>
      <c r="CH200" t="e">
        <f t="shared" si="418"/>
        <v>#N/A</v>
      </c>
      <c r="CI200" t="e">
        <f t="shared" si="419"/>
        <v>#N/A</v>
      </c>
      <c r="CJ200" s="6" t="e">
        <f t="shared" si="11"/>
        <v>#N/A</v>
      </c>
      <c r="CK200" s="6">
        <f t="shared" si="12"/>
        <v>1</v>
      </c>
      <c r="CL200" s="6">
        <f t="shared" si="420"/>
        <v>1</v>
      </c>
      <c r="CM200" s="6">
        <f t="shared" si="13"/>
        <v>1</v>
      </c>
      <c r="CN200" s="6">
        <f t="shared" si="14"/>
        <v>1</v>
      </c>
      <c r="CO200" s="6">
        <f t="shared" si="15"/>
        <v>1</v>
      </c>
      <c r="CP200" s="6">
        <f t="shared" si="16"/>
        <v>1</v>
      </c>
      <c r="CQ200" s="6">
        <f t="shared" si="421"/>
        <v>1</v>
      </c>
      <c r="CR200" s="81" t="str">
        <f t="shared" si="17"/>
        <v/>
      </c>
      <c r="CS200">
        <f t="shared" si="422"/>
        <v>0</v>
      </c>
      <c r="CT200">
        <f t="shared" si="19"/>
        <v>175</v>
      </c>
      <c r="CU200" t="str">
        <f t="shared" si="423"/>
        <v/>
      </c>
      <c r="CV200" s="81">
        <f t="shared" si="424"/>
        <v>175</v>
      </c>
      <c r="CW200" s="81">
        <f>(CV200/25)^1.5*(Calculator!$BU$4/10000)*CW$5</f>
        <v>9.6315719067890644</v>
      </c>
      <c r="CX200" t="str">
        <f t="shared" si="425"/>
        <v>$175</v>
      </c>
    </row>
    <row r="201" spans="2:102" x14ac:dyDescent="0.25">
      <c r="B201" s="115" t="s">
        <v>233</v>
      </c>
      <c r="C201" s="13">
        <v>46302.234722222223</v>
      </c>
      <c r="D201">
        <v>31955</v>
      </c>
      <c r="E201" s="54" t="s">
        <v>237</v>
      </c>
      <c r="F201" s="54" t="s">
        <v>494</v>
      </c>
      <c r="G201" s="54" t="s">
        <v>508</v>
      </c>
      <c r="H201" s="55">
        <v>15.9</v>
      </c>
      <c r="I201" s="55">
        <v>15.5</v>
      </c>
      <c r="J201" s="55">
        <v>15.299999999999999</v>
      </c>
      <c r="K201" s="54"/>
      <c r="L201" s="56" t="b">
        <v>0</v>
      </c>
      <c r="M201" s="56" t="b">
        <v>0</v>
      </c>
      <c r="N201" s="54">
        <v>1</v>
      </c>
      <c r="O201" s="54" t="s">
        <v>228</v>
      </c>
      <c r="P201" s="54">
        <v>22</v>
      </c>
      <c r="Q201" s="54">
        <v>60</v>
      </c>
      <c r="R201" s="54">
        <v>175</v>
      </c>
      <c r="S201" s="54" t="s">
        <v>495</v>
      </c>
      <c r="T201" s="54" t="s">
        <v>509</v>
      </c>
      <c r="U201" s="54" t="s">
        <v>510</v>
      </c>
      <c r="V201" s="54" t="s">
        <v>497</v>
      </c>
      <c r="W201" s="54" t="b">
        <v>0</v>
      </c>
      <c r="X201" s="54"/>
      <c r="Y201" s="57" t="s">
        <v>511</v>
      </c>
      <c r="Z201" s="54" t="s">
        <v>512</v>
      </c>
      <c r="AA201" s="54"/>
      <c r="AB201" s="54" t="s">
        <v>499</v>
      </c>
      <c r="AC201" s="56" t="b">
        <v>1</v>
      </c>
      <c r="AD201" s="56" t="b">
        <v>0</v>
      </c>
      <c r="AE201" s="54" t="s">
        <v>302</v>
      </c>
      <c r="AF201" s="58">
        <v>46302</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8.2000000000000003E-2</v>
      </c>
      <c r="BC201" s="60">
        <v>4.0599999999999996</v>
      </c>
      <c r="BD201" s="61">
        <v>6.8672999999999998E-2</v>
      </c>
      <c r="BE201" s="62" t="s">
        <v>293</v>
      </c>
      <c r="BF201" s="35">
        <f t="shared" ref="BF201:BG202" si="426">IF($E201=$E$4,BF$4,IF($E201=$E$5,BF$5,""))</f>
        <v>4.0600000000000005</v>
      </c>
      <c r="BG201" s="35">
        <f t="shared" si="426"/>
        <v>6.8672999999999998E-2</v>
      </c>
      <c r="BH201" s="35" t="str">
        <f t="shared" ref="BH201:BH202" si="427">IF(ISTEXT(BE201),IF(AND(AV201=0,SUM(AN201:AQ201)=0),IF(AM201&lt;=0,IF(BE201="Y","Low","Flat"),"Med"),"High"),"?")</f>
        <v>Low</v>
      </c>
      <c r="BI201" s="110">
        <f t="shared" ref="BI201:BI202" si="428">IF(ISNUMBER(AH201),0*BI$5*SIN((EDATE($A$3,$Q201)-DATE(YEAR(EDATE($A$3,$Q201)),1,0)-BI$4)*2*PI()/365),"")</f>
        <v>0</v>
      </c>
      <c r="BJ201" s="83">
        <f>VLOOKUP($F201,REP_Info!$D$6:$H$250,5,FALSE)</f>
        <v>1.8620000000000001</v>
      </c>
      <c r="BK201" s="30">
        <f t="shared" ref="BK201:BN202" si="429">IF(BK$7&gt;0,(LOOKUP(BK$7,$AH201:$AL201,$AM201:$AQ201)+IF($AG201="Y",SUMPRODUCT($AX201:$BB201-$AW201:$BA201,BK$7-$AR201:$AV201,N(BK$7&gt;$AR201:$AV201)),BK$7*LOOKUP(BK$7,$AR201:$AV201,$AX201:$BB201))+IF($BE201="Y",$BF201,$BC201)+BK$7*IF($BE201="Y",$BG201,$BD201))*100/BK$7,"")</f>
        <v>15.879300000000001</v>
      </c>
      <c r="BL201" s="30">
        <f t="shared" si="429"/>
        <v>15.473300000000002</v>
      </c>
      <c r="BM201" s="30">
        <f t="shared" si="429"/>
        <v>15.270300000000001</v>
      </c>
      <c r="BN201" s="29">
        <f t="shared" si="429"/>
        <v>15.202633333333333</v>
      </c>
      <c r="BO201" s="85" t="str">
        <f t="shared" si="2"/>
        <v>$$$</v>
      </c>
      <c r="BP201" s="88" t="str">
        <f t="shared" ref="BP201:BP202" si="430">IFERROR(BO201*100/BO$5,"$$$")</f>
        <v>$$$</v>
      </c>
      <c r="BQ201" s="88" t="str">
        <f t="shared" si="4"/>
        <v>$$$</v>
      </c>
      <c r="BR201" s="88" t="str">
        <f t="shared" si="5"/>
        <v>$$$</v>
      </c>
      <c r="BS201" s="29" t="e">
        <f t="shared" ref="BS201:CD202" si="431">IF($CI201,IF(BS$7&gt;0,IF(BS$4&gt;$Q201,$BF201+BS$7*(BS$5+$BG201+$BI201),LOOKUP(BS$7,$AH201:$AL201,$AM201:$AQ201)+IF($AG201="Y",SUMPRODUCT($AX201:$BB201-$AW201:$BA201,BS$7-$AR201:$AV201,N(BS$7&gt;$AR201:$AV201)),BS$7*LOOKUP(BS$7,$AR201:$AV201,$AX201:$BB201))+IF($BE201="Y",$BF201,$BC201)+BS$7*IF($BE201="Y",$BG201,$BD201))*100/BS$7,""),NA())</f>
        <v>#N/A</v>
      </c>
      <c r="BT201" s="29" t="e">
        <f t="shared" si="431"/>
        <v>#N/A</v>
      </c>
      <c r="BU201" s="29" t="e">
        <f t="shared" si="431"/>
        <v>#N/A</v>
      </c>
      <c r="BV201" s="29" t="e">
        <f t="shared" si="431"/>
        <v>#N/A</v>
      </c>
      <c r="BW201" s="29" t="e">
        <f t="shared" si="431"/>
        <v>#N/A</v>
      </c>
      <c r="BX201" s="29" t="e">
        <f t="shared" si="431"/>
        <v>#N/A</v>
      </c>
      <c r="BY201" s="29" t="e">
        <f t="shared" si="431"/>
        <v>#N/A</v>
      </c>
      <c r="BZ201" s="29" t="e">
        <f t="shared" si="431"/>
        <v>#N/A</v>
      </c>
      <c r="CA201" s="29" t="e">
        <f t="shared" si="431"/>
        <v>#N/A</v>
      </c>
      <c r="CB201" s="29" t="e">
        <f t="shared" si="431"/>
        <v>#N/A</v>
      </c>
      <c r="CC201" s="29" t="e">
        <f t="shared" si="431"/>
        <v>#N/A</v>
      </c>
      <c r="CD201" s="29" t="e">
        <f t="shared" si="431"/>
        <v>#N/A</v>
      </c>
      <c r="CE201" s="6" t="str">
        <f t="shared" si="320"/>
        <v/>
      </c>
      <c r="CF201" s="27" t="e">
        <f>IF(AND(CI201,NOT(AD201)),LOOKUP(CF$5,{0,750,1500},H201:J201),"")</f>
        <v>#N/A</v>
      </c>
      <c r="CG201" s="6" t="str">
        <f t="shared" si="321"/>
        <v/>
      </c>
      <c r="CH201" t="e">
        <f t="shared" ref="CH201:CH202" si="432">IF(CI201,IF(ISNUMBER(BO201),BO201,100000)+CV201/10000+IF(ISNUMBER(BJ201),BJ201,2)/10000-P201/100000+ROW()/10000000,"")</f>
        <v>#N/A</v>
      </c>
      <c r="CI201" t="e">
        <f t="shared" ref="CI201:CI202" si="433">PRODUCT(CJ201:CQ201)</f>
        <v>#N/A</v>
      </c>
      <c r="CJ201" s="6" t="e">
        <f t="shared" si="11"/>
        <v>#N/A</v>
      </c>
      <c r="CK201" s="6">
        <f t="shared" si="12"/>
        <v>1</v>
      </c>
      <c r="CL201" s="6">
        <f t="shared" ref="CL201:CL202" si="434">IFERROR(--OR(ISBLANK(CL$5),$BJ201="",AND(ISNUMBER($BJ201),$BJ201&lt;=CL$5)),1)</f>
        <v>1</v>
      </c>
      <c r="CM201" s="6">
        <f t="shared" si="13"/>
        <v>1</v>
      </c>
      <c r="CN201" s="6">
        <f t="shared" si="14"/>
        <v>1</v>
      </c>
      <c r="CO201" s="6">
        <f t="shared" si="15"/>
        <v>0</v>
      </c>
      <c r="CP201" s="6">
        <f t="shared" si="16"/>
        <v>1</v>
      </c>
      <c r="CQ201" s="6">
        <f t="shared" ref="CQ201:CQ202" si="435">IF(CQ$5="Any",1,IF(AND(CQ$5="Med",AV201=0,SUM(AN201:AQ201)=0),1,IF(AND(CQ$5="Low",AV201=0,SUM(AN201:AQ201)=0,AM201=0),1,IF(AND(CQ$5="Flat",AV201=0,SUM(AN201:AQ201)=0,AM201=0,IFERROR(NOT(BE201="Y"),0)),1,0))))</f>
        <v>1</v>
      </c>
      <c r="CR201" s="81" t="str">
        <f t="shared" si="17"/>
        <v/>
      </c>
      <c r="CS201">
        <f t="shared" ref="CS201:CS202" si="436">CS$5*(12/(MIN(12,Q201))-1)</f>
        <v>0</v>
      </c>
      <c r="CT201">
        <f t="shared" si="19"/>
        <v>175</v>
      </c>
      <c r="CU201" t="str">
        <f t="shared" ref="CU201:CU202" si="437">IF(AND(ISERR(FIND("remain",$R201)),ISERR(FIND("left",$R201))),"","r")&amp;IF(ISERR(FIND("mon",$R201)),"","m")</f>
        <v/>
      </c>
      <c r="CV201" s="81">
        <f t="shared" ref="CV201:CV202" si="438">CT201*IF(CU201="",1,Q201)</f>
        <v>175</v>
      </c>
      <c r="CW201" s="81">
        <f>(CV201/25)^1.5*(Calculator!$BU$4/10000)*CW$5</f>
        <v>9.6315719067890644</v>
      </c>
      <c r="CX201" t="str">
        <f t="shared" ref="CX201:CX202" si="439">"$"&amp;IF(LEFT(CU201,1)="r",CT201&amp;"/"&amp;CU201,CV201)</f>
        <v>$175</v>
      </c>
    </row>
    <row r="202" spans="2:102" x14ac:dyDescent="0.25">
      <c r="B202" s="115" t="s">
        <v>233</v>
      </c>
      <c r="C202" s="13">
        <v>46266.661111111112</v>
      </c>
      <c r="D202">
        <v>31957</v>
      </c>
      <c r="E202" s="54" t="s">
        <v>235</v>
      </c>
      <c r="F202" s="54" t="s">
        <v>494</v>
      </c>
      <c r="G202" s="54" t="s">
        <v>508</v>
      </c>
      <c r="H202" s="55">
        <v>16</v>
      </c>
      <c r="I202" s="55">
        <v>15.5</v>
      </c>
      <c r="J202" s="55">
        <v>15.299999999999999</v>
      </c>
      <c r="K202" s="54"/>
      <c r="L202" s="56" t="b">
        <v>0</v>
      </c>
      <c r="M202" s="56" t="b">
        <v>0</v>
      </c>
      <c r="N202" s="54">
        <v>1</v>
      </c>
      <c r="O202" s="54" t="s">
        <v>228</v>
      </c>
      <c r="P202" s="54">
        <v>22</v>
      </c>
      <c r="Q202" s="54">
        <v>60</v>
      </c>
      <c r="R202" s="54">
        <v>175</v>
      </c>
      <c r="S202" s="54" t="s">
        <v>495</v>
      </c>
      <c r="T202" s="54" t="s">
        <v>509</v>
      </c>
      <c r="U202" s="54" t="s">
        <v>513</v>
      </c>
      <c r="V202" s="54" t="s">
        <v>497</v>
      </c>
      <c r="W202" s="54" t="b">
        <v>0</v>
      </c>
      <c r="X202" s="54"/>
      <c r="Y202" s="57" t="s">
        <v>514</v>
      </c>
      <c r="Z202" s="54" t="s">
        <v>512</v>
      </c>
      <c r="AA202" s="54"/>
      <c r="AB202" s="54" t="s">
        <v>499</v>
      </c>
      <c r="AC202" s="56" t="b">
        <v>1</v>
      </c>
      <c r="AD202" s="56" t="b">
        <v>0</v>
      </c>
      <c r="AE202" s="54" t="s">
        <v>302</v>
      </c>
      <c r="AF202" s="58">
        <v>46266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8.5999999999999993E-2</v>
      </c>
      <c r="BC202" s="60">
        <v>4.9000000000000004</v>
      </c>
      <c r="BD202" s="61">
        <v>6.4130000000000006E-2</v>
      </c>
      <c r="BE202" s="62" t="s">
        <v>293</v>
      </c>
      <c r="BF202" s="35">
        <f t="shared" si="426"/>
        <v>4.9000000000000004</v>
      </c>
      <c r="BG202" s="35">
        <f t="shared" si="426"/>
        <v>6.5333000000000002E-2</v>
      </c>
      <c r="BH202" s="35" t="str">
        <f t="shared" si="427"/>
        <v>Low</v>
      </c>
      <c r="BI202" s="110">
        <f t="shared" si="428"/>
        <v>0</v>
      </c>
      <c r="BJ202" s="83">
        <f>VLOOKUP($F202,REP_Info!$D$6:$H$250,5,FALSE)</f>
        <v>1.8620000000000001</v>
      </c>
      <c r="BK202" s="30">
        <f t="shared" si="429"/>
        <v>16.113299999999999</v>
      </c>
      <c r="BL202" s="30">
        <f t="shared" si="429"/>
        <v>15.6233</v>
      </c>
      <c r="BM202" s="30">
        <f t="shared" si="429"/>
        <v>15.378300000000001</v>
      </c>
      <c r="BN202" s="29">
        <f t="shared" si="429"/>
        <v>15.296633333333334</v>
      </c>
      <c r="BO202" s="85" t="str">
        <f t="shared" si="2"/>
        <v>$$$</v>
      </c>
      <c r="BP202" s="88" t="str">
        <f t="shared" si="430"/>
        <v>$$$</v>
      </c>
      <c r="BQ202" s="88" t="str">
        <f t="shared" si="4"/>
        <v>$$$</v>
      </c>
      <c r="BR202" s="88" t="str">
        <f t="shared" si="5"/>
        <v>$$$</v>
      </c>
      <c r="BS202" s="29" t="e">
        <f t="shared" si="431"/>
        <v>#N/A</v>
      </c>
      <c r="BT202" s="29" t="e">
        <f t="shared" si="431"/>
        <v>#N/A</v>
      </c>
      <c r="BU202" s="29" t="e">
        <f t="shared" si="431"/>
        <v>#N/A</v>
      </c>
      <c r="BV202" s="29" t="e">
        <f t="shared" si="431"/>
        <v>#N/A</v>
      </c>
      <c r="BW202" s="29" t="e">
        <f t="shared" si="431"/>
        <v>#N/A</v>
      </c>
      <c r="BX202" s="29" t="e">
        <f t="shared" si="431"/>
        <v>#N/A</v>
      </c>
      <c r="BY202" s="29" t="e">
        <f t="shared" si="431"/>
        <v>#N/A</v>
      </c>
      <c r="BZ202" s="29" t="e">
        <f t="shared" si="431"/>
        <v>#N/A</v>
      </c>
      <c r="CA202" s="29" t="e">
        <f t="shared" si="431"/>
        <v>#N/A</v>
      </c>
      <c r="CB202" s="29" t="e">
        <f t="shared" si="431"/>
        <v>#N/A</v>
      </c>
      <c r="CC202" s="29" t="e">
        <f t="shared" si="431"/>
        <v>#N/A</v>
      </c>
      <c r="CD202" s="29" t="e">
        <f t="shared" si="431"/>
        <v>#N/A</v>
      </c>
      <c r="CE202" s="6" t="str">
        <f t="shared" si="320"/>
        <v/>
      </c>
      <c r="CF202" s="27" t="e">
        <f>IF(AND(CI202,NOT(AD202)),LOOKUP(CF$5,{0,750,1500},H202:J202),"")</f>
        <v>#N/A</v>
      </c>
      <c r="CG202" s="6" t="str">
        <f t="shared" si="321"/>
        <v/>
      </c>
      <c r="CH202" t="e">
        <f t="shared" si="432"/>
        <v>#N/A</v>
      </c>
      <c r="CI202" t="e">
        <f t="shared" si="433"/>
        <v>#N/A</v>
      </c>
      <c r="CJ202" s="6" t="e">
        <f t="shared" si="11"/>
        <v>#N/A</v>
      </c>
      <c r="CK202" s="6">
        <f t="shared" si="12"/>
        <v>1</v>
      </c>
      <c r="CL202" s="6">
        <f t="shared" si="434"/>
        <v>1</v>
      </c>
      <c r="CM202" s="6">
        <f t="shared" si="13"/>
        <v>1</v>
      </c>
      <c r="CN202" s="6">
        <f t="shared" si="14"/>
        <v>1</v>
      </c>
      <c r="CO202" s="6">
        <f t="shared" si="15"/>
        <v>0</v>
      </c>
      <c r="CP202" s="6">
        <f t="shared" si="16"/>
        <v>1</v>
      </c>
      <c r="CQ202" s="6">
        <f t="shared" si="435"/>
        <v>1</v>
      </c>
      <c r="CR202" s="81" t="str">
        <f t="shared" si="17"/>
        <v/>
      </c>
      <c r="CS202">
        <f t="shared" si="436"/>
        <v>0</v>
      </c>
      <c r="CT202">
        <f t="shared" si="19"/>
        <v>175</v>
      </c>
      <c r="CU202" t="str">
        <f t="shared" si="437"/>
        <v/>
      </c>
      <c r="CV202" s="81">
        <f t="shared" si="438"/>
        <v>175</v>
      </c>
      <c r="CW202" s="81">
        <f>(CV202/25)^1.5*(Calculator!$BU$4/10000)*CW$5</f>
        <v>9.6315719067890644</v>
      </c>
      <c r="CX202" t="str">
        <f t="shared" si="439"/>
        <v>$175</v>
      </c>
    </row>
    <row r="203" spans="2:102" x14ac:dyDescent="0.25">
      <c r="B203" s="115" t="s">
        <v>233</v>
      </c>
      <c r="C203" s="13">
        <v>46302.234722222223</v>
      </c>
      <c r="D203">
        <v>33606</v>
      </c>
      <c r="E203" s="54" t="s">
        <v>237</v>
      </c>
      <c r="F203" s="54" t="s">
        <v>494</v>
      </c>
      <c r="G203" s="54" t="s">
        <v>326</v>
      </c>
      <c r="H203" s="55">
        <v>15.9</v>
      </c>
      <c r="I203" s="55">
        <v>15.5</v>
      </c>
      <c r="J203" s="55">
        <v>15.299999999999999</v>
      </c>
      <c r="K203" s="54"/>
      <c r="L203" s="56" t="b">
        <v>0</v>
      </c>
      <c r="M203" s="56" t="b">
        <v>0</v>
      </c>
      <c r="N203" s="54">
        <v>1</v>
      </c>
      <c r="O203" s="54" t="s">
        <v>228</v>
      </c>
      <c r="P203" s="54">
        <v>22</v>
      </c>
      <c r="Q203" s="54">
        <v>24</v>
      </c>
      <c r="R203" s="54">
        <v>175</v>
      </c>
      <c r="S203" s="54" t="s">
        <v>495</v>
      </c>
      <c r="T203" s="54" t="s">
        <v>509</v>
      </c>
      <c r="U203" s="54" t="s">
        <v>515</v>
      </c>
      <c r="V203" s="54" t="s">
        <v>497</v>
      </c>
      <c r="W203" s="54" t="b">
        <v>0</v>
      </c>
      <c r="X203" s="54"/>
      <c r="Y203" s="57" t="s">
        <v>516</v>
      </c>
      <c r="Z203" s="54" t="s">
        <v>512</v>
      </c>
      <c r="AA203" s="54"/>
      <c r="AB203" s="54" t="s">
        <v>499</v>
      </c>
      <c r="AC203" s="56" t="b">
        <v>1</v>
      </c>
      <c r="AD203" s="56" t="b">
        <v>0</v>
      </c>
      <c r="AE203" s="54" t="s">
        <v>302</v>
      </c>
      <c r="AF203" s="58">
        <v>46302</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8.2000000000000003E-2</v>
      </c>
      <c r="BC203" s="60">
        <v>4.0599999999999996</v>
      </c>
      <c r="BD203" s="61">
        <v>6.8672999999999998E-2</v>
      </c>
      <c r="BE203" s="62" t="s">
        <v>293</v>
      </c>
      <c r="BF203" s="35">
        <f t="shared" si="0"/>
        <v>4.0600000000000005</v>
      </c>
      <c r="BG203" s="35">
        <f t="shared" si="0"/>
        <v>6.8672999999999998E-2</v>
      </c>
      <c r="BH203" s="35" t="str">
        <f t="shared" ref="BH203:BH219" si="440">IF(ISTEXT(BE203),IF(AND(AV203=0,SUM(AN203:AQ203)=0),IF(AM203&lt;=0,IF(BE203="Y","Low","Flat"),"Med"),"High"),"?")</f>
        <v>Low</v>
      </c>
      <c r="BI203" s="110">
        <f t="shared" ref="BI203:BI219" si="441">IF(ISNUMBER(AH203),0*BI$5*SIN((EDATE($A$3,$Q203)-DATE(YEAR(EDATE($A$3,$Q203)),1,0)-BI$4)*2*PI()/365),"")</f>
        <v>0</v>
      </c>
      <c r="BJ203" s="83">
        <f>VLOOKUP($F203,REP_Info!$D$6:$H$250,5,FALSE)</f>
        <v>1.8620000000000001</v>
      </c>
      <c r="BK203" s="30">
        <f t="shared" ref="BK203:BN219" si="442">IF(BK$7&gt;0,(LOOKUP(BK$7,$AH203:$AL203,$AM203:$AQ203)+IF($AG203="Y",SUMPRODUCT($AX203:$BB203-$AW203:$BA203,BK$7-$AR203:$AV203,N(BK$7&gt;$AR203:$AV203)),BK$7*LOOKUP(BK$7,$AR203:$AV203,$AX203:$BB203))+IF($BE203="Y",$BF203,$BC203)+BK$7*IF($BE203="Y",$BG203,$BD203))*100/BK$7,"")</f>
        <v>15.879300000000001</v>
      </c>
      <c r="BL203" s="30">
        <f t="shared" si="442"/>
        <v>15.473300000000002</v>
      </c>
      <c r="BM203" s="30">
        <f t="shared" si="442"/>
        <v>15.270300000000001</v>
      </c>
      <c r="BN203" s="29">
        <f t="shared" si="442"/>
        <v>15.202633333333333</v>
      </c>
      <c r="BO203" s="85" t="str">
        <f t="shared" si="2"/>
        <v>$$$</v>
      </c>
      <c r="BP203" s="88" t="str">
        <f t="shared" ref="BP203:BP219" si="443">IFERROR(BO203*100/BO$5,"$$$")</f>
        <v>$$$</v>
      </c>
      <c r="BQ203" s="88" t="str">
        <f t="shared" si="4"/>
        <v>$$$</v>
      </c>
      <c r="BR203" s="88" t="str">
        <f t="shared" si="5"/>
        <v>$$$</v>
      </c>
      <c r="BS203" s="29" t="e">
        <f t="shared" ref="BS203:CD219" si="444">IF($CI203,IF(BS$7&gt;0,IF(BS$4&gt;$Q203,$BF203+BS$7*(BS$5+$BG203+$BI203),LOOKUP(BS$7,$AH203:$AL203,$AM203:$AQ203)+IF($AG203="Y",SUMPRODUCT($AX203:$BB203-$AW203:$BA203,BS$7-$AR203:$AV203,N(BS$7&gt;$AR203:$AV203)),BS$7*LOOKUP(BS$7,$AR203:$AV203,$AX203:$BB203))+IF($BE203="Y",$BF203,$BC203)+BS$7*IF($BE203="Y",$BG203,$BD203))*100/BS$7,""),NA())</f>
        <v>#N/A</v>
      </c>
      <c r="BT203" s="29" t="e">
        <f t="shared" si="444"/>
        <v>#N/A</v>
      </c>
      <c r="BU203" s="29" t="e">
        <f t="shared" si="444"/>
        <v>#N/A</v>
      </c>
      <c r="BV203" s="29" t="e">
        <f t="shared" si="444"/>
        <v>#N/A</v>
      </c>
      <c r="BW203" s="29" t="e">
        <f t="shared" si="444"/>
        <v>#N/A</v>
      </c>
      <c r="BX203" s="29" t="e">
        <f t="shared" si="444"/>
        <v>#N/A</v>
      </c>
      <c r="BY203" s="29" t="e">
        <f t="shared" si="444"/>
        <v>#N/A</v>
      </c>
      <c r="BZ203" s="29" t="e">
        <f t="shared" si="444"/>
        <v>#N/A</v>
      </c>
      <c r="CA203" s="29" t="e">
        <f t="shared" si="444"/>
        <v>#N/A</v>
      </c>
      <c r="CB203" s="29" t="e">
        <f t="shared" si="444"/>
        <v>#N/A</v>
      </c>
      <c r="CC203" s="29" t="e">
        <f t="shared" si="444"/>
        <v>#N/A</v>
      </c>
      <c r="CD203" s="29" t="e">
        <f t="shared" si="444"/>
        <v>#N/A</v>
      </c>
      <c r="CE203" s="6" t="str">
        <f t="shared" si="320"/>
        <v/>
      </c>
      <c r="CF203" s="27" t="e">
        <f>IF(AND(CI203,NOT(AD203)),LOOKUP(CF$5,{0,750,1500},H203:J203),"")</f>
        <v>#N/A</v>
      </c>
      <c r="CG203" s="6" t="str">
        <f t="shared" si="321"/>
        <v/>
      </c>
      <c r="CH203" t="e">
        <f t="shared" ref="CH203:CH219" si="445">IF(CI203,IF(ISNUMBER(BO203),BO203,100000)+CV203/10000+IF(ISNUMBER(BJ203),BJ203,2)/10000-P203/100000+ROW()/10000000,"")</f>
        <v>#N/A</v>
      </c>
      <c r="CI203" t="e">
        <f t="shared" ref="CI203:CI219" si="446">PRODUCT(CJ203:CQ203)</f>
        <v>#N/A</v>
      </c>
      <c r="CJ203" s="6" t="e">
        <f t="shared" si="11"/>
        <v>#N/A</v>
      </c>
      <c r="CK203" s="6">
        <f t="shared" si="12"/>
        <v>1</v>
      </c>
      <c r="CL203" s="6">
        <f t="shared" si="26"/>
        <v>1</v>
      </c>
      <c r="CM203" s="6">
        <f t="shared" si="13"/>
        <v>1</v>
      </c>
      <c r="CN203" s="6">
        <f t="shared" si="14"/>
        <v>1</v>
      </c>
      <c r="CO203" s="6">
        <f t="shared" si="15"/>
        <v>0</v>
      </c>
      <c r="CP203" s="6">
        <f t="shared" si="16"/>
        <v>1</v>
      </c>
      <c r="CQ203" s="6">
        <f t="shared" ref="CQ203:CQ219" si="447">IF(CQ$5="Any",1,IF(AND(CQ$5="Med",AV203=0,SUM(AN203:AQ203)=0),1,IF(AND(CQ$5="Low",AV203=0,SUM(AN203:AQ203)=0,AM203=0),1,IF(AND(CQ$5="Flat",AV203=0,SUM(AN203:AQ203)=0,AM203=0,IFERROR(NOT(BE203="Y"),0)),1,0))))</f>
        <v>1</v>
      </c>
      <c r="CR203" s="81" t="str">
        <f t="shared" si="17"/>
        <v/>
      </c>
      <c r="CS203">
        <f t="shared" ref="CS203:CS219" si="448">CS$5*(12/(MIN(12,Q203))-1)</f>
        <v>0</v>
      </c>
      <c r="CT203">
        <f t="shared" si="19"/>
        <v>175</v>
      </c>
      <c r="CU203" t="str">
        <f t="shared" si="29"/>
        <v/>
      </c>
      <c r="CV203" s="81">
        <f t="shared" ref="CV203:CV219" si="449">CT203*IF(CU203="",1,Q203)</f>
        <v>175</v>
      </c>
      <c r="CW203" s="81">
        <f>(CV203/25)^1.5*(Calculator!$BU$4/10000)*CW$5</f>
        <v>9.6315719067890644</v>
      </c>
      <c r="CX203" t="str">
        <f t="shared" ref="CX203:CX219" si="450">"$"&amp;IF(LEFT(CU203,1)="r",CT203&amp;"/"&amp;CU203,CV203)</f>
        <v>$175</v>
      </c>
    </row>
    <row r="204" spans="2:102" x14ac:dyDescent="0.25">
      <c r="B204" s="115" t="s">
        <v>233</v>
      </c>
      <c r="C204" s="13">
        <v>46266.661111111112</v>
      </c>
      <c r="D204">
        <v>33608</v>
      </c>
      <c r="E204" s="54" t="s">
        <v>235</v>
      </c>
      <c r="F204" s="54" t="s">
        <v>494</v>
      </c>
      <c r="G204" s="54" t="s">
        <v>326</v>
      </c>
      <c r="H204" s="55">
        <v>16</v>
      </c>
      <c r="I204" s="55">
        <v>15.5</v>
      </c>
      <c r="J204" s="55">
        <v>15.299999999999999</v>
      </c>
      <c r="K204" s="54"/>
      <c r="L204" s="56" t="b">
        <v>0</v>
      </c>
      <c r="M204" s="56" t="b">
        <v>0</v>
      </c>
      <c r="N204" s="54">
        <v>1</v>
      </c>
      <c r="O204" s="54" t="s">
        <v>228</v>
      </c>
      <c r="P204" s="54">
        <v>22</v>
      </c>
      <c r="Q204" s="54">
        <v>24</v>
      </c>
      <c r="R204" s="54">
        <v>175</v>
      </c>
      <c r="S204" s="54" t="s">
        <v>495</v>
      </c>
      <c r="T204" s="54" t="s">
        <v>509</v>
      </c>
      <c r="U204" s="54" t="s">
        <v>517</v>
      </c>
      <c r="V204" s="54" t="s">
        <v>497</v>
      </c>
      <c r="W204" s="54" t="b">
        <v>0</v>
      </c>
      <c r="X204" s="54"/>
      <c r="Y204" s="57" t="s">
        <v>518</v>
      </c>
      <c r="Z204" s="54" t="s">
        <v>512</v>
      </c>
      <c r="AA204" s="54"/>
      <c r="AB204" s="54" t="s">
        <v>499</v>
      </c>
      <c r="AC204" s="56" t="b">
        <v>1</v>
      </c>
      <c r="AD204" s="56" t="b">
        <v>0</v>
      </c>
      <c r="AE204" s="54" t="s">
        <v>302</v>
      </c>
      <c r="AF204" s="58">
        <v>46266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8.5999999999999993E-2</v>
      </c>
      <c r="BC204" s="60">
        <v>4.9000000000000004</v>
      </c>
      <c r="BD204" s="61">
        <v>6.4130000000000006E-2</v>
      </c>
      <c r="BE204" s="62" t="s">
        <v>293</v>
      </c>
      <c r="BF204" s="35">
        <f t="shared" si="0"/>
        <v>4.9000000000000004</v>
      </c>
      <c r="BG204" s="35">
        <f t="shared" si="0"/>
        <v>6.5333000000000002E-2</v>
      </c>
      <c r="BH204" s="35" t="str">
        <f t="shared" si="440"/>
        <v>Low</v>
      </c>
      <c r="BI204" s="110">
        <f t="shared" si="441"/>
        <v>0</v>
      </c>
      <c r="BJ204" s="83">
        <f>VLOOKUP($F204,REP_Info!$D$6:$H$250,5,FALSE)</f>
        <v>1.8620000000000001</v>
      </c>
      <c r="BK204" s="30">
        <f t="shared" si="442"/>
        <v>16.113299999999999</v>
      </c>
      <c r="BL204" s="30">
        <f t="shared" si="442"/>
        <v>15.6233</v>
      </c>
      <c r="BM204" s="30">
        <f t="shared" si="442"/>
        <v>15.378300000000001</v>
      </c>
      <c r="BN204" s="29">
        <f t="shared" si="442"/>
        <v>15.296633333333334</v>
      </c>
      <c r="BO204" s="85" t="str">
        <f t="shared" si="2"/>
        <v>$$$</v>
      </c>
      <c r="BP204" s="88" t="str">
        <f t="shared" si="443"/>
        <v>$$$</v>
      </c>
      <c r="BQ204" s="88" t="str">
        <f t="shared" si="4"/>
        <v>$$$</v>
      </c>
      <c r="BR204" s="88" t="str">
        <f t="shared" si="5"/>
        <v>$$$</v>
      </c>
      <c r="BS204" s="29" t="e">
        <f t="shared" si="444"/>
        <v>#N/A</v>
      </c>
      <c r="BT204" s="29" t="e">
        <f t="shared" si="444"/>
        <v>#N/A</v>
      </c>
      <c r="BU204" s="29" t="e">
        <f t="shared" si="444"/>
        <v>#N/A</v>
      </c>
      <c r="BV204" s="29" t="e">
        <f t="shared" si="444"/>
        <v>#N/A</v>
      </c>
      <c r="BW204" s="29" t="e">
        <f t="shared" si="444"/>
        <v>#N/A</v>
      </c>
      <c r="BX204" s="29" t="e">
        <f t="shared" si="444"/>
        <v>#N/A</v>
      </c>
      <c r="BY204" s="29" t="e">
        <f t="shared" si="444"/>
        <v>#N/A</v>
      </c>
      <c r="BZ204" s="29" t="e">
        <f t="shared" si="444"/>
        <v>#N/A</v>
      </c>
      <c r="CA204" s="29" t="e">
        <f t="shared" si="444"/>
        <v>#N/A</v>
      </c>
      <c r="CB204" s="29" t="e">
        <f t="shared" si="444"/>
        <v>#N/A</v>
      </c>
      <c r="CC204" s="29" t="e">
        <f t="shared" si="444"/>
        <v>#N/A</v>
      </c>
      <c r="CD204" s="29" t="e">
        <f t="shared" si="444"/>
        <v>#N/A</v>
      </c>
      <c r="CE204" s="6" t="str">
        <f t="shared" si="320"/>
        <v/>
      </c>
      <c r="CF204" s="27" t="e">
        <f>IF(AND(CI204,NOT(AD204)),LOOKUP(CF$5,{0,750,1500},H204:J204),"")</f>
        <v>#N/A</v>
      </c>
      <c r="CG204" s="6" t="str">
        <f t="shared" si="321"/>
        <v/>
      </c>
      <c r="CH204" t="e">
        <f t="shared" si="445"/>
        <v>#N/A</v>
      </c>
      <c r="CI204" t="e">
        <f t="shared" si="446"/>
        <v>#N/A</v>
      </c>
      <c r="CJ204" s="6" t="e">
        <f t="shared" si="11"/>
        <v>#N/A</v>
      </c>
      <c r="CK204" s="6">
        <f t="shared" si="12"/>
        <v>1</v>
      </c>
      <c r="CL204" s="6">
        <f t="shared" si="26"/>
        <v>1</v>
      </c>
      <c r="CM204" s="6">
        <f t="shared" si="13"/>
        <v>1</v>
      </c>
      <c r="CN204" s="6">
        <f t="shared" si="14"/>
        <v>1</v>
      </c>
      <c r="CO204" s="6">
        <f t="shared" si="15"/>
        <v>0</v>
      </c>
      <c r="CP204" s="6">
        <f t="shared" si="16"/>
        <v>1</v>
      </c>
      <c r="CQ204" s="6">
        <f t="shared" si="447"/>
        <v>1</v>
      </c>
      <c r="CR204" s="81" t="str">
        <f t="shared" si="17"/>
        <v/>
      </c>
      <c r="CS204">
        <f t="shared" si="448"/>
        <v>0</v>
      </c>
      <c r="CT204">
        <f t="shared" si="19"/>
        <v>175</v>
      </c>
      <c r="CU204" t="str">
        <f t="shared" si="29"/>
        <v/>
      </c>
      <c r="CV204" s="81">
        <f t="shared" si="449"/>
        <v>175</v>
      </c>
      <c r="CW204" s="81">
        <f>(CV204/25)^1.5*(Calculator!$BU$4/10000)*CW$5</f>
        <v>9.6315719067890644</v>
      </c>
      <c r="CX204" t="str">
        <f t="shared" si="450"/>
        <v>$175</v>
      </c>
    </row>
    <row r="205" spans="2:102" x14ac:dyDescent="0.25">
      <c r="B205" s="115" t="s">
        <v>233</v>
      </c>
      <c r="C205" s="13">
        <v>46295.87222222222</v>
      </c>
      <c r="D205">
        <v>619</v>
      </c>
      <c r="E205" s="54" t="s">
        <v>235</v>
      </c>
      <c r="F205" s="54" t="s">
        <v>519</v>
      </c>
      <c r="G205" s="54" t="s">
        <v>520</v>
      </c>
      <c r="H205" s="55">
        <v>17.8</v>
      </c>
      <c r="I205" s="55">
        <v>16.600000000000001</v>
      </c>
      <c r="J205" s="55">
        <v>15.9</v>
      </c>
      <c r="K205" s="54"/>
      <c r="L205" s="56" t="b">
        <v>0</v>
      </c>
      <c r="M205" s="56" t="b">
        <v>0</v>
      </c>
      <c r="N205" s="54">
        <v>0</v>
      </c>
      <c r="O205" s="54" t="s">
        <v>238</v>
      </c>
      <c r="P205" s="54">
        <v>15</v>
      </c>
      <c r="Q205" s="54">
        <v>0</v>
      </c>
      <c r="R205" s="54">
        <v>0</v>
      </c>
      <c r="S205" s="54" t="s">
        <v>521</v>
      </c>
      <c r="T205" s="54" t="s">
        <v>522</v>
      </c>
      <c r="U205" s="54" t="s">
        <v>523</v>
      </c>
      <c r="V205" s="54" t="s">
        <v>524</v>
      </c>
      <c r="W205" s="54" t="b">
        <v>0</v>
      </c>
      <c r="X205" s="54"/>
      <c r="Y205" s="57" t="s">
        <v>1838</v>
      </c>
      <c r="Z205" s="54" t="s">
        <v>525</v>
      </c>
      <c r="AA205" s="54"/>
      <c r="AB205" s="54" t="s">
        <v>526</v>
      </c>
      <c r="AC205" s="56" t="b">
        <v>0</v>
      </c>
      <c r="AD205" s="56" t="b">
        <v>0</v>
      </c>
      <c r="AE205" s="54"/>
      <c r="AF205" s="58"/>
      <c r="AG205" s="62" t="s">
        <v>293</v>
      </c>
      <c r="AH205" s="54"/>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c r="BF205" s="35">
        <f t="shared" ref="BF205:BG219" si="451">IF($E205=$E$4,BF$4,IF($E205=$E$5,BF$5,""))</f>
        <v>4.9000000000000004</v>
      </c>
      <c r="BG205" s="35">
        <f t="shared" si="451"/>
        <v>6.5333000000000002E-2</v>
      </c>
      <c r="BH205" s="35" t="str">
        <f t="shared" si="440"/>
        <v>?</v>
      </c>
      <c r="BI205" s="110" t="str">
        <f t="shared" si="441"/>
        <v/>
      </c>
      <c r="BJ205" s="83" t="e">
        <f>VLOOKUP($F205,REP_Info!$D$6:$H$250,5,FALSE)</f>
        <v>#N/A</v>
      </c>
      <c r="BK205" s="30" t="e">
        <f t="shared" si="442"/>
        <v>#N/A</v>
      </c>
      <c r="BL205" s="30" t="e">
        <f t="shared" si="442"/>
        <v>#N/A</v>
      </c>
      <c r="BM205" s="30" t="e">
        <f t="shared" si="442"/>
        <v>#N/A</v>
      </c>
      <c r="BN205" s="29" t="e">
        <f t="shared" si="442"/>
        <v>#N/A</v>
      </c>
      <c r="BO205" s="85" t="str">
        <f t="shared" si="2"/>
        <v>$$$</v>
      </c>
      <c r="BP205" s="88" t="str">
        <f t="shared" si="443"/>
        <v>$$$</v>
      </c>
      <c r="BQ205" s="88" t="str">
        <f t="shared" si="4"/>
        <v>$$$</v>
      </c>
      <c r="BR205" s="88" t="str">
        <f t="shared" si="5"/>
        <v>$$$</v>
      </c>
      <c r="BS205" s="29" t="e">
        <f t="shared" si="444"/>
        <v>#N/A</v>
      </c>
      <c r="BT205" s="29" t="e">
        <f t="shared" si="444"/>
        <v>#N/A</v>
      </c>
      <c r="BU205" s="29" t="e">
        <f t="shared" si="444"/>
        <v>#N/A</v>
      </c>
      <c r="BV205" s="29" t="e">
        <f t="shared" si="444"/>
        <v>#N/A</v>
      </c>
      <c r="BW205" s="29" t="e">
        <f t="shared" si="444"/>
        <v>#N/A</v>
      </c>
      <c r="BX205" s="29" t="e">
        <f t="shared" si="444"/>
        <v>#N/A</v>
      </c>
      <c r="BY205" s="29" t="e">
        <f t="shared" si="444"/>
        <v>#N/A</v>
      </c>
      <c r="BZ205" s="29" t="e">
        <f t="shared" si="444"/>
        <v>#N/A</v>
      </c>
      <c r="CA205" s="29" t="e">
        <f t="shared" si="444"/>
        <v>#N/A</v>
      </c>
      <c r="CB205" s="29" t="e">
        <f t="shared" si="444"/>
        <v>#N/A</v>
      </c>
      <c r="CC205" s="29" t="e">
        <f t="shared" si="444"/>
        <v>#N/A</v>
      </c>
      <c r="CD205" s="29" t="e">
        <f t="shared" si="444"/>
        <v>#N/A</v>
      </c>
      <c r="CE205" s="6" t="str">
        <f t="shared" si="320"/>
        <v/>
      </c>
      <c r="CF205" s="27" t="e">
        <f>IF(AND(CI205,NOT(AD205)),LOOKUP(CF$5,{0,750,1500},H205:J205),"")</f>
        <v>#N/A</v>
      </c>
      <c r="CG205" s="6" t="str">
        <f t="shared" si="321"/>
        <v/>
      </c>
      <c r="CH205" t="e">
        <f t="shared" si="445"/>
        <v>#N/A</v>
      </c>
      <c r="CI205" t="e">
        <f t="shared" si="446"/>
        <v>#N/A</v>
      </c>
      <c r="CJ205" s="6" t="e">
        <f t="shared" si="11"/>
        <v>#N/A</v>
      </c>
      <c r="CK205" s="6">
        <f t="shared" si="12"/>
        <v>1</v>
      </c>
      <c r="CL205" s="6">
        <f t="shared" si="26"/>
        <v>1</v>
      </c>
      <c r="CM205" s="6">
        <f t="shared" si="13"/>
        <v>0</v>
      </c>
      <c r="CN205" s="6">
        <f t="shared" si="14"/>
        <v>0</v>
      </c>
      <c r="CO205" s="6">
        <f t="shared" si="15"/>
        <v>1</v>
      </c>
      <c r="CP205" s="6">
        <f t="shared" si="16"/>
        <v>1</v>
      </c>
      <c r="CQ205" s="6">
        <f t="shared" si="447"/>
        <v>1</v>
      </c>
      <c r="CR205" s="81" t="str">
        <f t="shared" si="17"/>
        <v/>
      </c>
      <c r="CS205" t="e">
        <f t="shared" si="448"/>
        <v>#DIV/0!</v>
      </c>
      <c r="CT205">
        <f t="shared" si="19"/>
        <v>0</v>
      </c>
      <c r="CU205" t="str">
        <f t="shared" si="29"/>
        <v/>
      </c>
      <c r="CV205" s="81">
        <f t="shared" si="449"/>
        <v>0</v>
      </c>
      <c r="CW205" s="81">
        <f>(CV205/25)^1.5*(Calculator!$BU$4/10000)*CW$5</f>
        <v>0</v>
      </c>
      <c r="CX205" t="str">
        <f t="shared" si="450"/>
        <v>$0</v>
      </c>
    </row>
    <row r="206" spans="2:102" x14ac:dyDescent="0.25">
      <c r="B206" s="115" t="s">
        <v>233</v>
      </c>
      <c r="C206" s="13">
        <v>46295.87222222222</v>
      </c>
      <c r="D206">
        <v>31423</v>
      </c>
      <c r="E206" s="54" t="s">
        <v>237</v>
      </c>
      <c r="F206" s="54" t="s">
        <v>519</v>
      </c>
      <c r="G206" s="54" t="s">
        <v>520</v>
      </c>
      <c r="H206" s="55">
        <v>18.8</v>
      </c>
      <c r="I206" s="55">
        <v>16.8</v>
      </c>
      <c r="J206" s="55">
        <v>16.2</v>
      </c>
      <c r="K206" s="54"/>
      <c r="L206" s="56" t="b">
        <v>0</v>
      </c>
      <c r="M206" s="56" t="b">
        <v>0</v>
      </c>
      <c r="N206" s="54">
        <v>0</v>
      </c>
      <c r="O206" s="54" t="s">
        <v>238</v>
      </c>
      <c r="P206" s="54">
        <v>15</v>
      </c>
      <c r="Q206" s="54">
        <v>0</v>
      </c>
      <c r="R206" s="54">
        <v>0</v>
      </c>
      <c r="S206" s="54" t="s">
        <v>521</v>
      </c>
      <c r="T206" s="54" t="s">
        <v>522</v>
      </c>
      <c r="U206" s="54" t="s">
        <v>523</v>
      </c>
      <c r="V206" s="54" t="s">
        <v>524</v>
      </c>
      <c r="W206" s="54" t="b">
        <v>0</v>
      </c>
      <c r="X206" s="54"/>
      <c r="Y206" s="57" t="s">
        <v>1839</v>
      </c>
      <c r="Z206" s="54" t="s">
        <v>525</v>
      </c>
      <c r="AA206" s="54"/>
      <c r="AB206" s="54" t="s">
        <v>526</v>
      </c>
      <c r="AC206" s="56" t="b">
        <v>0</v>
      </c>
      <c r="AD206" s="56" t="b">
        <v>0</v>
      </c>
      <c r="AE206" s="54"/>
      <c r="AF206" s="58"/>
      <c r="AG206" s="62" t="s">
        <v>293</v>
      </c>
      <c r="AH206" s="54"/>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c r="BF206" s="35">
        <f t="shared" si="451"/>
        <v>4.0600000000000005</v>
      </c>
      <c r="BG206" s="35">
        <f t="shared" si="451"/>
        <v>6.8672999999999998E-2</v>
      </c>
      <c r="BH206" s="35" t="str">
        <f t="shared" si="440"/>
        <v>?</v>
      </c>
      <c r="BI206" s="110" t="str">
        <f t="shared" si="441"/>
        <v/>
      </c>
      <c r="BJ206" s="83" t="e">
        <f>VLOOKUP($F206,REP_Info!$D$6:$H$250,5,FALSE)</f>
        <v>#N/A</v>
      </c>
      <c r="BK206" s="30" t="e">
        <f t="shared" si="442"/>
        <v>#N/A</v>
      </c>
      <c r="BL206" s="30" t="e">
        <f t="shared" si="442"/>
        <v>#N/A</v>
      </c>
      <c r="BM206" s="30" t="e">
        <f t="shared" si="442"/>
        <v>#N/A</v>
      </c>
      <c r="BN206" s="29" t="e">
        <f t="shared" si="442"/>
        <v>#N/A</v>
      </c>
      <c r="BO206" s="85" t="str">
        <f t="shared" si="2"/>
        <v>$$$</v>
      </c>
      <c r="BP206" s="88" t="str">
        <f t="shared" si="443"/>
        <v>$$$</v>
      </c>
      <c r="BQ206" s="88" t="str">
        <f t="shared" si="4"/>
        <v>$$$</v>
      </c>
      <c r="BR206" s="88" t="str">
        <f t="shared" si="5"/>
        <v>$$$</v>
      </c>
      <c r="BS206" s="29" t="e">
        <f t="shared" si="444"/>
        <v>#N/A</v>
      </c>
      <c r="BT206" s="29" t="e">
        <f t="shared" si="444"/>
        <v>#N/A</v>
      </c>
      <c r="BU206" s="29" t="e">
        <f t="shared" si="444"/>
        <v>#N/A</v>
      </c>
      <c r="BV206" s="29" t="e">
        <f t="shared" si="444"/>
        <v>#N/A</v>
      </c>
      <c r="BW206" s="29" t="e">
        <f t="shared" si="444"/>
        <v>#N/A</v>
      </c>
      <c r="BX206" s="29" t="e">
        <f t="shared" si="444"/>
        <v>#N/A</v>
      </c>
      <c r="BY206" s="29" t="e">
        <f t="shared" si="444"/>
        <v>#N/A</v>
      </c>
      <c r="BZ206" s="29" t="e">
        <f t="shared" si="444"/>
        <v>#N/A</v>
      </c>
      <c r="CA206" s="29" t="e">
        <f t="shared" si="444"/>
        <v>#N/A</v>
      </c>
      <c r="CB206" s="29" t="e">
        <f t="shared" si="444"/>
        <v>#N/A</v>
      </c>
      <c r="CC206" s="29" t="e">
        <f t="shared" si="444"/>
        <v>#N/A</v>
      </c>
      <c r="CD206" s="29" t="e">
        <f t="shared" si="444"/>
        <v>#N/A</v>
      </c>
      <c r="CE206" s="6" t="str">
        <f t="shared" si="320"/>
        <v/>
      </c>
      <c r="CF206" s="27" t="e">
        <f>IF(AND(CI206,NOT(AD206)),LOOKUP(CF$5,{0,750,1500},H206:J206),"")</f>
        <v>#N/A</v>
      </c>
      <c r="CG206" s="6" t="str">
        <f t="shared" si="321"/>
        <v/>
      </c>
      <c r="CH206" t="e">
        <f t="shared" si="445"/>
        <v>#N/A</v>
      </c>
      <c r="CI206" t="e">
        <f t="shared" si="446"/>
        <v>#N/A</v>
      </c>
      <c r="CJ206" s="6" t="e">
        <f t="shared" si="11"/>
        <v>#N/A</v>
      </c>
      <c r="CK206" s="6">
        <f t="shared" si="12"/>
        <v>1</v>
      </c>
      <c r="CL206" s="6">
        <f t="shared" si="26"/>
        <v>1</v>
      </c>
      <c r="CM206" s="6">
        <f t="shared" si="13"/>
        <v>0</v>
      </c>
      <c r="CN206" s="6">
        <f t="shared" si="14"/>
        <v>0</v>
      </c>
      <c r="CO206" s="6">
        <f t="shared" si="15"/>
        <v>1</v>
      </c>
      <c r="CP206" s="6">
        <f t="shared" si="16"/>
        <v>1</v>
      </c>
      <c r="CQ206" s="6">
        <f t="shared" si="447"/>
        <v>1</v>
      </c>
      <c r="CR206" s="81" t="str">
        <f t="shared" si="17"/>
        <v/>
      </c>
      <c r="CS206" t="e">
        <f t="shared" si="448"/>
        <v>#DIV/0!</v>
      </c>
      <c r="CT206">
        <f t="shared" si="19"/>
        <v>0</v>
      </c>
      <c r="CU206" t="str">
        <f t="shared" si="29"/>
        <v/>
      </c>
      <c r="CV206" s="81">
        <f t="shared" si="449"/>
        <v>0</v>
      </c>
      <c r="CW206" s="81">
        <f>(CV206/25)^1.5*(Calculator!$BU$4/10000)*CW$5</f>
        <v>0</v>
      </c>
      <c r="CX206" t="str">
        <f t="shared" si="450"/>
        <v>$0</v>
      </c>
    </row>
    <row r="207" spans="2:102" x14ac:dyDescent="0.25">
      <c r="B207" s="115" t="s">
        <v>233</v>
      </c>
      <c r="C207" s="13">
        <v>46316.611111111109</v>
      </c>
      <c r="D207">
        <v>26302</v>
      </c>
      <c r="E207" s="54" t="s">
        <v>235</v>
      </c>
      <c r="F207" s="54" t="s">
        <v>527</v>
      </c>
      <c r="G207" s="54" t="s">
        <v>1463</v>
      </c>
      <c r="H207" s="55">
        <v>12</v>
      </c>
      <c r="I207" s="55">
        <v>12</v>
      </c>
      <c r="J207" s="55">
        <v>12</v>
      </c>
      <c r="K207" s="54"/>
      <c r="L207" s="56" t="b">
        <v>0</v>
      </c>
      <c r="M207" s="56" t="b">
        <v>0</v>
      </c>
      <c r="N207" s="54">
        <v>1</v>
      </c>
      <c r="O207" s="54" t="s">
        <v>228</v>
      </c>
      <c r="P207" s="54">
        <v>100</v>
      </c>
      <c r="Q207" s="54">
        <v>12</v>
      </c>
      <c r="R207" s="54">
        <v>150</v>
      </c>
      <c r="S207" s="54" t="s">
        <v>528</v>
      </c>
      <c r="T207" s="54" t="s">
        <v>529</v>
      </c>
      <c r="U207" s="54" t="s">
        <v>530</v>
      </c>
      <c r="V207" s="54" t="s">
        <v>531</v>
      </c>
      <c r="W207" s="54" t="b">
        <v>0</v>
      </c>
      <c r="X207" s="54"/>
      <c r="Y207" s="57" t="s">
        <v>2175</v>
      </c>
      <c r="Z207" s="54" t="s">
        <v>528</v>
      </c>
      <c r="AA207" s="54"/>
      <c r="AB207" s="54" t="s">
        <v>532</v>
      </c>
      <c r="AC207" s="56" t="b">
        <v>1</v>
      </c>
      <c r="AD207" s="56" t="b">
        <v>0</v>
      </c>
      <c r="AE207" s="54" t="s">
        <v>302</v>
      </c>
      <c r="AF207" s="58">
        <v>46315</v>
      </c>
      <c r="AG207" s="62" t="s">
        <v>293</v>
      </c>
      <c r="AH207" s="54">
        <v>0</v>
      </c>
      <c r="AI207" s="54"/>
      <c r="AJ207" s="54"/>
      <c r="AK207" s="54"/>
      <c r="AL207" s="54"/>
      <c r="AM207" s="54">
        <v>-5</v>
      </c>
      <c r="AN207" s="54"/>
      <c r="AO207" s="54"/>
      <c r="AP207" s="54"/>
      <c r="AQ207" s="54"/>
      <c r="AR207" s="54"/>
      <c r="AS207" s="54"/>
      <c r="AT207" s="54"/>
      <c r="AU207" s="54"/>
      <c r="AV207" s="54"/>
      <c r="AW207" s="54"/>
      <c r="AX207" s="59"/>
      <c r="AY207" s="59"/>
      <c r="AZ207" s="59"/>
      <c r="BA207" s="59"/>
      <c r="BB207" s="59">
        <v>5.4369000000000001E-2</v>
      </c>
      <c r="BC207" s="60">
        <v>4.9000000000000004</v>
      </c>
      <c r="BD207" s="61">
        <v>6.5333000000000002E-2</v>
      </c>
      <c r="BE207" s="62" t="s">
        <v>293</v>
      </c>
      <c r="BF207" s="35">
        <f t="shared" si="451"/>
        <v>4.9000000000000004</v>
      </c>
      <c r="BG207" s="35">
        <f t="shared" si="451"/>
        <v>6.5333000000000002E-2</v>
      </c>
      <c r="BH207" s="35" t="str">
        <f t="shared" si="440"/>
        <v>Low</v>
      </c>
      <c r="BI207" s="110">
        <f t="shared" si="441"/>
        <v>0</v>
      </c>
      <c r="BJ207" s="83">
        <f>VLOOKUP($F207,REP_Info!$D$6:$H$250,5,FALSE)</f>
        <v>4.5250000000000004</v>
      </c>
      <c r="BK207" s="30">
        <f t="shared" si="442"/>
        <v>11.950199999999999</v>
      </c>
      <c r="BL207" s="30">
        <f t="shared" si="442"/>
        <v>11.9602</v>
      </c>
      <c r="BM207" s="30">
        <f t="shared" si="442"/>
        <v>11.965200000000001</v>
      </c>
      <c r="BN207" s="29">
        <f t="shared" si="442"/>
        <v>11.966866666666666</v>
      </c>
      <c r="BO207" s="85" t="str">
        <f t="shared" si="2"/>
        <v>$$$</v>
      </c>
      <c r="BP207" s="88" t="str">
        <f t="shared" si="443"/>
        <v>$$$</v>
      </c>
      <c r="BQ207" s="88" t="str">
        <f t="shared" si="4"/>
        <v>$$$</v>
      </c>
      <c r="BR207" s="88" t="str">
        <f t="shared" si="5"/>
        <v>$$$</v>
      </c>
      <c r="BS207" s="29" t="e">
        <f t="shared" si="444"/>
        <v>#N/A</v>
      </c>
      <c r="BT207" s="29" t="e">
        <f t="shared" si="444"/>
        <v>#N/A</v>
      </c>
      <c r="BU207" s="29" t="e">
        <f t="shared" si="444"/>
        <v>#N/A</v>
      </c>
      <c r="BV207" s="29" t="e">
        <f t="shared" si="444"/>
        <v>#N/A</v>
      </c>
      <c r="BW207" s="29" t="e">
        <f t="shared" si="444"/>
        <v>#N/A</v>
      </c>
      <c r="BX207" s="29" t="e">
        <f t="shared" si="444"/>
        <v>#N/A</v>
      </c>
      <c r="BY207" s="29" t="e">
        <f t="shared" si="444"/>
        <v>#N/A</v>
      </c>
      <c r="BZ207" s="29" t="e">
        <f t="shared" si="444"/>
        <v>#N/A</v>
      </c>
      <c r="CA207" s="29" t="e">
        <f t="shared" si="444"/>
        <v>#N/A</v>
      </c>
      <c r="CB207" s="29" t="e">
        <f t="shared" si="444"/>
        <v>#N/A</v>
      </c>
      <c r="CC207" s="29" t="e">
        <f t="shared" si="444"/>
        <v>#N/A</v>
      </c>
      <c r="CD207" s="29" t="e">
        <f t="shared" si="444"/>
        <v>#N/A</v>
      </c>
      <c r="CE207" s="6" t="str">
        <f t="shared" si="320"/>
        <v/>
      </c>
      <c r="CF207" s="27" t="e">
        <f>IF(AND(CI207,NOT(AD207)),LOOKUP(CF$5,{0,750,1500},H207:J207),"")</f>
        <v>#N/A</v>
      </c>
      <c r="CG207" s="6" t="str">
        <f t="shared" si="321"/>
        <v/>
      </c>
      <c r="CH207" t="e">
        <f t="shared" si="445"/>
        <v>#N/A</v>
      </c>
      <c r="CI207" t="e">
        <f t="shared" si="446"/>
        <v>#N/A</v>
      </c>
      <c r="CJ207" s="6" t="e">
        <f t="shared" si="11"/>
        <v>#N/A</v>
      </c>
      <c r="CK207" s="6">
        <f t="shared" si="12"/>
        <v>1</v>
      </c>
      <c r="CL207" s="6">
        <f t="shared" si="26"/>
        <v>1</v>
      </c>
      <c r="CM207" s="6">
        <f t="shared" si="13"/>
        <v>1</v>
      </c>
      <c r="CN207" s="6">
        <f t="shared" si="14"/>
        <v>1</v>
      </c>
      <c r="CO207" s="6">
        <f t="shared" si="15"/>
        <v>1</v>
      </c>
      <c r="CP207" s="6">
        <f t="shared" si="16"/>
        <v>1</v>
      </c>
      <c r="CQ207" s="6">
        <f t="shared" si="447"/>
        <v>1</v>
      </c>
      <c r="CR207" s="81" t="str">
        <f t="shared" si="17"/>
        <v/>
      </c>
      <c r="CS207">
        <f t="shared" si="448"/>
        <v>0</v>
      </c>
      <c r="CT207">
        <f t="shared" si="19"/>
        <v>150</v>
      </c>
      <c r="CU207" t="str">
        <f t="shared" si="29"/>
        <v/>
      </c>
      <c r="CV207" s="81">
        <f t="shared" si="449"/>
        <v>150</v>
      </c>
      <c r="CW207" s="81">
        <f>(CV207/25)^1.5*(Calculator!$BU$4/10000)*CW$5</f>
        <v>7.6432310260371077</v>
      </c>
      <c r="CX207" t="str">
        <f t="shared" si="450"/>
        <v>$150</v>
      </c>
    </row>
    <row r="208" spans="2:102" x14ac:dyDescent="0.25">
      <c r="B208" s="115" t="s">
        <v>233</v>
      </c>
      <c r="C208" s="13">
        <v>46316.611111111109</v>
      </c>
      <c r="D208">
        <v>31355</v>
      </c>
      <c r="E208" s="54" t="s">
        <v>237</v>
      </c>
      <c r="F208" s="54" t="s">
        <v>527</v>
      </c>
      <c r="G208" s="54" t="s">
        <v>1463</v>
      </c>
      <c r="H208" s="55">
        <v>12.1</v>
      </c>
      <c r="I208" s="55">
        <v>12.2</v>
      </c>
      <c r="J208" s="55">
        <v>12.3</v>
      </c>
      <c r="K208" s="54"/>
      <c r="L208" s="56" t="b">
        <v>0</v>
      </c>
      <c r="M208" s="56" t="b">
        <v>0</v>
      </c>
      <c r="N208" s="54">
        <v>1</v>
      </c>
      <c r="O208" s="54" t="s">
        <v>228</v>
      </c>
      <c r="P208" s="54">
        <v>100</v>
      </c>
      <c r="Q208" s="54">
        <v>12</v>
      </c>
      <c r="R208" s="54">
        <v>150</v>
      </c>
      <c r="S208" s="54" t="s">
        <v>528</v>
      </c>
      <c r="T208" s="54" t="s">
        <v>533</v>
      </c>
      <c r="U208" s="54" t="s">
        <v>530</v>
      </c>
      <c r="V208" s="54" t="s">
        <v>531</v>
      </c>
      <c r="W208" s="54" t="b">
        <v>0</v>
      </c>
      <c r="X208" s="54"/>
      <c r="Y208" s="57" t="s">
        <v>2176</v>
      </c>
      <c r="Z208" s="54" t="s">
        <v>534</v>
      </c>
      <c r="AA208" s="54"/>
      <c r="AB208" s="54" t="s">
        <v>532</v>
      </c>
      <c r="AC208" s="56" t="b">
        <v>1</v>
      </c>
      <c r="AD208" s="56" t="b">
        <v>0</v>
      </c>
      <c r="AE208" s="54" t="s">
        <v>302</v>
      </c>
      <c r="AF208" s="58">
        <v>46315</v>
      </c>
      <c r="AG208" s="62" t="s">
        <v>293</v>
      </c>
      <c r="AH208" s="54">
        <v>0</v>
      </c>
      <c r="AI208" s="54"/>
      <c r="AJ208" s="54"/>
      <c r="AK208" s="54"/>
      <c r="AL208" s="54"/>
      <c r="AM208" s="54">
        <v>-5</v>
      </c>
      <c r="AN208" s="54"/>
      <c r="AO208" s="54"/>
      <c r="AP208" s="54"/>
      <c r="AQ208" s="54"/>
      <c r="AR208" s="54"/>
      <c r="AS208" s="54"/>
      <c r="AT208" s="54"/>
      <c r="AU208" s="54"/>
      <c r="AV208" s="54"/>
      <c r="AW208" s="54"/>
      <c r="AX208" s="59"/>
      <c r="AY208" s="59"/>
      <c r="AZ208" s="59"/>
      <c r="BA208" s="59"/>
      <c r="BB208" s="59">
        <v>5.4482999999999997E-2</v>
      </c>
      <c r="BC208" s="60">
        <v>4.0599999999999996</v>
      </c>
      <c r="BD208" s="61">
        <v>6.8672999999999998E-2</v>
      </c>
      <c r="BE208" s="62" t="s">
        <v>293</v>
      </c>
      <c r="BF208" s="35">
        <f t="shared" si="451"/>
        <v>4.0600000000000005</v>
      </c>
      <c r="BG208" s="35">
        <f t="shared" si="451"/>
        <v>6.8672999999999998E-2</v>
      </c>
      <c r="BH208" s="35" t="str">
        <f t="shared" si="440"/>
        <v>Low</v>
      </c>
      <c r="BI208" s="110">
        <f t="shared" si="441"/>
        <v>0</v>
      </c>
      <c r="BJ208" s="83">
        <f>VLOOKUP($F208,REP_Info!$D$6:$H$250,5,FALSE)</f>
        <v>4.5250000000000004</v>
      </c>
      <c r="BK208" s="30">
        <f t="shared" si="442"/>
        <v>12.127600000000001</v>
      </c>
      <c r="BL208" s="30">
        <f t="shared" si="442"/>
        <v>12.2216</v>
      </c>
      <c r="BM208" s="30">
        <f t="shared" si="442"/>
        <v>12.268600000000001</v>
      </c>
      <c r="BN208" s="29">
        <f t="shared" si="442"/>
        <v>12.284266666666667</v>
      </c>
      <c r="BO208" s="85" t="str">
        <f t="shared" si="2"/>
        <v>$$$</v>
      </c>
      <c r="BP208" s="88" t="str">
        <f t="shared" si="443"/>
        <v>$$$</v>
      </c>
      <c r="BQ208" s="88" t="str">
        <f t="shared" si="4"/>
        <v>$$$</v>
      </c>
      <c r="BR208" s="88" t="str">
        <f t="shared" si="5"/>
        <v>$$$</v>
      </c>
      <c r="BS208" s="29" t="e">
        <f t="shared" si="444"/>
        <v>#N/A</v>
      </c>
      <c r="BT208" s="29" t="e">
        <f t="shared" si="444"/>
        <v>#N/A</v>
      </c>
      <c r="BU208" s="29" t="e">
        <f t="shared" si="444"/>
        <v>#N/A</v>
      </c>
      <c r="BV208" s="29" t="e">
        <f t="shared" si="444"/>
        <v>#N/A</v>
      </c>
      <c r="BW208" s="29" t="e">
        <f t="shared" si="444"/>
        <v>#N/A</v>
      </c>
      <c r="BX208" s="29" t="e">
        <f t="shared" si="444"/>
        <v>#N/A</v>
      </c>
      <c r="BY208" s="29" t="e">
        <f t="shared" si="444"/>
        <v>#N/A</v>
      </c>
      <c r="BZ208" s="29" t="e">
        <f t="shared" si="444"/>
        <v>#N/A</v>
      </c>
      <c r="CA208" s="29" t="e">
        <f t="shared" si="444"/>
        <v>#N/A</v>
      </c>
      <c r="CB208" s="29" t="e">
        <f t="shared" si="444"/>
        <v>#N/A</v>
      </c>
      <c r="CC208" s="29" t="e">
        <f t="shared" si="444"/>
        <v>#N/A</v>
      </c>
      <c r="CD208" s="29" t="e">
        <f t="shared" si="444"/>
        <v>#N/A</v>
      </c>
      <c r="CE208" s="6" t="str">
        <f t="shared" si="320"/>
        <v/>
      </c>
      <c r="CF208" s="27" t="e">
        <f>IF(AND(CI208,NOT(AD208)),LOOKUP(CF$5,{0,750,1500},H208:J208),"")</f>
        <v>#N/A</v>
      </c>
      <c r="CG208" s="6" t="str">
        <f t="shared" si="321"/>
        <v/>
      </c>
      <c r="CH208" t="e">
        <f t="shared" si="445"/>
        <v>#N/A</v>
      </c>
      <c r="CI208" t="e">
        <f t="shared" si="446"/>
        <v>#N/A</v>
      </c>
      <c r="CJ208" s="6" t="e">
        <f t="shared" si="11"/>
        <v>#N/A</v>
      </c>
      <c r="CK208" s="6">
        <f t="shared" si="12"/>
        <v>1</v>
      </c>
      <c r="CL208" s="6">
        <f t="shared" si="26"/>
        <v>1</v>
      </c>
      <c r="CM208" s="6">
        <f t="shared" si="13"/>
        <v>1</v>
      </c>
      <c r="CN208" s="6">
        <f t="shared" si="14"/>
        <v>1</v>
      </c>
      <c r="CO208" s="6">
        <f t="shared" si="15"/>
        <v>1</v>
      </c>
      <c r="CP208" s="6">
        <f t="shared" si="16"/>
        <v>1</v>
      </c>
      <c r="CQ208" s="6">
        <f t="shared" si="447"/>
        <v>1</v>
      </c>
      <c r="CR208" s="81" t="str">
        <f t="shared" si="17"/>
        <v/>
      </c>
      <c r="CS208">
        <f t="shared" si="448"/>
        <v>0</v>
      </c>
      <c r="CT208">
        <f t="shared" si="19"/>
        <v>150</v>
      </c>
      <c r="CU208" t="str">
        <f t="shared" si="29"/>
        <v/>
      </c>
      <c r="CV208" s="81">
        <f t="shared" si="449"/>
        <v>150</v>
      </c>
      <c r="CW208" s="81">
        <f>(CV208/25)^1.5*(Calculator!$BU$4/10000)*CW$5</f>
        <v>7.6432310260371077</v>
      </c>
      <c r="CX208" t="str">
        <f t="shared" si="450"/>
        <v>$150</v>
      </c>
    </row>
    <row r="209" spans="2:102" x14ac:dyDescent="0.25">
      <c r="B209" s="115" t="s">
        <v>233</v>
      </c>
      <c r="C209" s="13">
        <v>46316.611111111109</v>
      </c>
      <c r="D209">
        <v>35157</v>
      </c>
      <c r="E209" s="54" t="s">
        <v>237</v>
      </c>
      <c r="F209" s="54" t="s">
        <v>527</v>
      </c>
      <c r="G209" s="54" t="s">
        <v>535</v>
      </c>
      <c r="H209" s="55">
        <v>15.299999999999999</v>
      </c>
      <c r="I209" s="55">
        <v>15.4</v>
      </c>
      <c r="J209" s="55">
        <v>15.5</v>
      </c>
      <c r="K209" s="54"/>
      <c r="L209" s="56" t="b">
        <v>0</v>
      </c>
      <c r="M209" s="56" t="b">
        <v>1</v>
      </c>
      <c r="N209" s="54">
        <v>1</v>
      </c>
      <c r="O209" s="54" t="s">
        <v>228</v>
      </c>
      <c r="P209" s="54">
        <v>100</v>
      </c>
      <c r="Q209" s="54">
        <v>12</v>
      </c>
      <c r="R209" s="54">
        <v>150</v>
      </c>
      <c r="S209" s="54" t="s">
        <v>528</v>
      </c>
      <c r="T209" s="54" t="s">
        <v>536</v>
      </c>
      <c r="U209" s="54" t="s">
        <v>537</v>
      </c>
      <c r="V209" s="54" t="s">
        <v>531</v>
      </c>
      <c r="W209" s="54" t="b">
        <v>0</v>
      </c>
      <c r="X209" s="54"/>
      <c r="Y209" s="57" t="s">
        <v>2177</v>
      </c>
      <c r="Z209" s="54" t="s">
        <v>528</v>
      </c>
      <c r="AA209" s="54"/>
      <c r="AB209" s="54" t="s">
        <v>532</v>
      </c>
      <c r="AC209" s="56" t="b">
        <v>1</v>
      </c>
      <c r="AD209" s="56" t="b">
        <v>0</v>
      </c>
      <c r="AE209" s="54" t="s">
        <v>302</v>
      </c>
      <c r="AF209" s="58">
        <v>46315</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c r="BC209" s="60"/>
      <c r="BD209" s="61"/>
      <c r="BE209" s="62" t="e">
        <v>#N/A</v>
      </c>
      <c r="BF209" s="35">
        <f t="shared" si="451"/>
        <v>4.0600000000000005</v>
      </c>
      <c r="BG209" s="35">
        <f t="shared" si="451"/>
        <v>6.8672999999999998E-2</v>
      </c>
      <c r="BH209" s="35" t="str">
        <f t="shared" si="440"/>
        <v>?</v>
      </c>
      <c r="BI209" s="110">
        <f t="shared" si="441"/>
        <v>0</v>
      </c>
      <c r="BJ209" s="83">
        <f>VLOOKUP($F209,REP_Info!$D$6:$H$250,5,FALSE)</f>
        <v>4.5250000000000004</v>
      </c>
      <c r="BK209" s="30" t="e">
        <f t="shared" si="442"/>
        <v>#N/A</v>
      </c>
      <c r="BL209" s="30" t="e">
        <f t="shared" si="442"/>
        <v>#N/A</v>
      </c>
      <c r="BM209" s="30" t="e">
        <f t="shared" si="442"/>
        <v>#N/A</v>
      </c>
      <c r="BN209" s="29" t="e">
        <f t="shared" si="442"/>
        <v>#N/A</v>
      </c>
      <c r="BO209" s="85" t="str">
        <f t="shared" si="2"/>
        <v>$$$</v>
      </c>
      <c r="BP209" s="88" t="str">
        <f t="shared" si="443"/>
        <v>$$$</v>
      </c>
      <c r="BQ209" s="88" t="str">
        <f t="shared" si="4"/>
        <v>$$$</v>
      </c>
      <c r="BR209" s="88" t="str">
        <f t="shared" si="5"/>
        <v>$$$</v>
      </c>
      <c r="BS209" s="29" t="e">
        <f t="shared" si="444"/>
        <v>#N/A</v>
      </c>
      <c r="BT209" s="29" t="e">
        <f t="shared" si="444"/>
        <v>#N/A</v>
      </c>
      <c r="BU209" s="29" t="e">
        <f t="shared" si="444"/>
        <v>#N/A</v>
      </c>
      <c r="BV209" s="29" t="e">
        <f t="shared" si="444"/>
        <v>#N/A</v>
      </c>
      <c r="BW209" s="29" t="e">
        <f t="shared" si="444"/>
        <v>#N/A</v>
      </c>
      <c r="BX209" s="29" t="e">
        <f t="shared" si="444"/>
        <v>#N/A</v>
      </c>
      <c r="BY209" s="29" t="e">
        <f t="shared" si="444"/>
        <v>#N/A</v>
      </c>
      <c r="BZ209" s="29" t="e">
        <f t="shared" si="444"/>
        <v>#N/A</v>
      </c>
      <c r="CA209" s="29" t="e">
        <f t="shared" si="444"/>
        <v>#N/A</v>
      </c>
      <c r="CB209" s="29" t="e">
        <f t="shared" si="444"/>
        <v>#N/A</v>
      </c>
      <c r="CC209" s="29" t="e">
        <f t="shared" si="444"/>
        <v>#N/A</v>
      </c>
      <c r="CD209" s="29" t="e">
        <f t="shared" si="444"/>
        <v>#N/A</v>
      </c>
      <c r="CE209" s="6" t="str">
        <f t="shared" ref="CE209:CE272" si="452">IF(ISNUMBER(CF209),RANK($CF209,$CF$8:$CF$360,1),"")</f>
        <v/>
      </c>
      <c r="CF209" s="27" t="e">
        <f>IF(AND(CI209,NOT(AD209)),LOOKUP(CF$5,{0,750,1500},H209:J209),"")</f>
        <v>#N/A</v>
      </c>
      <c r="CG209" s="6" t="str">
        <f t="shared" ref="CG209:CG272" si="453">IF(ISNUMBER(CH209),RANK($CH209,$CH$8:$CH$360,1),"")</f>
        <v/>
      </c>
      <c r="CH209" t="e">
        <f t="shared" si="445"/>
        <v>#N/A</v>
      </c>
      <c r="CI209" t="e">
        <f t="shared" si="446"/>
        <v>#N/A</v>
      </c>
      <c r="CJ209" s="6" t="e">
        <f t="shared" si="11"/>
        <v>#N/A</v>
      </c>
      <c r="CK209" s="6">
        <f t="shared" si="12"/>
        <v>1</v>
      </c>
      <c r="CL209" s="6">
        <f t="shared" si="26"/>
        <v>1</v>
      </c>
      <c r="CM209" s="6">
        <f t="shared" si="13"/>
        <v>1</v>
      </c>
      <c r="CN209" s="6">
        <f t="shared" si="14"/>
        <v>1</v>
      </c>
      <c r="CO209" s="6">
        <f t="shared" si="15"/>
        <v>1</v>
      </c>
      <c r="CP209" s="6">
        <f t="shared" si="16"/>
        <v>1</v>
      </c>
      <c r="CQ209" s="6">
        <f t="shared" si="447"/>
        <v>1</v>
      </c>
      <c r="CR209" s="81" t="str">
        <f t="shared" si="17"/>
        <v/>
      </c>
      <c r="CS209">
        <f t="shared" si="448"/>
        <v>0</v>
      </c>
      <c r="CT209">
        <f t="shared" si="19"/>
        <v>150</v>
      </c>
      <c r="CU209" t="str">
        <f t="shared" si="29"/>
        <v/>
      </c>
      <c r="CV209" s="81">
        <f t="shared" si="449"/>
        <v>150</v>
      </c>
      <c r="CW209" s="81">
        <f>(CV209/25)^1.5*(Calculator!$BU$4/10000)*CW$5</f>
        <v>7.6432310260371077</v>
      </c>
      <c r="CX209" t="str">
        <f t="shared" si="450"/>
        <v>$150</v>
      </c>
    </row>
    <row r="210" spans="2:102" x14ac:dyDescent="0.25">
      <c r="B210" s="115" t="s">
        <v>233</v>
      </c>
      <c r="C210" s="13">
        <v>46316.611111111109</v>
      </c>
      <c r="D210">
        <v>35158</v>
      </c>
      <c r="E210" s="54" t="s">
        <v>235</v>
      </c>
      <c r="F210" s="54" t="s">
        <v>527</v>
      </c>
      <c r="G210" s="54" t="s">
        <v>535</v>
      </c>
      <c r="H210" s="55">
        <v>15.299999999999999</v>
      </c>
      <c r="I210" s="55">
        <v>15.299999999999999</v>
      </c>
      <c r="J210" s="55">
        <v>15.299999999999999</v>
      </c>
      <c r="K210" s="54"/>
      <c r="L210" s="56" t="b">
        <v>0</v>
      </c>
      <c r="M210" s="56" t="b">
        <v>1</v>
      </c>
      <c r="N210" s="54">
        <v>1</v>
      </c>
      <c r="O210" s="54" t="s">
        <v>228</v>
      </c>
      <c r="P210" s="54">
        <v>100</v>
      </c>
      <c r="Q210" s="54">
        <v>12</v>
      </c>
      <c r="R210" s="54">
        <v>150</v>
      </c>
      <c r="S210" s="54" t="s">
        <v>528</v>
      </c>
      <c r="T210" s="54" t="s">
        <v>536</v>
      </c>
      <c r="U210" s="54" t="s">
        <v>537</v>
      </c>
      <c r="V210" s="54" t="s">
        <v>531</v>
      </c>
      <c r="W210" s="54" t="b">
        <v>0</v>
      </c>
      <c r="X210" s="54"/>
      <c r="Y210" s="57" t="s">
        <v>2178</v>
      </c>
      <c r="Z210" s="54" t="s">
        <v>528</v>
      </c>
      <c r="AA210" s="54"/>
      <c r="AB210" s="54" t="s">
        <v>532</v>
      </c>
      <c r="AC210" s="56" t="b">
        <v>1</v>
      </c>
      <c r="AD210" s="56" t="b">
        <v>0</v>
      </c>
      <c r="AE210" s="54" t="s">
        <v>302</v>
      </c>
      <c r="AF210" s="58">
        <v>46315</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c r="BC210" s="60"/>
      <c r="BD210" s="61"/>
      <c r="BE210" s="62" t="e">
        <v>#N/A</v>
      </c>
      <c r="BF210" s="35">
        <f t="shared" si="451"/>
        <v>4.9000000000000004</v>
      </c>
      <c r="BG210" s="35">
        <f t="shared" si="451"/>
        <v>6.5333000000000002E-2</v>
      </c>
      <c r="BH210" s="35" t="str">
        <f t="shared" si="440"/>
        <v>?</v>
      </c>
      <c r="BI210" s="110">
        <f t="shared" si="441"/>
        <v>0</v>
      </c>
      <c r="BJ210" s="83">
        <f>VLOOKUP($F210,REP_Info!$D$6:$H$250,5,FALSE)</f>
        <v>4.5250000000000004</v>
      </c>
      <c r="BK210" s="30" t="e">
        <f t="shared" si="442"/>
        <v>#N/A</v>
      </c>
      <c r="BL210" s="30" t="e">
        <f t="shared" si="442"/>
        <v>#N/A</v>
      </c>
      <c r="BM210" s="30" t="e">
        <f t="shared" si="442"/>
        <v>#N/A</v>
      </c>
      <c r="BN210" s="29" t="e">
        <f t="shared" si="442"/>
        <v>#N/A</v>
      </c>
      <c r="BO210" s="85" t="str">
        <f t="shared" si="2"/>
        <v>$$$</v>
      </c>
      <c r="BP210" s="88" t="str">
        <f t="shared" si="443"/>
        <v>$$$</v>
      </c>
      <c r="BQ210" s="88" t="str">
        <f t="shared" si="4"/>
        <v>$$$</v>
      </c>
      <c r="BR210" s="88" t="str">
        <f t="shared" si="5"/>
        <v>$$$</v>
      </c>
      <c r="BS210" s="29" t="e">
        <f t="shared" si="444"/>
        <v>#N/A</v>
      </c>
      <c r="BT210" s="29" t="e">
        <f t="shared" si="444"/>
        <v>#N/A</v>
      </c>
      <c r="BU210" s="29" t="e">
        <f t="shared" si="444"/>
        <v>#N/A</v>
      </c>
      <c r="BV210" s="29" t="e">
        <f t="shared" si="444"/>
        <v>#N/A</v>
      </c>
      <c r="BW210" s="29" t="e">
        <f t="shared" si="444"/>
        <v>#N/A</v>
      </c>
      <c r="BX210" s="29" t="e">
        <f t="shared" si="444"/>
        <v>#N/A</v>
      </c>
      <c r="BY210" s="29" t="e">
        <f t="shared" si="444"/>
        <v>#N/A</v>
      </c>
      <c r="BZ210" s="29" t="e">
        <f t="shared" si="444"/>
        <v>#N/A</v>
      </c>
      <c r="CA210" s="29" t="e">
        <f t="shared" si="444"/>
        <v>#N/A</v>
      </c>
      <c r="CB210" s="29" t="e">
        <f t="shared" si="444"/>
        <v>#N/A</v>
      </c>
      <c r="CC210" s="29" t="e">
        <f t="shared" si="444"/>
        <v>#N/A</v>
      </c>
      <c r="CD210" s="29" t="e">
        <f t="shared" si="444"/>
        <v>#N/A</v>
      </c>
      <c r="CE210" s="6" t="str">
        <f t="shared" si="452"/>
        <v/>
      </c>
      <c r="CF210" s="27" t="e">
        <f>IF(AND(CI210,NOT(AD210)),LOOKUP(CF$5,{0,750,1500},H210:J210),"")</f>
        <v>#N/A</v>
      </c>
      <c r="CG210" s="6" t="str">
        <f t="shared" si="453"/>
        <v/>
      </c>
      <c r="CH210" t="e">
        <f t="shared" si="445"/>
        <v>#N/A</v>
      </c>
      <c r="CI210" t="e">
        <f t="shared" si="446"/>
        <v>#N/A</v>
      </c>
      <c r="CJ210" s="6" t="e">
        <f t="shared" si="11"/>
        <v>#N/A</v>
      </c>
      <c r="CK210" s="6">
        <f t="shared" si="12"/>
        <v>1</v>
      </c>
      <c r="CL210" s="6">
        <f t="shared" si="26"/>
        <v>1</v>
      </c>
      <c r="CM210" s="6">
        <f t="shared" si="13"/>
        <v>1</v>
      </c>
      <c r="CN210" s="6">
        <f t="shared" si="14"/>
        <v>1</v>
      </c>
      <c r="CO210" s="6">
        <f t="shared" si="15"/>
        <v>1</v>
      </c>
      <c r="CP210" s="6">
        <f t="shared" si="16"/>
        <v>1</v>
      </c>
      <c r="CQ210" s="6">
        <f t="shared" si="447"/>
        <v>1</v>
      </c>
      <c r="CR210" s="81" t="str">
        <f t="shared" si="17"/>
        <v/>
      </c>
      <c r="CS210">
        <f t="shared" si="448"/>
        <v>0</v>
      </c>
      <c r="CT210">
        <f t="shared" si="19"/>
        <v>150</v>
      </c>
      <c r="CU210" t="str">
        <f t="shared" si="29"/>
        <v/>
      </c>
      <c r="CV210" s="81">
        <f t="shared" si="449"/>
        <v>150</v>
      </c>
      <c r="CW210" s="81">
        <f>(CV210/25)^1.5*(Calculator!$BU$4/10000)*CW$5</f>
        <v>7.6432310260371077</v>
      </c>
      <c r="CX210" t="str">
        <f t="shared" si="450"/>
        <v>$150</v>
      </c>
    </row>
    <row r="211" spans="2:102" x14ac:dyDescent="0.25">
      <c r="B211" s="115" t="s">
        <v>233</v>
      </c>
      <c r="C211" s="13">
        <v>46316.611111111109</v>
      </c>
      <c r="D211">
        <v>35677</v>
      </c>
      <c r="E211" s="54" t="s">
        <v>235</v>
      </c>
      <c r="F211" s="54" t="s">
        <v>527</v>
      </c>
      <c r="G211" s="54" t="s">
        <v>2179</v>
      </c>
      <c r="H211" s="55">
        <v>11.5</v>
      </c>
      <c r="I211" s="55">
        <v>11.600000000000001</v>
      </c>
      <c r="J211" s="55">
        <v>11.600000000000001</v>
      </c>
      <c r="K211" s="54"/>
      <c r="L211" s="56" t="b">
        <v>0</v>
      </c>
      <c r="M211" s="56" t="b">
        <v>0</v>
      </c>
      <c r="N211" s="54">
        <v>1</v>
      </c>
      <c r="O211" s="54" t="s">
        <v>228</v>
      </c>
      <c r="P211" s="54">
        <v>100</v>
      </c>
      <c r="Q211" s="54">
        <v>8</v>
      </c>
      <c r="R211" s="54">
        <v>150</v>
      </c>
      <c r="S211" s="54" t="s">
        <v>528</v>
      </c>
      <c r="T211" s="54" t="s">
        <v>2180</v>
      </c>
      <c r="U211" s="54" t="s">
        <v>530</v>
      </c>
      <c r="V211" s="54" t="s">
        <v>531</v>
      </c>
      <c r="W211" s="54" t="b">
        <v>0</v>
      </c>
      <c r="X211" s="54"/>
      <c r="Y211" s="57" t="s">
        <v>2181</v>
      </c>
      <c r="Z211" s="54" t="s">
        <v>528</v>
      </c>
      <c r="AA211" s="54"/>
      <c r="AB211" s="54" t="s">
        <v>532</v>
      </c>
      <c r="AC211" s="56" t="b">
        <v>1</v>
      </c>
      <c r="AD211" s="56" t="b">
        <v>0</v>
      </c>
      <c r="AE211" s="54" t="s">
        <v>302</v>
      </c>
      <c r="AF211" s="58">
        <v>46315</v>
      </c>
      <c r="AG211" s="62" t="s">
        <v>293</v>
      </c>
      <c r="AH211" s="54">
        <v>0</v>
      </c>
      <c r="AI211" s="54"/>
      <c r="AJ211" s="54"/>
      <c r="AK211" s="54"/>
      <c r="AL211" s="54"/>
      <c r="AM211" s="54">
        <v>-5</v>
      </c>
      <c r="AN211" s="54"/>
      <c r="AO211" s="54"/>
      <c r="AP211" s="54"/>
      <c r="AQ211" s="54"/>
      <c r="AR211" s="54"/>
      <c r="AS211" s="54"/>
      <c r="AT211" s="54"/>
      <c r="AU211" s="54"/>
      <c r="AV211" s="54"/>
      <c r="AW211" s="54"/>
      <c r="AX211" s="59"/>
      <c r="AY211" s="59"/>
      <c r="AZ211" s="59"/>
      <c r="BA211" s="59"/>
      <c r="BB211" s="59">
        <v>5.0323E-2</v>
      </c>
      <c r="BC211" s="60">
        <v>4.9000000000000004</v>
      </c>
      <c r="BD211" s="61">
        <v>6.5333000000000002E-2</v>
      </c>
      <c r="BE211" s="62" t="s">
        <v>293</v>
      </c>
      <c r="BF211" s="35">
        <f t="shared" si="451"/>
        <v>4.9000000000000004</v>
      </c>
      <c r="BG211" s="35">
        <f t="shared" si="451"/>
        <v>6.5333000000000002E-2</v>
      </c>
      <c r="BH211" s="35" t="str">
        <f t="shared" si="440"/>
        <v>Low</v>
      </c>
      <c r="BI211" s="110">
        <f t="shared" si="441"/>
        <v>0</v>
      </c>
      <c r="BJ211" s="83">
        <f>VLOOKUP($F211,REP_Info!$D$6:$H$250,5,FALSE)</f>
        <v>4.5250000000000004</v>
      </c>
      <c r="BK211" s="30">
        <f t="shared" si="442"/>
        <v>11.5456</v>
      </c>
      <c r="BL211" s="30">
        <f t="shared" si="442"/>
        <v>11.5556</v>
      </c>
      <c r="BM211" s="30">
        <f t="shared" si="442"/>
        <v>11.560599999999999</v>
      </c>
      <c r="BN211" s="29">
        <f t="shared" si="442"/>
        <v>11.562266666666668</v>
      </c>
      <c r="BO211" s="85" t="str">
        <f t="shared" si="2"/>
        <v>$$$</v>
      </c>
      <c r="BP211" s="88" t="str">
        <f t="shared" si="443"/>
        <v>$$$</v>
      </c>
      <c r="BQ211" s="88" t="str">
        <f t="shared" si="4"/>
        <v>$$$</v>
      </c>
      <c r="BR211" s="88" t="str">
        <f t="shared" si="5"/>
        <v>$$$</v>
      </c>
      <c r="BS211" s="29" t="e">
        <f t="shared" si="444"/>
        <v>#N/A</v>
      </c>
      <c r="BT211" s="29" t="e">
        <f t="shared" si="444"/>
        <v>#N/A</v>
      </c>
      <c r="BU211" s="29" t="e">
        <f t="shared" si="444"/>
        <v>#N/A</v>
      </c>
      <c r="BV211" s="29" t="e">
        <f t="shared" si="444"/>
        <v>#N/A</v>
      </c>
      <c r="BW211" s="29" t="e">
        <f t="shared" si="444"/>
        <v>#N/A</v>
      </c>
      <c r="BX211" s="29" t="e">
        <f t="shared" si="444"/>
        <v>#N/A</v>
      </c>
      <c r="BY211" s="29" t="e">
        <f t="shared" si="444"/>
        <v>#N/A</v>
      </c>
      <c r="BZ211" s="29" t="e">
        <f t="shared" si="444"/>
        <v>#N/A</v>
      </c>
      <c r="CA211" s="29" t="e">
        <f t="shared" si="444"/>
        <v>#N/A</v>
      </c>
      <c r="CB211" s="29" t="e">
        <f t="shared" si="444"/>
        <v>#N/A</v>
      </c>
      <c r="CC211" s="29" t="e">
        <f t="shared" si="444"/>
        <v>#N/A</v>
      </c>
      <c r="CD211" s="29" t="e">
        <f t="shared" si="444"/>
        <v>#N/A</v>
      </c>
      <c r="CE211" s="6" t="str">
        <f t="shared" si="452"/>
        <v/>
      </c>
      <c r="CF211" s="27" t="e">
        <f>IF(AND(CI211,NOT(AD211)),LOOKUP(CF$5,{0,750,1500},H211:J211),"")</f>
        <v>#N/A</v>
      </c>
      <c r="CG211" s="6" t="str">
        <f t="shared" si="453"/>
        <v/>
      </c>
      <c r="CH211" t="e">
        <f t="shared" si="445"/>
        <v>#N/A</v>
      </c>
      <c r="CI211" t="e">
        <f t="shared" si="446"/>
        <v>#N/A</v>
      </c>
      <c r="CJ211" s="6" t="e">
        <f t="shared" si="11"/>
        <v>#N/A</v>
      </c>
      <c r="CK211" s="6">
        <f t="shared" si="12"/>
        <v>1</v>
      </c>
      <c r="CL211" s="6">
        <f t="shared" si="26"/>
        <v>1</v>
      </c>
      <c r="CM211" s="6">
        <f t="shared" si="13"/>
        <v>1</v>
      </c>
      <c r="CN211" s="6">
        <f t="shared" si="14"/>
        <v>0</v>
      </c>
      <c r="CO211" s="6">
        <f t="shared" si="15"/>
        <v>1</v>
      </c>
      <c r="CP211" s="6">
        <f t="shared" si="16"/>
        <v>1</v>
      </c>
      <c r="CQ211" s="6">
        <f t="shared" si="447"/>
        <v>1</v>
      </c>
      <c r="CR211" s="81" t="str">
        <f t="shared" si="17"/>
        <v/>
      </c>
      <c r="CS211">
        <f t="shared" si="448"/>
        <v>9</v>
      </c>
      <c r="CT211">
        <f t="shared" si="19"/>
        <v>150</v>
      </c>
      <c r="CU211" t="str">
        <f t="shared" si="29"/>
        <v/>
      </c>
      <c r="CV211" s="81">
        <f t="shared" si="449"/>
        <v>150</v>
      </c>
      <c r="CW211" s="81">
        <f>(CV211/25)^1.5*(Calculator!$BU$4/10000)*CW$5</f>
        <v>7.6432310260371077</v>
      </c>
      <c r="CX211" t="str">
        <f t="shared" si="450"/>
        <v>$150</v>
      </c>
    </row>
    <row r="212" spans="2:102" x14ac:dyDescent="0.25">
      <c r="B212" s="115" t="s">
        <v>233</v>
      </c>
      <c r="C212" s="13">
        <v>46316.611111111109</v>
      </c>
      <c r="D212">
        <v>35683</v>
      </c>
      <c r="E212" s="54" t="s">
        <v>237</v>
      </c>
      <c r="F212" s="54" t="s">
        <v>527</v>
      </c>
      <c r="G212" s="54" t="s">
        <v>2182</v>
      </c>
      <c r="H212" s="55">
        <v>11.700000000000001</v>
      </c>
      <c r="I212" s="55">
        <v>11.799999999999999</v>
      </c>
      <c r="J212" s="55">
        <v>11.899999999999999</v>
      </c>
      <c r="K212" s="54"/>
      <c r="L212" s="56" t="b">
        <v>0</v>
      </c>
      <c r="M212" s="56" t="b">
        <v>0</v>
      </c>
      <c r="N212" s="54">
        <v>1</v>
      </c>
      <c r="O212" s="54" t="s">
        <v>228</v>
      </c>
      <c r="P212" s="54">
        <v>100</v>
      </c>
      <c r="Q212" s="54">
        <v>8</v>
      </c>
      <c r="R212" s="54">
        <v>150</v>
      </c>
      <c r="S212" s="54" t="s">
        <v>528</v>
      </c>
      <c r="T212" s="54" t="s">
        <v>2180</v>
      </c>
      <c r="U212" s="54" t="s">
        <v>1606</v>
      </c>
      <c r="V212" s="54" t="s">
        <v>531</v>
      </c>
      <c r="W212" s="54" t="b">
        <v>0</v>
      </c>
      <c r="X212" s="54"/>
      <c r="Y212" s="57" t="s">
        <v>2183</v>
      </c>
      <c r="Z212" s="54" t="s">
        <v>528</v>
      </c>
      <c r="AA212" s="54"/>
      <c r="AB212" s="54" t="s">
        <v>532</v>
      </c>
      <c r="AC212" s="56" t="b">
        <v>1</v>
      </c>
      <c r="AD212" s="56" t="b">
        <v>0</v>
      </c>
      <c r="AE212" s="54" t="s">
        <v>302</v>
      </c>
      <c r="AF212" s="58">
        <v>46315</v>
      </c>
      <c r="AG212" s="62" t="s">
        <v>293</v>
      </c>
      <c r="AH212" s="54">
        <v>0</v>
      </c>
      <c r="AI212" s="54"/>
      <c r="AJ212" s="54"/>
      <c r="AK212" s="54"/>
      <c r="AL212" s="54"/>
      <c r="AM212" s="54">
        <v>-5</v>
      </c>
      <c r="AN212" s="54"/>
      <c r="AO212" s="54"/>
      <c r="AP212" s="54"/>
      <c r="AQ212" s="54"/>
      <c r="AR212" s="54"/>
      <c r="AS212" s="54"/>
      <c r="AT212" s="54"/>
      <c r="AU212" s="54"/>
      <c r="AV212" s="54"/>
      <c r="AW212" s="54"/>
      <c r="AX212" s="59"/>
      <c r="AY212" s="59"/>
      <c r="AZ212" s="59"/>
      <c r="BA212" s="59"/>
      <c r="BB212" s="59">
        <v>5.0345000000000001E-2</v>
      </c>
      <c r="BC212" s="60">
        <v>4.0599999999999996</v>
      </c>
      <c r="BD212" s="61">
        <v>6.8672999999999998E-2</v>
      </c>
      <c r="BE212" s="62" t="s">
        <v>293</v>
      </c>
      <c r="BF212" s="35">
        <f t="shared" si="451"/>
        <v>4.0600000000000005</v>
      </c>
      <c r="BG212" s="35">
        <f t="shared" si="451"/>
        <v>6.8672999999999998E-2</v>
      </c>
      <c r="BH212" s="35" t="str">
        <f t="shared" si="440"/>
        <v>Low</v>
      </c>
      <c r="BI212" s="110">
        <f t="shared" si="441"/>
        <v>0</v>
      </c>
      <c r="BJ212" s="83">
        <f>VLOOKUP($F212,REP_Info!$D$6:$H$250,5,FALSE)</f>
        <v>4.5250000000000004</v>
      </c>
      <c r="BK212" s="30">
        <f t="shared" si="442"/>
        <v>11.713800000000001</v>
      </c>
      <c r="BL212" s="30">
        <f t="shared" si="442"/>
        <v>11.8078</v>
      </c>
      <c r="BM212" s="30">
        <f t="shared" si="442"/>
        <v>11.854799999999999</v>
      </c>
      <c r="BN212" s="29">
        <f t="shared" si="442"/>
        <v>11.870466666666667</v>
      </c>
      <c r="BO212" s="85" t="str">
        <f t="shared" si="2"/>
        <v>$$$</v>
      </c>
      <c r="BP212" s="88" t="str">
        <f t="shared" si="443"/>
        <v>$$$</v>
      </c>
      <c r="BQ212" s="88" t="str">
        <f t="shared" si="4"/>
        <v>$$$</v>
      </c>
      <c r="BR212" s="88" t="str">
        <f t="shared" si="5"/>
        <v>$$$</v>
      </c>
      <c r="BS212" s="29" t="e">
        <f t="shared" si="444"/>
        <v>#N/A</v>
      </c>
      <c r="BT212" s="29" t="e">
        <f t="shared" si="444"/>
        <v>#N/A</v>
      </c>
      <c r="BU212" s="29" t="e">
        <f t="shared" si="444"/>
        <v>#N/A</v>
      </c>
      <c r="BV212" s="29" t="e">
        <f t="shared" si="444"/>
        <v>#N/A</v>
      </c>
      <c r="BW212" s="29" t="e">
        <f t="shared" si="444"/>
        <v>#N/A</v>
      </c>
      <c r="BX212" s="29" t="e">
        <f t="shared" si="444"/>
        <v>#N/A</v>
      </c>
      <c r="BY212" s="29" t="e">
        <f t="shared" si="444"/>
        <v>#N/A</v>
      </c>
      <c r="BZ212" s="29" t="e">
        <f t="shared" si="444"/>
        <v>#N/A</v>
      </c>
      <c r="CA212" s="29" t="e">
        <f t="shared" si="444"/>
        <v>#N/A</v>
      </c>
      <c r="CB212" s="29" t="e">
        <f t="shared" si="444"/>
        <v>#N/A</v>
      </c>
      <c r="CC212" s="29" t="e">
        <f t="shared" si="444"/>
        <v>#N/A</v>
      </c>
      <c r="CD212" s="29" t="e">
        <f t="shared" si="444"/>
        <v>#N/A</v>
      </c>
      <c r="CE212" s="6" t="str">
        <f t="shared" si="452"/>
        <v/>
      </c>
      <c r="CF212" s="27" t="e">
        <f>IF(AND(CI212,NOT(AD212)),LOOKUP(CF$5,{0,750,1500},H212:J212),"")</f>
        <v>#N/A</v>
      </c>
      <c r="CG212" s="6" t="str">
        <f t="shared" si="453"/>
        <v/>
      </c>
      <c r="CH212" t="e">
        <f t="shared" si="445"/>
        <v>#N/A</v>
      </c>
      <c r="CI212" t="e">
        <f t="shared" si="446"/>
        <v>#N/A</v>
      </c>
      <c r="CJ212" s="6" t="e">
        <f t="shared" si="11"/>
        <v>#N/A</v>
      </c>
      <c r="CK212" s="6">
        <f t="shared" si="12"/>
        <v>1</v>
      </c>
      <c r="CL212" s="6">
        <f t="shared" si="26"/>
        <v>1</v>
      </c>
      <c r="CM212" s="6">
        <f t="shared" si="13"/>
        <v>1</v>
      </c>
      <c r="CN212" s="6">
        <f t="shared" si="14"/>
        <v>0</v>
      </c>
      <c r="CO212" s="6">
        <f t="shared" si="15"/>
        <v>1</v>
      </c>
      <c r="CP212" s="6">
        <f t="shared" si="16"/>
        <v>1</v>
      </c>
      <c r="CQ212" s="6">
        <f t="shared" si="447"/>
        <v>1</v>
      </c>
      <c r="CR212" s="81" t="str">
        <f t="shared" si="17"/>
        <v/>
      </c>
      <c r="CS212">
        <f t="shared" si="448"/>
        <v>9</v>
      </c>
      <c r="CT212">
        <f t="shared" si="19"/>
        <v>150</v>
      </c>
      <c r="CU212" t="str">
        <f t="shared" si="29"/>
        <v/>
      </c>
      <c r="CV212" s="81">
        <f t="shared" si="449"/>
        <v>150</v>
      </c>
      <c r="CW212" s="81">
        <f>(CV212/25)^1.5*(Calculator!$BU$4/10000)*CW$5</f>
        <v>7.6432310260371077</v>
      </c>
      <c r="CX212" t="str">
        <f t="shared" si="450"/>
        <v>$150</v>
      </c>
    </row>
    <row r="213" spans="2:102" x14ac:dyDescent="0.25">
      <c r="B213" s="115" t="s">
        <v>233</v>
      </c>
      <c r="C213" s="13">
        <v>46316.611111111109</v>
      </c>
      <c r="D213">
        <v>35859</v>
      </c>
      <c r="E213" s="54" t="s">
        <v>235</v>
      </c>
      <c r="F213" s="54" t="s">
        <v>527</v>
      </c>
      <c r="G213" s="54" t="s">
        <v>1669</v>
      </c>
      <c r="H213" s="55">
        <v>11.1</v>
      </c>
      <c r="I213" s="55">
        <v>11.1</v>
      </c>
      <c r="J213" s="55">
        <v>11.1</v>
      </c>
      <c r="K213" s="54"/>
      <c r="L213" s="56" t="b">
        <v>0</v>
      </c>
      <c r="M213" s="56" t="b">
        <v>0</v>
      </c>
      <c r="N213" s="54">
        <v>1</v>
      </c>
      <c r="O213" s="54" t="s">
        <v>228</v>
      </c>
      <c r="P213" s="54">
        <v>100</v>
      </c>
      <c r="Q213" s="54">
        <v>6</v>
      </c>
      <c r="R213" s="54">
        <v>150</v>
      </c>
      <c r="S213" s="54" t="s">
        <v>528</v>
      </c>
      <c r="T213" s="54" t="s">
        <v>1670</v>
      </c>
      <c r="U213" s="54" t="s">
        <v>530</v>
      </c>
      <c r="V213" s="54" t="s">
        <v>531</v>
      </c>
      <c r="W213" s="54" t="b">
        <v>0</v>
      </c>
      <c r="X213" s="54"/>
      <c r="Y213" s="57" t="s">
        <v>2184</v>
      </c>
      <c r="Z213" s="54" t="s">
        <v>538</v>
      </c>
      <c r="AA213" s="54"/>
      <c r="AB213" s="54" t="s">
        <v>532</v>
      </c>
      <c r="AC213" s="56" t="b">
        <v>1</v>
      </c>
      <c r="AD213" s="56" t="b">
        <v>0</v>
      </c>
      <c r="AE213" s="54" t="s">
        <v>302</v>
      </c>
      <c r="AF213" s="58">
        <v>46315</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4.6186999999999999E-2</v>
      </c>
      <c r="BC213" s="60">
        <v>4.9000000000000004</v>
      </c>
      <c r="BD213" s="61">
        <v>6.5333000000000002E-2</v>
      </c>
      <c r="BE213" s="62" t="s">
        <v>293</v>
      </c>
      <c r="BF213" s="35">
        <f t="shared" si="451"/>
        <v>4.9000000000000004</v>
      </c>
      <c r="BG213" s="35">
        <f t="shared" si="451"/>
        <v>6.5333000000000002E-2</v>
      </c>
      <c r="BH213" s="35" t="str">
        <f t="shared" si="440"/>
        <v>Low</v>
      </c>
      <c r="BI213" s="110">
        <f t="shared" si="441"/>
        <v>0</v>
      </c>
      <c r="BJ213" s="83">
        <f>VLOOKUP($F213,REP_Info!$D$6:$H$250,5,FALSE)</f>
        <v>4.5250000000000004</v>
      </c>
      <c r="BK213" s="30">
        <f t="shared" si="442"/>
        <v>11.132</v>
      </c>
      <c r="BL213" s="30">
        <f t="shared" si="442"/>
        <v>11.141999999999998</v>
      </c>
      <c r="BM213" s="30">
        <f t="shared" si="442"/>
        <v>11.147</v>
      </c>
      <c r="BN213" s="29">
        <f t="shared" si="442"/>
        <v>11.148666666666667</v>
      </c>
      <c r="BO213" s="85" t="str">
        <f t="shared" si="2"/>
        <v>$$$</v>
      </c>
      <c r="BP213" s="88" t="str">
        <f t="shared" si="443"/>
        <v>$$$</v>
      </c>
      <c r="BQ213" s="88" t="str">
        <f t="shared" si="4"/>
        <v>$$$</v>
      </c>
      <c r="BR213" s="88" t="str">
        <f t="shared" si="5"/>
        <v>$$$</v>
      </c>
      <c r="BS213" s="29" t="e">
        <f t="shared" si="444"/>
        <v>#N/A</v>
      </c>
      <c r="BT213" s="29" t="e">
        <f t="shared" si="444"/>
        <v>#N/A</v>
      </c>
      <c r="BU213" s="29" t="e">
        <f t="shared" si="444"/>
        <v>#N/A</v>
      </c>
      <c r="BV213" s="29" t="e">
        <f t="shared" si="444"/>
        <v>#N/A</v>
      </c>
      <c r="BW213" s="29" t="e">
        <f t="shared" si="444"/>
        <v>#N/A</v>
      </c>
      <c r="BX213" s="29" t="e">
        <f t="shared" si="444"/>
        <v>#N/A</v>
      </c>
      <c r="BY213" s="29" t="e">
        <f t="shared" si="444"/>
        <v>#N/A</v>
      </c>
      <c r="BZ213" s="29" t="e">
        <f t="shared" si="444"/>
        <v>#N/A</v>
      </c>
      <c r="CA213" s="29" t="e">
        <f t="shared" si="444"/>
        <v>#N/A</v>
      </c>
      <c r="CB213" s="29" t="e">
        <f t="shared" si="444"/>
        <v>#N/A</v>
      </c>
      <c r="CC213" s="29" t="e">
        <f t="shared" si="444"/>
        <v>#N/A</v>
      </c>
      <c r="CD213" s="29" t="e">
        <f t="shared" si="444"/>
        <v>#N/A</v>
      </c>
      <c r="CE213" s="6" t="str">
        <f t="shared" si="452"/>
        <v/>
      </c>
      <c r="CF213" s="27" t="e">
        <f>IF(AND(CI213,NOT(AD213)),LOOKUP(CF$5,{0,750,1500},H213:J213),"")</f>
        <v>#N/A</v>
      </c>
      <c r="CG213" s="6" t="str">
        <f t="shared" si="453"/>
        <v/>
      </c>
      <c r="CH213" t="e">
        <f t="shared" si="445"/>
        <v>#N/A</v>
      </c>
      <c r="CI213" t="e">
        <f t="shared" si="446"/>
        <v>#N/A</v>
      </c>
      <c r="CJ213" s="6" t="e">
        <f t="shared" si="11"/>
        <v>#N/A</v>
      </c>
      <c r="CK213" s="6">
        <f t="shared" si="12"/>
        <v>1</v>
      </c>
      <c r="CL213" s="6">
        <f t="shared" si="26"/>
        <v>1</v>
      </c>
      <c r="CM213" s="6">
        <f t="shared" si="13"/>
        <v>1</v>
      </c>
      <c r="CN213" s="6">
        <f t="shared" si="14"/>
        <v>0</v>
      </c>
      <c r="CO213" s="6">
        <f t="shared" si="15"/>
        <v>1</v>
      </c>
      <c r="CP213" s="6">
        <f t="shared" si="16"/>
        <v>1</v>
      </c>
      <c r="CQ213" s="6">
        <f t="shared" si="447"/>
        <v>1</v>
      </c>
      <c r="CR213" s="81" t="str">
        <f t="shared" si="17"/>
        <v/>
      </c>
      <c r="CS213">
        <f t="shared" si="448"/>
        <v>18</v>
      </c>
      <c r="CT213">
        <f t="shared" si="19"/>
        <v>150</v>
      </c>
      <c r="CU213" t="str">
        <f t="shared" si="29"/>
        <v/>
      </c>
      <c r="CV213" s="81">
        <f t="shared" si="449"/>
        <v>150</v>
      </c>
      <c r="CW213" s="81">
        <f>(CV213/25)^1.5*(Calculator!$BU$4/10000)*CW$5</f>
        <v>7.6432310260371077</v>
      </c>
      <c r="CX213" t="str">
        <f t="shared" si="450"/>
        <v>$150</v>
      </c>
    </row>
    <row r="214" spans="2:102" x14ac:dyDescent="0.25">
      <c r="B214" s="115" t="s">
        <v>233</v>
      </c>
      <c r="C214" s="13">
        <v>46316.611111111109</v>
      </c>
      <c r="D214">
        <v>35861</v>
      </c>
      <c r="E214" s="54" t="s">
        <v>237</v>
      </c>
      <c r="F214" s="54" t="s">
        <v>527</v>
      </c>
      <c r="G214" s="54" t="s">
        <v>1669</v>
      </c>
      <c r="H214" s="55">
        <v>11.5</v>
      </c>
      <c r="I214" s="55">
        <v>11.600000000000001</v>
      </c>
      <c r="J214" s="55">
        <v>11.600000000000001</v>
      </c>
      <c r="K214" s="54"/>
      <c r="L214" s="56" t="b">
        <v>0</v>
      </c>
      <c r="M214" s="56" t="b">
        <v>0</v>
      </c>
      <c r="N214" s="54">
        <v>1</v>
      </c>
      <c r="O214" s="54" t="s">
        <v>228</v>
      </c>
      <c r="P214" s="54">
        <v>100</v>
      </c>
      <c r="Q214" s="54">
        <v>6</v>
      </c>
      <c r="R214" s="54">
        <v>150</v>
      </c>
      <c r="S214" s="54" t="s">
        <v>528</v>
      </c>
      <c r="T214" s="54" t="s">
        <v>1670</v>
      </c>
      <c r="U214" s="54" t="s">
        <v>530</v>
      </c>
      <c r="V214" s="54" t="s">
        <v>531</v>
      </c>
      <c r="W214" s="54" t="b">
        <v>0</v>
      </c>
      <c r="X214" s="54"/>
      <c r="Y214" s="57" t="s">
        <v>2185</v>
      </c>
      <c r="Z214" s="54" t="s">
        <v>538</v>
      </c>
      <c r="AA214" s="54"/>
      <c r="AB214" s="54" t="s">
        <v>532</v>
      </c>
      <c r="AC214" s="56" t="b">
        <v>1</v>
      </c>
      <c r="AD214" s="56" t="b">
        <v>0</v>
      </c>
      <c r="AE214" s="54" t="s">
        <v>302</v>
      </c>
      <c r="AF214" s="58">
        <v>46315</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4.7801999999999997E-2</v>
      </c>
      <c r="BC214" s="60">
        <v>4.0599999999999996</v>
      </c>
      <c r="BD214" s="61">
        <v>6.8672999999999998E-2</v>
      </c>
      <c r="BE214" s="62" t="s">
        <v>293</v>
      </c>
      <c r="BF214" s="35">
        <f t="shared" si="451"/>
        <v>4.0600000000000005</v>
      </c>
      <c r="BG214" s="35">
        <f t="shared" si="451"/>
        <v>6.8672999999999998E-2</v>
      </c>
      <c r="BH214" s="35" t="str">
        <f t="shared" si="440"/>
        <v>Low</v>
      </c>
      <c r="BI214" s="110">
        <f t="shared" si="441"/>
        <v>0</v>
      </c>
      <c r="BJ214" s="83">
        <f>VLOOKUP($F214,REP_Info!$D$6:$H$250,5,FALSE)</f>
        <v>4.5250000000000004</v>
      </c>
      <c r="BK214" s="30">
        <f t="shared" si="442"/>
        <v>11.4595</v>
      </c>
      <c r="BL214" s="30">
        <f t="shared" si="442"/>
        <v>11.5535</v>
      </c>
      <c r="BM214" s="30">
        <f t="shared" si="442"/>
        <v>11.6005</v>
      </c>
      <c r="BN214" s="29">
        <f t="shared" si="442"/>
        <v>11.616166666666667</v>
      </c>
      <c r="BO214" s="85" t="str">
        <f t="shared" si="2"/>
        <v>$$$</v>
      </c>
      <c r="BP214" s="88" t="str">
        <f t="shared" si="443"/>
        <v>$$$</v>
      </c>
      <c r="BQ214" s="88" t="str">
        <f t="shared" si="4"/>
        <v>$$$</v>
      </c>
      <c r="BR214" s="88" t="str">
        <f t="shared" si="5"/>
        <v>$$$</v>
      </c>
      <c r="BS214" s="29" t="e">
        <f t="shared" si="444"/>
        <v>#N/A</v>
      </c>
      <c r="BT214" s="29" t="e">
        <f t="shared" si="444"/>
        <v>#N/A</v>
      </c>
      <c r="BU214" s="29" t="e">
        <f t="shared" si="444"/>
        <v>#N/A</v>
      </c>
      <c r="BV214" s="29" t="e">
        <f t="shared" si="444"/>
        <v>#N/A</v>
      </c>
      <c r="BW214" s="29" t="e">
        <f t="shared" si="444"/>
        <v>#N/A</v>
      </c>
      <c r="BX214" s="29" t="e">
        <f t="shared" si="444"/>
        <v>#N/A</v>
      </c>
      <c r="BY214" s="29" t="e">
        <f t="shared" si="444"/>
        <v>#N/A</v>
      </c>
      <c r="BZ214" s="29" t="e">
        <f t="shared" si="444"/>
        <v>#N/A</v>
      </c>
      <c r="CA214" s="29" t="e">
        <f t="shared" si="444"/>
        <v>#N/A</v>
      </c>
      <c r="CB214" s="29" t="e">
        <f t="shared" si="444"/>
        <v>#N/A</v>
      </c>
      <c r="CC214" s="29" t="e">
        <f t="shared" si="444"/>
        <v>#N/A</v>
      </c>
      <c r="CD214" s="29" t="e">
        <f t="shared" si="444"/>
        <v>#N/A</v>
      </c>
      <c r="CE214" s="6" t="str">
        <f t="shared" si="452"/>
        <v/>
      </c>
      <c r="CF214" s="27" t="e">
        <f>IF(AND(CI214,NOT(AD214)),LOOKUP(CF$5,{0,750,1500},H214:J214),"")</f>
        <v>#N/A</v>
      </c>
      <c r="CG214" s="6" t="str">
        <f t="shared" si="453"/>
        <v/>
      </c>
      <c r="CH214" t="e">
        <f t="shared" si="445"/>
        <v>#N/A</v>
      </c>
      <c r="CI214" t="e">
        <f t="shared" si="446"/>
        <v>#N/A</v>
      </c>
      <c r="CJ214" s="6" t="e">
        <f t="shared" si="11"/>
        <v>#N/A</v>
      </c>
      <c r="CK214" s="6">
        <f t="shared" si="12"/>
        <v>1</v>
      </c>
      <c r="CL214" s="6">
        <f t="shared" si="26"/>
        <v>1</v>
      </c>
      <c r="CM214" s="6">
        <f t="shared" si="13"/>
        <v>1</v>
      </c>
      <c r="CN214" s="6">
        <f t="shared" si="14"/>
        <v>0</v>
      </c>
      <c r="CO214" s="6">
        <f t="shared" si="15"/>
        <v>1</v>
      </c>
      <c r="CP214" s="6">
        <f t="shared" si="16"/>
        <v>1</v>
      </c>
      <c r="CQ214" s="6">
        <f t="shared" si="447"/>
        <v>1</v>
      </c>
      <c r="CR214" s="81" t="str">
        <f t="shared" si="17"/>
        <v/>
      </c>
      <c r="CS214">
        <f t="shared" si="448"/>
        <v>18</v>
      </c>
      <c r="CT214">
        <f t="shared" si="19"/>
        <v>150</v>
      </c>
      <c r="CU214" t="str">
        <f t="shared" si="29"/>
        <v/>
      </c>
      <c r="CV214" s="81">
        <f t="shared" si="449"/>
        <v>150</v>
      </c>
      <c r="CW214" s="81">
        <f>(CV214/25)^1.5*(Calculator!$BU$4/10000)*CW$5</f>
        <v>7.6432310260371077</v>
      </c>
      <c r="CX214" t="str">
        <f t="shared" si="450"/>
        <v>$150</v>
      </c>
    </row>
    <row r="215" spans="2:102" x14ac:dyDescent="0.25">
      <c r="B215" s="115" t="s">
        <v>233</v>
      </c>
      <c r="C215" s="13">
        <v>46316.611111111109</v>
      </c>
      <c r="D215">
        <v>37239</v>
      </c>
      <c r="E215" s="54" t="s">
        <v>235</v>
      </c>
      <c r="F215" s="54" t="s">
        <v>527</v>
      </c>
      <c r="G215" s="54" t="s">
        <v>1671</v>
      </c>
      <c r="H215" s="55">
        <v>10.6</v>
      </c>
      <c r="I215" s="55">
        <v>10.6</v>
      </c>
      <c r="J215" s="55">
        <v>10.6</v>
      </c>
      <c r="K215" s="54"/>
      <c r="L215" s="56" t="b">
        <v>0</v>
      </c>
      <c r="M215" s="56" t="b">
        <v>0</v>
      </c>
      <c r="N215" s="54">
        <v>1</v>
      </c>
      <c r="O215" s="54" t="s">
        <v>228</v>
      </c>
      <c r="P215" s="54">
        <v>100</v>
      </c>
      <c r="Q215" s="54">
        <v>3</v>
      </c>
      <c r="R215" s="54">
        <v>150</v>
      </c>
      <c r="S215" s="54" t="s">
        <v>538</v>
      </c>
      <c r="T215" s="54" t="s">
        <v>1672</v>
      </c>
      <c r="U215" s="54" t="s">
        <v>531</v>
      </c>
      <c r="V215" s="54" t="s">
        <v>531</v>
      </c>
      <c r="W215" s="54" t="b">
        <v>0</v>
      </c>
      <c r="X215" s="54"/>
      <c r="Y215" s="57" t="s">
        <v>2186</v>
      </c>
      <c r="Z215" s="54" t="s">
        <v>538</v>
      </c>
      <c r="AA215" s="54"/>
      <c r="AB215" s="54" t="s">
        <v>532</v>
      </c>
      <c r="AC215" s="56" t="b">
        <v>1</v>
      </c>
      <c r="AD215" s="56" t="b">
        <v>0</v>
      </c>
      <c r="AE215" s="54" t="s">
        <v>302</v>
      </c>
      <c r="AF215" s="58">
        <v>46315</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4.0663999999999999E-2</v>
      </c>
      <c r="BC215" s="60">
        <v>4.9000000000000004</v>
      </c>
      <c r="BD215" s="61">
        <v>6.5333000000000002E-2</v>
      </c>
      <c r="BE215" s="62" t="s">
        <v>293</v>
      </c>
      <c r="BF215" s="35">
        <f t="shared" si="451"/>
        <v>4.9000000000000004</v>
      </c>
      <c r="BG215" s="35">
        <f t="shared" si="451"/>
        <v>6.5333000000000002E-2</v>
      </c>
      <c r="BH215" s="35" t="str">
        <f t="shared" si="440"/>
        <v>Low</v>
      </c>
      <c r="BI215" s="110">
        <f t="shared" si="441"/>
        <v>0</v>
      </c>
      <c r="BJ215" s="83">
        <f>VLOOKUP($F215,REP_Info!$D$6:$H$250,5,FALSE)</f>
        <v>4.5250000000000004</v>
      </c>
      <c r="BK215" s="30">
        <f t="shared" si="442"/>
        <v>10.579699999999999</v>
      </c>
      <c r="BL215" s="30">
        <f t="shared" si="442"/>
        <v>10.589699999999999</v>
      </c>
      <c r="BM215" s="30">
        <f t="shared" si="442"/>
        <v>10.594700000000001</v>
      </c>
      <c r="BN215" s="29">
        <f t="shared" si="442"/>
        <v>10.596366666666665</v>
      </c>
      <c r="BO215" s="85" t="str">
        <f t="shared" si="2"/>
        <v>$$$</v>
      </c>
      <c r="BP215" s="88" t="str">
        <f t="shared" si="443"/>
        <v>$$$</v>
      </c>
      <c r="BQ215" s="88" t="str">
        <f t="shared" si="4"/>
        <v>$$$</v>
      </c>
      <c r="BR215" s="88" t="str">
        <f t="shared" si="5"/>
        <v>$$$</v>
      </c>
      <c r="BS215" s="29" t="e">
        <f t="shared" si="444"/>
        <v>#N/A</v>
      </c>
      <c r="BT215" s="29" t="e">
        <f t="shared" si="444"/>
        <v>#N/A</v>
      </c>
      <c r="BU215" s="29" t="e">
        <f t="shared" si="444"/>
        <v>#N/A</v>
      </c>
      <c r="BV215" s="29" t="e">
        <f t="shared" si="444"/>
        <v>#N/A</v>
      </c>
      <c r="BW215" s="29" t="e">
        <f t="shared" si="444"/>
        <v>#N/A</v>
      </c>
      <c r="BX215" s="29" t="e">
        <f t="shared" si="444"/>
        <v>#N/A</v>
      </c>
      <c r="BY215" s="29" t="e">
        <f t="shared" si="444"/>
        <v>#N/A</v>
      </c>
      <c r="BZ215" s="29" t="e">
        <f t="shared" si="444"/>
        <v>#N/A</v>
      </c>
      <c r="CA215" s="29" t="e">
        <f t="shared" si="444"/>
        <v>#N/A</v>
      </c>
      <c r="CB215" s="29" t="e">
        <f t="shared" si="444"/>
        <v>#N/A</v>
      </c>
      <c r="CC215" s="29" t="e">
        <f t="shared" si="444"/>
        <v>#N/A</v>
      </c>
      <c r="CD215" s="29" t="e">
        <f t="shared" si="444"/>
        <v>#N/A</v>
      </c>
      <c r="CE215" s="6" t="str">
        <f t="shared" si="452"/>
        <v/>
      </c>
      <c r="CF215" s="27" t="e">
        <f>IF(AND(CI215,NOT(AD215)),LOOKUP(CF$5,{0,750,1500},H215:J215),"")</f>
        <v>#N/A</v>
      </c>
      <c r="CG215" s="6" t="str">
        <f t="shared" si="453"/>
        <v/>
      </c>
      <c r="CH215" t="e">
        <f t="shared" si="445"/>
        <v>#N/A</v>
      </c>
      <c r="CI215" t="e">
        <f t="shared" si="446"/>
        <v>#N/A</v>
      </c>
      <c r="CJ215" s="6" t="e">
        <f t="shared" si="11"/>
        <v>#N/A</v>
      </c>
      <c r="CK215" s="6">
        <f t="shared" si="12"/>
        <v>1</v>
      </c>
      <c r="CL215" s="6">
        <f t="shared" si="26"/>
        <v>1</v>
      </c>
      <c r="CM215" s="6">
        <f t="shared" si="13"/>
        <v>1</v>
      </c>
      <c r="CN215" s="6">
        <f t="shared" si="14"/>
        <v>0</v>
      </c>
      <c r="CO215" s="6">
        <f t="shared" si="15"/>
        <v>1</v>
      </c>
      <c r="CP215" s="6">
        <f t="shared" si="16"/>
        <v>1</v>
      </c>
      <c r="CQ215" s="6">
        <f t="shared" si="447"/>
        <v>1</v>
      </c>
      <c r="CR215" s="81" t="str">
        <f t="shared" si="17"/>
        <v/>
      </c>
      <c r="CS215">
        <f t="shared" si="448"/>
        <v>54</v>
      </c>
      <c r="CT215">
        <f t="shared" si="19"/>
        <v>150</v>
      </c>
      <c r="CU215" t="str">
        <f t="shared" si="29"/>
        <v/>
      </c>
      <c r="CV215" s="81">
        <f t="shared" si="449"/>
        <v>150</v>
      </c>
      <c r="CW215" s="81">
        <f>(CV215/25)^1.5*(Calculator!$BU$4/10000)*CW$5</f>
        <v>7.6432310260371077</v>
      </c>
      <c r="CX215" t="str">
        <f t="shared" si="450"/>
        <v>$150</v>
      </c>
    </row>
    <row r="216" spans="2:102" x14ac:dyDescent="0.25">
      <c r="B216" s="115" t="s">
        <v>233</v>
      </c>
      <c r="C216" s="13">
        <v>46316.611111111109</v>
      </c>
      <c r="D216">
        <v>37292</v>
      </c>
      <c r="E216" s="54" t="s">
        <v>237</v>
      </c>
      <c r="F216" s="54" t="s">
        <v>527</v>
      </c>
      <c r="G216" s="54" t="s">
        <v>1671</v>
      </c>
      <c r="H216" s="55">
        <v>11.3</v>
      </c>
      <c r="I216" s="55">
        <v>11.4</v>
      </c>
      <c r="J216" s="55">
        <v>11.5</v>
      </c>
      <c r="K216" s="54"/>
      <c r="L216" s="56" t="b">
        <v>0</v>
      </c>
      <c r="M216" s="56" t="b">
        <v>0</v>
      </c>
      <c r="N216" s="54">
        <v>1</v>
      </c>
      <c r="O216" s="54" t="s">
        <v>228</v>
      </c>
      <c r="P216" s="54">
        <v>100</v>
      </c>
      <c r="Q216" s="54">
        <v>3</v>
      </c>
      <c r="R216" s="54">
        <v>150</v>
      </c>
      <c r="S216" s="54" t="s">
        <v>538</v>
      </c>
      <c r="T216" s="54" t="s">
        <v>1672</v>
      </c>
      <c r="U216" s="54" t="s">
        <v>531</v>
      </c>
      <c r="V216" s="54" t="s">
        <v>531</v>
      </c>
      <c r="W216" s="54" t="b">
        <v>0</v>
      </c>
      <c r="X216" s="54"/>
      <c r="Y216" s="57" t="s">
        <v>2187</v>
      </c>
      <c r="Z216" s="54" t="s">
        <v>538</v>
      </c>
      <c r="AA216" s="54"/>
      <c r="AB216" s="54" t="s">
        <v>532</v>
      </c>
      <c r="AC216" s="56" t="b">
        <v>1</v>
      </c>
      <c r="AD216" s="56" t="b">
        <v>0</v>
      </c>
      <c r="AE216" s="54" t="s">
        <v>302</v>
      </c>
      <c r="AF216" s="58">
        <v>46315</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4.6671999999999998E-2</v>
      </c>
      <c r="BC216" s="60">
        <v>4.0599999999999996</v>
      </c>
      <c r="BD216" s="61">
        <v>6.8672999999999998E-2</v>
      </c>
      <c r="BE216" s="62" t="s">
        <v>293</v>
      </c>
      <c r="BF216" s="35">
        <f t="shared" si="451"/>
        <v>4.0600000000000005</v>
      </c>
      <c r="BG216" s="35">
        <f t="shared" si="451"/>
        <v>6.8672999999999998E-2</v>
      </c>
      <c r="BH216" s="35" t="str">
        <f t="shared" si="440"/>
        <v>Low</v>
      </c>
      <c r="BI216" s="110">
        <f t="shared" si="441"/>
        <v>0</v>
      </c>
      <c r="BJ216" s="83">
        <f>VLOOKUP($F216,REP_Info!$D$6:$H$250,5,FALSE)</f>
        <v>4.5250000000000004</v>
      </c>
      <c r="BK216" s="30">
        <f t="shared" si="442"/>
        <v>11.346500000000001</v>
      </c>
      <c r="BL216" s="30">
        <f t="shared" si="442"/>
        <v>11.4405</v>
      </c>
      <c r="BM216" s="30">
        <f t="shared" si="442"/>
        <v>11.487500000000001</v>
      </c>
      <c r="BN216" s="29">
        <f t="shared" si="442"/>
        <v>11.503166666666667</v>
      </c>
      <c r="BO216" s="85" t="str">
        <f t="shared" si="2"/>
        <v>$$$</v>
      </c>
      <c r="BP216" s="88" t="str">
        <f t="shared" si="443"/>
        <v>$$$</v>
      </c>
      <c r="BQ216" s="88" t="str">
        <f t="shared" si="4"/>
        <v>$$$</v>
      </c>
      <c r="BR216" s="88" t="str">
        <f t="shared" si="5"/>
        <v>$$$</v>
      </c>
      <c r="BS216" s="29" t="e">
        <f t="shared" si="444"/>
        <v>#N/A</v>
      </c>
      <c r="BT216" s="29" t="e">
        <f t="shared" si="444"/>
        <v>#N/A</v>
      </c>
      <c r="BU216" s="29" t="e">
        <f t="shared" si="444"/>
        <v>#N/A</v>
      </c>
      <c r="BV216" s="29" t="e">
        <f t="shared" si="444"/>
        <v>#N/A</v>
      </c>
      <c r="BW216" s="29" t="e">
        <f t="shared" si="444"/>
        <v>#N/A</v>
      </c>
      <c r="BX216" s="29" t="e">
        <f t="shared" si="444"/>
        <v>#N/A</v>
      </c>
      <c r="BY216" s="29" t="e">
        <f t="shared" si="444"/>
        <v>#N/A</v>
      </c>
      <c r="BZ216" s="29" t="e">
        <f t="shared" si="444"/>
        <v>#N/A</v>
      </c>
      <c r="CA216" s="29" t="e">
        <f t="shared" si="444"/>
        <v>#N/A</v>
      </c>
      <c r="CB216" s="29" t="e">
        <f t="shared" si="444"/>
        <v>#N/A</v>
      </c>
      <c r="CC216" s="29" t="e">
        <f t="shared" si="444"/>
        <v>#N/A</v>
      </c>
      <c r="CD216" s="29" t="e">
        <f t="shared" si="444"/>
        <v>#N/A</v>
      </c>
      <c r="CE216" s="6" t="str">
        <f t="shared" si="452"/>
        <v/>
      </c>
      <c r="CF216" s="27" t="e">
        <f>IF(AND(CI216,NOT(AD216)),LOOKUP(CF$5,{0,750,1500},H216:J216),"")</f>
        <v>#N/A</v>
      </c>
      <c r="CG216" s="6" t="str">
        <f t="shared" si="453"/>
        <v/>
      </c>
      <c r="CH216" t="e">
        <f t="shared" si="445"/>
        <v>#N/A</v>
      </c>
      <c r="CI216" t="e">
        <f t="shared" si="446"/>
        <v>#N/A</v>
      </c>
      <c r="CJ216" s="6" t="e">
        <f t="shared" si="11"/>
        <v>#N/A</v>
      </c>
      <c r="CK216" s="6">
        <f t="shared" si="12"/>
        <v>1</v>
      </c>
      <c r="CL216" s="6">
        <f t="shared" ref="CL216:CL219" si="454">IFERROR(--OR(ISBLANK(CL$5),$BJ216="",AND(ISNUMBER($BJ216),$BJ216&lt;=CL$5)),1)</f>
        <v>1</v>
      </c>
      <c r="CM216" s="6">
        <f t="shared" si="13"/>
        <v>1</v>
      </c>
      <c r="CN216" s="6">
        <f t="shared" si="14"/>
        <v>0</v>
      </c>
      <c r="CO216" s="6">
        <f t="shared" si="15"/>
        <v>1</v>
      </c>
      <c r="CP216" s="6">
        <f t="shared" si="16"/>
        <v>1</v>
      </c>
      <c r="CQ216" s="6">
        <f t="shared" si="447"/>
        <v>1</v>
      </c>
      <c r="CR216" s="81" t="str">
        <f t="shared" si="17"/>
        <v/>
      </c>
      <c r="CS216">
        <f t="shared" si="448"/>
        <v>54</v>
      </c>
      <c r="CT216">
        <f t="shared" si="19"/>
        <v>150</v>
      </c>
      <c r="CU216" t="str">
        <f t="shared" ref="CU216:CU219" si="455">IF(AND(ISERR(FIND("remain",$R216)),ISERR(FIND("left",$R216))),"","r")&amp;IF(ISERR(FIND("mon",$R216)),"","m")</f>
        <v/>
      </c>
      <c r="CV216" s="81">
        <f t="shared" si="449"/>
        <v>150</v>
      </c>
      <c r="CW216" s="81">
        <f>(CV216/25)^1.5*(Calculator!$BU$4/10000)*CW$5</f>
        <v>7.6432310260371077</v>
      </c>
      <c r="CX216" t="str">
        <f t="shared" si="450"/>
        <v>$150</v>
      </c>
    </row>
    <row r="217" spans="2:102" x14ac:dyDescent="0.25">
      <c r="B217" s="115" t="s">
        <v>233</v>
      </c>
      <c r="C217" s="13">
        <v>46316.611111111109</v>
      </c>
      <c r="D217">
        <v>35736</v>
      </c>
      <c r="E217" s="54" t="s">
        <v>235</v>
      </c>
      <c r="F217" s="54" t="s">
        <v>539</v>
      </c>
      <c r="G217" s="54" t="s">
        <v>540</v>
      </c>
      <c r="H217" s="55">
        <v>14.2</v>
      </c>
      <c r="I217" s="55">
        <v>14.2</v>
      </c>
      <c r="J217" s="55">
        <v>14.2</v>
      </c>
      <c r="K217" s="54"/>
      <c r="L217" s="56" t="b">
        <v>0</v>
      </c>
      <c r="M217" s="56" t="b">
        <v>0</v>
      </c>
      <c r="N217" s="54">
        <v>1</v>
      </c>
      <c r="O217" s="54" t="s">
        <v>228</v>
      </c>
      <c r="P217" s="54">
        <v>100</v>
      </c>
      <c r="Q217" s="54">
        <v>24</v>
      </c>
      <c r="R217" s="54">
        <v>250</v>
      </c>
      <c r="S217" s="54" t="s">
        <v>528</v>
      </c>
      <c r="T217" s="54" t="s">
        <v>541</v>
      </c>
      <c r="U217" s="54" t="s">
        <v>530</v>
      </c>
      <c r="V217" s="54" t="s">
        <v>531</v>
      </c>
      <c r="W217" s="54" t="b">
        <v>0</v>
      </c>
      <c r="X217" s="54"/>
      <c r="Y217" s="57" t="s">
        <v>2188</v>
      </c>
      <c r="Z217" s="54" t="s">
        <v>528</v>
      </c>
      <c r="AA217" s="54"/>
      <c r="AB217" s="54" t="s">
        <v>532</v>
      </c>
      <c r="AC217" s="56" t="b">
        <v>1</v>
      </c>
      <c r="AD217" s="56" t="b">
        <v>0</v>
      </c>
      <c r="AE217" s="54" t="s">
        <v>302</v>
      </c>
      <c r="AF217" s="58">
        <v>46315</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7.6733999999999997E-2</v>
      </c>
      <c r="BC217" s="60">
        <v>4.9000000000000004</v>
      </c>
      <c r="BD217" s="61">
        <v>6.5333000000000002E-2</v>
      </c>
      <c r="BE217" s="62" t="s">
        <v>293</v>
      </c>
      <c r="BF217" s="35">
        <f t="shared" si="451"/>
        <v>4.9000000000000004</v>
      </c>
      <c r="BG217" s="35">
        <f t="shared" si="451"/>
        <v>6.5333000000000002E-2</v>
      </c>
      <c r="BH217" s="35" t="str">
        <f t="shared" si="440"/>
        <v>Low</v>
      </c>
      <c r="BI217" s="110">
        <f t="shared" si="441"/>
        <v>0</v>
      </c>
      <c r="BJ217" s="83">
        <f>VLOOKUP($F217,REP_Info!$D$6:$H$250,5,FALSE)</f>
        <v>4.5250000000000004</v>
      </c>
      <c r="BK217" s="30">
        <f t="shared" si="442"/>
        <v>14.186699999999998</v>
      </c>
      <c r="BL217" s="30">
        <f t="shared" si="442"/>
        <v>14.196699999999998</v>
      </c>
      <c r="BM217" s="30">
        <f t="shared" si="442"/>
        <v>14.201699999999999</v>
      </c>
      <c r="BN217" s="29">
        <f t="shared" si="442"/>
        <v>14.203366666666666</v>
      </c>
      <c r="BO217" s="85" t="str">
        <f t="shared" si="2"/>
        <v>$$$</v>
      </c>
      <c r="BP217" s="88" t="str">
        <f t="shared" si="443"/>
        <v>$$$</v>
      </c>
      <c r="BQ217" s="88" t="str">
        <f t="shared" si="4"/>
        <v>$$$</v>
      </c>
      <c r="BR217" s="88" t="str">
        <f t="shared" si="5"/>
        <v>$$$</v>
      </c>
      <c r="BS217" s="29" t="e">
        <f t="shared" si="444"/>
        <v>#N/A</v>
      </c>
      <c r="BT217" s="29" t="e">
        <f t="shared" si="444"/>
        <v>#N/A</v>
      </c>
      <c r="BU217" s="29" t="e">
        <f t="shared" si="444"/>
        <v>#N/A</v>
      </c>
      <c r="BV217" s="29" t="e">
        <f t="shared" si="444"/>
        <v>#N/A</v>
      </c>
      <c r="BW217" s="29" t="e">
        <f t="shared" si="444"/>
        <v>#N/A</v>
      </c>
      <c r="BX217" s="29" t="e">
        <f t="shared" si="444"/>
        <v>#N/A</v>
      </c>
      <c r="BY217" s="29" t="e">
        <f t="shared" si="444"/>
        <v>#N/A</v>
      </c>
      <c r="BZ217" s="29" t="e">
        <f t="shared" si="444"/>
        <v>#N/A</v>
      </c>
      <c r="CA217" s="29" t="e">
        <f t="shared" si="444"/>
        <v>#N/A</v>
      </c>
      <c r="CB217" s="29" t="e">
        <f t="shared" si="444"/>
        <v>#N/A</v>
      </c>
      <c r="CC217" s="29" t="e">
        <f t="shared" si="444"/>
        <v>#N/A</v>
      </c>
      <c r="CD217" s="29" t="e">
        <f t="shared" si="444"/>
        <v>#N/A</v>
      </c>
      <c r="CE217" s="6" t="str">
        <f t="shared" si="452"/>
        <v/>
      </c>
      <c r="CF217" s="27" t="e">
        <f>IF(AND(CI217,NOT(AD217)),LOOKUP(CF$5,{0,750,1500},H217:J217),"")</f>
        <v>#N/A</v>
      </c>
      <c r="CG217" s="6" t="str">
        <f t="shared" si="453"/>
        <v/>
      </c>
      <c r="CH217" t="e">
        <f t="shared" si="445"/>
        <v>#N/A</v>
      </c>
      <c r="CI217" t="e">
        <f t="shared" si="446"/>
        <v>#N/A</v>
      </c>
      <c r="CJ217" s="6" t="e">
        <f t="shared" si="11"/>
        <v>#N/A</v>
      </c>
      <c r="CK217" s="6">
        <f t="shared" si="12"/>
        <v>1</v>
      </c>
      <c r="CL217" s="6">
        <f t="shared" si="454"/>
        <v>1</v>
      </c>
      <c r="CM217" s="6">
        <f t="shared" si="13"/>
        <v>1</v>
      </c>
      <c r="CN217" s="6">
        <f t="shared" si="14"/>
        <v>1</v>
      </c>
      <c r="CO217" s="6">
        <f t="shared" si="15"/>
        <v>0</v>
      </c>
      <c r="CP217" s="6">
        <f t="shared" si="16"/>
        <v>1</v>
      </c>
      <c r="CQ217" s="6">
        <f t="shared" si="447"/>
        <v>1</v>
      </c>
      <c r="CR217" s="81" t="str">
        <f t="shared" si="17"/>
        <v/>
      </c>
      <c r="CS217">
        <f t="shared" si="448"/>
        <v>0</v>
      </c>
      <c r="CT217">
        <f t="shared" si="19"/>
        <v>250</v>
      </c>
      <c r="CU217" t="str">
        <f t="shared" si="455"/>
        <v/>
      </c>
      <c r="CV217" s="81">
        <f t="shared" si="449"/>
        <v>250</v>
      </c>
      <c r="CW217" s="81">
        <f>(CV217/25)^1.5*(Calculator!$BU$4/10000)*CW$5</f>
        <v>16.445614708365305</v>
      </c>
      <c r="CX217" t="str">
        <f t="shared" si="450"/>
        <v>$250</v>
      </c>
    </row>
    <row r="218" spans="2:102" x14ac:dyDescent="0.25">
      <c r="B218" s="115" t="s">
        <v>233</v>
      </c>
      <c r="C218" s="13">
        <v>46316.611111111109</v>
      </c>
      <c r="D218">
        <v>35740</v>
      </c>
      <c r="E218" s="54" t="s">
        <v>237</v>
      </c>
      <c r="F218" s="54" t="s">
        <v>539</v>
      </c>
      <c r="G218" s="54" t="s">
        <v>540</v>
      </c>
      <c r="H218" s="55">
        <v>14.399999999999999</v>
      </c>
      <c r="I218" s="55">
        <v>14.399999999999999</v>
      </c>
      <c r="J218" s="55">
        <v>14.499999999999998</v>
      </c>
      <c r="K218" s="54"/>
      <c r="L218" s="56" t="b">
        <v>0</v>
      </c>
      <c r="M218" s="56" t="b">
        <v>0</v>
      </c>
      <c r="N218" s="54">
        <v>1</v>
      </c>
      <c r="O218" s="54" t="s">
        <v>228</v>
      </c>
      <c r="P218" s="54">
        <v>100</v>
      </c>
      <c r="Q218" s="54">
        <v>24</v>
      </c>
      <c r="R218" s="54">
        <v>250</v>
      </c>
      <c r="S218" s="54" t="s">
        <v>528</v>
      </c>
      <c r="T218" s="54" t="s">
        <v>541</v>
      </c>
      <c r="U218" s="54" t="s">
        <v>530</v>
      </c>
      <c r="V218" s="54" t="s">
        <v>531</v>
      </c>
      <c r="W218" s="54" t="b">
        <v>0</v>
      </c>
      <c r="X218" s="54"/>
      <c r="Y218" s="57" t="s">
        <v>2189</v>
      </c>
      <c r="Z218" s="54" t="s">
        <v>538</v>
      </c>
      <c r="AA218" s="54"/>
      <c r="AB218" s="54" t="s">
        <v>532</v>
      </c>
      <c r="AC218" s="56" t="b">
        <v>1</v>
      </c>
      <c r="AD218" s="56" t="b">
        <v>0</v>
      </c>
      <c r="AE218" s="54" t="s">
        <v>302</v>
      </c>
      <c r="AF218" s="58">
        <v>46315</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7.6744000000000007E-2</v>
      </c>
      <c r="BC218" s="60">
        <v>4.0599999999999996</v>
      </c>
      <c r="BD218" s="61">
        <v>6.8672999999999998E-2</v>
      </c>
      <c r="BE218" s="62" t="s">
        <v>293</v>
      </c>
      <c r="BF218" s="35">
        <f t="shared" si="451"/>
        <v>4.0600000000000005</v>
      </c>
      <c r="BG218" s="35">
        <f t="shared" si="451"/>
        <v>6.8672999999999998E-2</v>
      </c>
      <c r="BH218" s="35" t="str">
        <f t="shared" si="440"/>
        <v>Low</v>
      </c>
      <c r="BI218" s="110">
        <f t="shared" si="441"/>
        <v>0</v>
      </c>
      <c r="BJ218" s="83">
        <f>VLOOKUP($F218,REP_Info!$D$6:$H$250,5,FALSE)</f>
        <v>4.5250000000000004</v>
      </c>
      <c r="BK218" s="30">
        <f t="shared" si="442"/>
        <v>14.3537</v>
      </c>
      <c r="BL218" s="30">
        <f t="shared" si="442"/>
        <v>14.447700000000001</v>
      </c>
      <c r="BM218" s="30">
        <f t="shared" si="442"/>
        <v>14.4947</v>
      </c>
      <c r="BN218" s="29">
        <f t="shared" si="442"/>
        <v>14.510366666666668</v>
      </c>
      <c r="BO218" s="85" t="str">
        <f t="shared" si="2"/>
        <v>$$$</v>
      </c>
      <c r="BP218" s="88" t="str">
        <f t="shared" si="443"/>
        <v>$$$</v>
      </c>
      <c r="BQ218" s="88" t="str">
        <f t="shared" si="4"/>
        <v>$$$</v>
      </c>
      <c r="BR218" s="88" t="str">
        <f t="shared" si="5"/>
        <v>$$$</v>
      </c>
      <c r="BS218" s="29" t="e">
        <f t="shared" si="444"/>
        <v>#N/A</v>
      </c>
      <c r="BT218" s="29" t="e">
        <f t="shared" si="444"/>
        <v>#N/A</v>
      </c>
      <c r="BU218" s="29" t="e">
        <f t="shared" si="444"/>
        <v>#N/A</v>
      </c>
      <c r="BV218" s="29" t="e">
        <f t="shared" si="444"/>
        <v>#N/A</v>
      </c>
      <c r="BW218" s="29" t="e">
        <f t="shared" si="444"/>
        <v>#N/A</v>
      </c>
      <c r="BX218" s="29" t="e">
        <f t="shared" si="444"/>
        <v>#N/A</v>
      </c>
      <c r="BY218" s="29" t="e">
        <f t="shared" si="444"/>
        <v>#N/A</v>
      </c>
      <c r="BZ218" s="29" t="e">
        <f t="shared" si="444"/>
        <v>#N/A</v>
      </c>
      <c r="CA218" s="29" t="e">
        <f t="shared" si="444"/>
        <v>#N/A</v>
      </c>
      <c r="CB218" s="29" t="e">
        <f t="shared" si="444"/>
        <v>#N/A</v>
      </c>
      <c r="CC218" s="29" t="e">
        <f t="shared" si="444"/>
        <v>#N/A</v>
      </c>
      <c r="CD218" s="29" t="e">
        <f t="shared" si="444"/>
        <v>#N/A</v>
      </c>
      <c r="CE218" s="6" t="str">
        <f t="shared" si="452"/>
        <v/>
      </c>
      <c r="CF218" s="27" t="e">
        <f>IF(AND(CI218,NOT(AD218)),LOOKUP(CF$5,{0,750,1500},H218:J218),"")</f>
        <v>#N/A</v>
      </c>
      <c r="CG218" s="6" t="str">
        <f t="shared" si="453"/>
        <v/>
      </c>
      <c r="CH218" t="e">
        <f t="shared" si="445"/>
        <v>#N/A</v>
      </c>
      <c r="CI218" t="e">
        <f t="shared" si="446"/>
        <v>#N/A</v>
      </c>
      <c r="CJ218" s="6" t="e">
        <f t="shared" si="11"/>
        <v>#N/A</v>
      </c>
      <c r="CK218" s="6">
        <f t="shared" si="12"/>
        <v>1</v>
      </c>
      <c r="CL218" s="6">
        <f t="shared" si="454"/>
        <v>1</v>
      </c>
      <c r="CM218" s="6">
        <f t="shared" si="13"/>
        <v>1</v>
      </c>
      <c r="CN218" s="6">
        <f t="shared" si="14"/>
        <v>1</v>
      </c>
      <c r="CO218" s="6">
        <f t="shared" si="15"/>
        <v>0</v>
      </c>
      <c r="CP218" s="6">
        <f t="shared" si="16"/>
        <v>1</v>
      </c>
      <c r="CQ218" s="6">
        <f t="shared" si="447"/>
        <v>1</v>
      </c>
      <c r="CR218" s="81" t="str">
        <f t="shared" si="17"/>
        <v/>
      </c>
      <c r="CS218">
        <f t="shared" si="448"/>
        <v>0</v>
      </c>
      <c r="CT218">
        <f t="shared" si="19"/>
        <v>250</v>
      </c>
      <c r="CU218" t="str">
        <f t="shared" si="455"/>
        <v/>
      </c>
      <c r="CV218" s="81">
        <f t="shared" si="449"/>
        <v>250</v>
      </c>
      <c r="CW218" s="81">
        <f>(CV218/25)^1.5*(Calculator!$BU$4/10000)*CW$5</f>
        <v>16.445614708365305</v>
      </c>
      <c r="CX218" t="str">
        <f t="shared" si="450"/>
        <v>$250</v>
      </c>
    </row>
    <row r="219" spans="2:102" x14ac:dyDescent="0.25">
      <c r="B219" s="115" t="s">
        <v>233</v>
      </c>
      <c r="C219" s="13">
        <v>46301.262499999997</v>
      </c>
      <c r="D219">
        <v>20182</v>
      </c>
      <c r="E219" s="54" t="s">
        <v>235</v>
      </c>
      <c r="F219" s="54" t="s">
        <v>542</v>
      </c>
      <c r="G219" s="54" t="s">
        <v>1555</v>
      </c>
      <c r="H219" s="55">
        <v>17.399999999999999</v>
      </c>
      <c r="I219" s="55">
        <v>16.900000000000002</v>
      </c>
      <c r="J219" s="55">
        <v>16.7</v>
      </c>
      <c r="K219" s="54"/>
      <c r="L219" s="56" t="b">
        <v>1</v>
      </c>
      <c r="M219" s="56" t="b">
        <v>0</v>
      </c>
      <c r="N219" s="54">
        <v>1</v>
      </c>
      <c r="O219" s="54" t="s">
        <v>228</v>
      </c>
      <c r="P219" s="54">
        <v>26</v>
      </c>
      <c r="Q219" s="54">
        <v>6</v>
      </c>
      <c r="R219" s="54">
        <v>49</v>
      </c>
      <c r="S219" s="54" t="s">
        <v>1556</v>
      </c>
      <c r="T219" s="54" t="s">
        <v>1557</v>
      </c>
      <c r="U219" s="54" t="s">
        <v>1550</v>
      </c>
      <c r="V219" s="54" t="s">
        <v>1558</v>
      </c>
      <c r="W219" s="54" t="b">
        <v>0</v>
      </c>
      <c r="X219" s="54"/>
      <c r="Y219" s="57" t="s">
        <v>1559</v>
      </c>
      <c r="Z219" s="54" t="s">
        <v>1560</v>
      </c>
      <c r="AA219" s="54" t="s">
        <v>1561</v>
      </c>
      <c r="AB219" s="54" t="s">
        <v>1562</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9.9000000000000005E-2</v>
      </c>
      <c r="BC219" s="60">
        <v>4.9000000000000004</v>
      </c>
      <c r="BD219" s="61">
        <v>6.5333000000000002E-2</v>
      </c>
      <c r="BE219" s="62" t="s">
        <v>293</v>
      </c>
      <c r="BF219" s="35">
        <f t="shared" si="451"/>
        <v>4.9000000000000004</v>
      </c>
      <c r="BG219" s="35">
        <f t="shared" si="451"/>
        <v>6.5333000000000002E-2</v>
      </c>
      <c r="BH219" s="35" t="str">
        <f t="shared" si="440"/>
        <v>Low</v>
      </c>
      <c r="BI219" s="110">
        <f t="shared" si="441"/>
        <v>0</v>
      </c>
      <c r="BJ219" s="83">
        <f>VLOOKUP($F219,REP_Info!$D$6:$H$250,5,FALSE)</f>
        <v>2.665</v>
      </c>
      <c r="BK219" s="30">
        <f t="shared" si="442"/>
        <v>17.4133</v>
      </c>
      <c r="BL219" s="30">
        <f t="shared" si="442"/>
        <v>16.923299999999998</v>
      </c>
      <c r="BM219" s="30">
        <f t="shared" si="442"/>
        <v>16.678300000000004</v>
      </c>
      <c r="BN219" s="29">
        <f t="shared" si="442"/>
        <v>16.596633333333333</v>
      </c>
      <c r="BO219" s="85" t="str">
        <f t="shared" si="2"/>
        <v>$$$</v>
      </c>
      <c r="BP219" s="88" t="str">
        <f t="shared" si="443"/>
        <v>$$$</v>
      </c>
      <c r="BQ219" s="88" t="str">
        <f t="shared" si="4"/>
        <v>$$$</v>
      </c>
      <c r="BR219" s="88" t="str">
        <f t="shared" si="5"/>
        <v>$$$</v>
      </c>
      <c r="BS219" s="29" t="e">
        <f t="shared" si="444"/>
        <v>#N/A</v>
      </c>
      <c r="BT219" s="29" t="e">
        <f t="shared" si="444"/>
        <v>#N/A</v>
      </c>
      <c r="BU219" s="29" t="e">
        <f t="shared" si="444"/>
        <v>#N/A</v>
      </c>
      <c r="BV219" s="29" t="e">
        <f t="shared" si="444"/>
        <v>#N/A</v>
      </c>
      <c r="BW219" s="29" t="e">
        <f t="shared" si="444"/>
        <v>#N/A</v>
      </c>
      <c r="BX219" s="29" t="e">
        <f t="shared" si="444"/>
        <v>#N/A</v>
      </c>
      <c r="BY219" s="29" t="e">
        <f t="shared" si="444"/>
        <v>#N/A</v>
      </c>
      <c r="BZ219" s="29" t="e">
        <f t="shared" si="444"/>
        <v>#N/A</v>
      </c>
      <c r="CA219" s="29" t="e">
        <f t="shared" si="444"/>
        <v>#N/A</v>
      </c>
      <c r="CB219" s="29" t="e">
        <f t="shared" si="444"/>
        <v>#N/A</v>
      </c>
      <c r="CC219" s="29" t="e">
        <f t="shared" si="444"/>
        <v>#N/A</v>
      </c>
      <c r="CD219" s="29" t="e">
        <f t="shared" si="444"/>
        <v>#N/A</v>
      </c>
      <c r="CE219" s="6" t="str">
        <f t="shared" si="452"/>
        <v/>
      </c>
      <c r="CF219" s="27" t="e">
        <f>IF(AND(CI219,NOT(AD219)),LOOKUP(CF$5,{0,750,1500},H219:J219),"")</f>
        <v>#N/A</v>
      </c>
      <c r="CG219" s="6" t="str">
        <f t="shared" si="453"/>
        <v/>
      </c>
      <c r="CH219" t="e">
        <f t="shared" si="445"/>
        <v>#N/A</v>
      </c>
      <c r="CI219" t="e">
        <f t="shared" si="446"/>
        <v>#N/A</v>
      </c>
      <c r="CJ219" s="6" t="e">
        <f t="shared" si="11"/>
        <v>#N/A</v>
      </c>
      <c r="CK219" s="6">
        <f t="shared" si="12"/>
        <v>1</v>
      </c>
      <c r="CL219" s="6">
        <f t="shared" si="454"/>
        <v>1</v>
      </c>
      <c r="CM219" s="6">
        <f t="shared" si="13"/>
        <v>1</v>
      </c>
      <c r="CN219" s="6">
        <f t="shared" si="14"/>
        <v>0</v>
      </c>
      <c r="CO219" s="6">
        <f t="shared" si="15"/>
        <v>1</v>
      </c>
      <c r="CP219" s="6">
        <f t="shared" si="16"/>
        <v>1</v>
      </c>
      <c r="CQ219" s="6">
        <f t="shared" si="447"/>
        <v>1</v>
      </c>
      <c r="CR219" s="81" t="str">
        <f t="shared" si="17"/>
        <v/>
      </c>
      <c r="CS219">
        <f t="shared" si="448"/>
        <v>18</v>
      </c>
      <c r="CT219">
        <f t="shared" si="19"/>
        <v>49</v>
      </c>
      <c r="CU219" t="str">
        <f t="shared" si="455"/>
        <v/>
      </c>
      <c r="CV219" s="81">
        <f t="shared" si="449"/>
        <v>49</v>
      </c>
      <c r="CW219" s="81">
        <f>(CV219/25)^1.5*(Calculator!$BU$4/10000)*CW$5</f>
        <v>1.4270336640000028</v>
      </c>
      <c r="CX219" t="str">
        <f t="shared" si="450"/>
        <v>$49</v>
      </c>
    </row>
    <row r="220" spans="2:102" x14ac:dyDescent="0.25">
      <c r="B220" s="115" t="s">
        <v>233</v>
      </c>
      <c r="C220" s="13">
        <v>46301.262499999997</v>
      </c>
      <c r="D220">
        <v>20183</v>
      </c>
      <c r="E220" s="54" t="s">
        <v>235</v>
      </c>
      <c r="F220" s="54" t="s">
        <v>542</v>
      </c>
      <c r="G220" s="54" t="s">
        <v>1563</v>
      </c>
      <c r="H220" s="55">
        <v>17.8</v>
      </c>
      <c r="I220" s="55">
        <v>17.299999999999997</v>
      </c>
      <c r="J220" s="55">
        <v>17.100000000000001</v>
      </c>
      <c r="K220" s="54"/>
      <c r="L220" s="56" t="b">
        <v>1</v>
      </c>
      <c r="M220" s="56" t="b">
        <v>0</v>
      </c>
      <c r="N220" s="54">
        <v>1</v>
      </c>
      <c r="O220" s="54" t="s">
        <v>228</v>
      </c>
      <c r="P220" s="54">
        <v>26</v>
      </c>
      <c r="Q220" s="54">
        <v>12</v>
      </c>
      <c r="R220" s="54">
        <v>49</v>
      </c>
      <c r="S220" s="54" t="s">
        <v>1556</v>
      </c>
      <c r="T220" s="54" t="s">
        <v>1564</v>
      </c>
      <c r="U220" s="54" t="s">
        <v>1552</v>
      </c>
      <c r="V220" s="54" t="s">
        <v>1565</v>
      </c>
      <c r="W220" s="54" t="b">
        <v>0</v>
      </c>
      <c r="X220" s="54"/>
      <c r="Y220" s="57" t="s">
        <v>1566</v>
      </c>
      <c r="Z220" s="54" t="s">
        <v>1560</v>
      </c>
      <c r="AA220" s="54" t="s">
        <v>1567</v>
      </c>
      <c r="AB220" s="54" t="s">
        <v>1562</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0.10299999999999999</v>
      </c>
      <c r="BC220" s="60">
        <v>4.9000000000000004</v>
      </c>
      <c r="BD220" s="61">
        <v>6.5333000000000002E-2</v>
      </c>
      <c r="BE220" s="62" t="s">
        <v>293</v>
      </c>
      <c r="BF220" s="35">
        <f t="shared" ref="BF220:BG224" si="456">IF($E220=$E$4,BF$4,IF($E220=$E$5,BF$5,""))</f>
        <v>4.9000000000000004</v>
      </c>
      <c r="BG220" s="35">
        <f t="shared" si="456"/>
        <v>6.5333000000000002E-2</v>
      </c>
      <c r="BH220" s="35" t="str">
        <f t="shared" ref="BH220:BH224" si="457">IF(ISTEXT(BE220),IF(AND(AV220=0,SUM(AN220:AQ220)=0),IF(AM220&lt;=0,IF(BE220="Y","Low","Flat"),"Med"),"High"),"?")</f>
        <v>Low</v>
      </c>
      <c r="BI220" s="110">
        <f t="shared" ref="BI220:BI224" si="458">IF(ISNUMBER(AH220),0*BI$5*SIN((EDATE($A$3,$Q220)-DATE(YEAR(EDATE($A$3,$Q220)),1,0)-BI$4)*2*PI()/365),"")</f>
        <v>0</v>
      </c>
      <c r="BJ220" s="83">
        <f>VLOOKUP($F220,REP_Info!$D$6:$H$250,5,FALSE)</f>
        <v>2.665</v>
      </c>
      <c r="BK220" s="30">
        <f t="shared" ref="BK220:BN224" si="459">IF(BK$7&gt;0,(LOOKUP(BK$7,$AH220:$AL220,$AM220:$AQ220)+IF($AG220="Y",SUMPRODUCT($AX220:$BB220-$AW220:$BA220,BK$7-$AR220:$AV220,N(BK$7&gt;$AR220:$AV220)),BK$7*LOOKUP(BK$7,$AR220:$AV220,$AX220:$BB220))+IF($BE220="Y",$BF220,$BC220)+BK$7*IF($BE220="Y",$BG220,$BD220))*100/BK$7,"")</f>
        <v>17.813299999999998</v>
      </c>
      <c r="BL220" s="30">
        <f t="shared" si="459"/>
        <v>17.3233</v>
      </c>
      <c r="BM220" s="30">
        <f t="shared" si="459"/>
        <v>17.078300000000002</v>
      </c>
      <c r="BN220" s="29">
        <f t="shared" si="459"/>
        <v>16.996633333333335</v>
      </c>
      <c r="BO220" s="85" t="str">
        <f t="shared" si="2"/>
        <v>$$$</v>
      </c>
      <c r="BP220" s="88" t="str">
        <f t="shared" ref="BP220:BP224" si="460">IFERROR(BO220*100/BO$5,"$$$")</f>
        <v>$$$</v>
      </c>
      <c r="BQ220" s="88" t="str">
        <f t="shared" si="4"/>
        <v>$$$</v>
      </c>
      <c r="BR220" s="88" t="str">
        <f t="shared" si="5"/>
        <v>$$$</v>
      </c>
      <c r="BS220" s="29" t="e">
        <f t="shared" ref="BS220:CD224" si="461">IF($CI220,IF(BS$7&gt;0,IF(BS$4&gt;$Q220,$BF220+BS$7*(BS$5+$BG220+$BI220),LOOKUP(BS$7,$AH220:$AL220,$AM220:$AQ220)+IF($AG220="Y",SUMPRODUCT($AX220:$BB220-$AW220:$BA220,BS$7-$AR220:$AV220,N(BS$7&gt;$AR220:$AV220)),BS$7*LOOKUP(BS$7,$AR220:$AV220,$AX220:$BB220))+IF($BE220="Y",$BF220,$BC220)+BS$7*IF($BE220="Y",$BG220,$BD220))*100/BS$7,""),NA())</f>
        <v>#N/A</v>
      </c>
      <c r="BT220" s="29" t="e">
        <f t="shared" si="461"/>
        <v>#N/A</v>
      </c>
      <c r="BU220" s="29" t="e">
        <f t="shared" si="461"/>
        <v>#N/A</v>
      </c>
      <c r="BV220" s="29" t="e">
        <f t="shared" si="461"/>
        <v>#N/A</v>
      </c>
      <c r="BW220" s="29" t="e">
        <f t="shared" si="461"/>
        <v>#N/A</v>
      </c>
      <c r="BX220" s="29" t="e">
        <f t="shared" si="461"/>
        <v>#N/A</v>
      </c>
      <c r="BY220" s="29" t="e">
        <f t="shared" si="461"/>
        <v>#N/A</v>
      </c>
      <c r="BZ220" s="29" t="e">
        <f t="shared" si="461"/>
        <v>#N/A</v>
      </c>
      <c r="CA220" s="29" t="e">
        <f t="shared" si="461"/>
        <v>#N/A</v>
      </c>
      <c r="CB220" s="29" t="e">
        <f t="shared" si="461"/>
        <v>#N/A</v>
      </c>
      <c r="CC220" s="29" t="e">
        <f t="shared" si="461"/>
        <v>#N/A</v>
      </c>
      <c r="CD220" s="29" t="e">
        <f t="shared" si="461"/>
        <v>#N/A</v>
      </c>
      <c r="CE220" s="6" t="str">
        <f t="shared" si="452"/>
        <v/>
      </c>
      <c r="CF220" s="27" t="e">
        <f>IF(AND(CI220,NOT(AD220)),LOOKUP(CF$5,{0,750,1500},H220:J220),"")</f>
        <v>#N/A</v>
      </c>
      <c r="CG220" s="6" t="str">
        <f t="shared" si="453"/>
        <v/>
      </c>
      <c r="CH220" t="e">
        <f t="shared" ref="CH220:CH224" si="462">IF(CI220,IF(ISNUMBER(BO220),BO220,100000)+CV220/10000+IF(ISNUMBER(BJ220),BJ220,2)/10000-P220/100000+ROW()/10000000,"")</f>
        <v>#N/A</v>
      </c>
      <c r="CI220" t="e">
        <f t="shared" ref="CI220:CI224" si="463">PRODUCT(CJ220:CQ220)</f>
        <v>#N/A</v>
      </c>
      <c r="CJ220" s="6" t="e">
        <f t="shared" si="11"/>
        <v>#N/A</v>
      </c>
      <c r="CK220" s="6">
        <f t="shared" si="12"/>
        <v>1</v>
      </c>
      <c r="CL220" s="6">
        <f t="shared" si="26"/>
        <v>1</v>
      </c>
      <c r="CM220" s="6">
        <f t="shared" si="13"/>
        <v>1</v>
      </c>
      <c r="CN220" s="6">
        <f t="shared" si="14"/>
        <v>1</v>
      </c>
      <c r="CO220" s="6">
        <f t="shared" si="15"/>
        <v>1</v>
      </c>
      <c r="CP220" s="6">
        <f t="shared" si="16"/>
        <v>1</v>
      </c>
      <c r="CQ220" s="6">
        <f t="shared" ref="CQ220:CQ224" si="464">IF(CQ$5="Any",1,IF(AND(CQ$5="Med",AV220=0,SUM(AN220:AQ220)=0),1,IF(AND(CQ$5="Low",AV220=0,SUM(AN220:AQ220)=0,AM220=0),1,IF(AND(CQ$5="Flat",AV220=0,SUM(AN220:AQ220)=0,AM220=0,IFERROR(NOT(BE220="Y"),0)),1,0))))</f>
        <v>1</v>
      </c>
      <c r="CR220" s="81" t="str">
        <f t="shared" si="17"/>
        <v/>
      </c>
      <c r="CS220">
        <f t="shared" ref="CS220:CS224" si="465">CS$5*(12/(MIN(12,Q220))-1)</f>
        <v>0</v>
      </c>
      <c r="CT220">
        <f t="shared" si="19"/>
        <v>49</v>
      </c>
      <c r="CU220" t="str">
        <f t="shared" si="29"/>
        <v/>
      </c>
      <c r="CV220" s="81">
        <f t="shared" ref="CV220:CV224" si="466">CT220*IF(CU220="",1,Q220)</f>
        <v>49</v>
      </c>
      <c r="CW220" s="81">
        <f>(CV220/25)^1.5*(Calculator!$BU$4/10000)*CW$5</f>
        <v>1.4270336640000028</v>
      </c>
      <c r="CX220" t="str">
        <f t="shared" ref="CX220:CX224" si="467">"$"&amp;IF(LEFT(CU220,1)="r",CT220&amp;"/"&amp;CU220,CV220)</f>
        <v>$49</v>
      </c>
    </row>
    <row r="221" spans="2:102" x14ac:dyDescent="0.25">
      <c r="B221" s="115" t="s">
        <v>233</v>
      </c>
      <c r="C221" s="13">
        <v>46301.262499999997</v>
      </c>
      <c r="D221">
        <v>20186</v>
      </c>
      <c r="E221" s="54" t="s">
        <v>237</v>
      </c>
      <c r="F221" s="54" t="s">
        <v>542</v>
      </c>
      <c r="G221" s="54" t="s">
        <v>1555</v>
      </c>
      <c r="H221" s="55">
        <v>17.599999999999998</v>
      </c>
      <c r="I221" s="55">
        <v>17.2</v>
      </c>
      <c r="J221" s="55">
        <v>17</v>
      </c>
      <c r="K221" s="54"/>
      <c r="L221" s="56" t="b">
        <v>1</v>
      </c>
      <c r="M221" s="56" t="b">
        <v>0</v>
      </c>
      <c r="N221" s="54">
        <v>1</v>
      </c>
      <c r="O221" s="54" t="s">
        <v>228</v>
      </c>
      <c r="P221" s="54">
        <v>26</v>
      </c>
      <c r="Q221" s="54">
        <v>6</v>
      </c>
      <c r="R221" s="54">
        <v>49</v>
      </c>
      <c r="S221" s="54" t="s">
        <v>1556</v>
      </c>
      <c r="T221" s="54" t="s">
        <v>1568</v>
      </c>
      <c r="U221" s="54" t="s">
        <v>1553</v>
      </c>
      <c r="V221" s="54" t="s">
        <v>1558</v>
      </c>
      <c r="W221" s="54" t="b">
        <v>0</v>
      </c>
      <c r="X221" s="54"/>
      <c r="Y221" s="57" t="s">
        <v>1569</v>
      </c>
      <c r="Z221" s="54" t="s">
        <v>1560</v>
      </c>
      <c r="AA221" s="54" t="s">
        <v>1570</v>
      </c>
      <c r="AB221" s="54" t="s">
        <v>1562</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9.9000000000000005E-2</v>
      </c>
      <c r="BC221" s="60">
        <v>4.0599999999999996</v>
      </c>
      <c r="BD221" s="61">
        <v>6.8672999999999998E-2</v>
      </c>
      <c r="BE221" s="62" t="s">
        <v>293</v>
      </c>
      <c r="BF221" s="35">
        <f t="shared" si="456"/>
        <v>4.0600000000000005</v>
      </c>
      <c r="BG221" s="35">
        <f t="shared" si="456"/>
        <v>6.8672999999999998E-2</v>
      </c>
      <c r="BH221" s="35" t="str">
        <f t="shared" si="457"/>
        <v>Low</v>
      </c>
      <c r="BI221" s="110">
        <f t="shared" si="458"/>
        <v>0</v>
      </c>
      <c r="BJ221" s="83">
        <f>VLOOKUP($F221,REP_Info!$D$6:$H$250,5,FALSE)</f>
        <v>2.665</v>
      </c>
      <c r="BK221" s="30">
        <f t="shared" si="459"/>
        <v>17.5793</v>
      </c>
      <c r="BL221" s="30">
        <f t="shared" si="459"/>
        <v>17.173299999999998</v>
      </c>
      <c r="BM221" s="30">
        <f t="shared" si="459"/>
        <v>16.970299999999998</v>
      </c>
      <c r="BN221" s="29">
        <f t="shared" si="459"/>
        <v>16.902633333333334</v>
      </c>
      <c r="BO221" s="85" t="str">
        <f t="shared" si="2"/>
        <v>$$$</v>
      </c>
      <c r="BP221" s="88" t="str">
        <f t="shared" si="460"/>
        <v>$$$</v>
      </c>
      <c r="BQ221" s="88" t="str">
        <f t="shared" si="4"/>
        <v>$$$</v>
      </c>
      <c r="BR221" s="88" t="str">
        <f t="shared" si="5"/>
        <v>$$$</v>
      </c>
      <c r="BS221" s="29" t="e">
        <f t="shared" si="461"/>
        <v>#N/A</v>
      </c>
      <c r="BT221" s="29" t="e">
        <f t="shared" si="461"/>
        <v>#N/A</v>
      </c>
      <c r="BU221" s="29" t="e">
        <f t="shared" si="461"/>
        <v>#N/A</v>
      </c>
      <c r="BV221" s="29" t="e">
        <f t="shared" si="461"/>
        <v>#N/A</v>
      </c>
      <c r="BW221" s="29" t="e">
        <f t="shared" si="461"/>
        <v>#N/A</v>
      </c>
      <c r="BX221" s="29" t="e">
        <f t="shared" si="461"/>
        <v>#N/A</v>
      </c>
      <c r="BY221" s="29" t="e">
        <f t="shared" si="461"/>
        <v>#N/A</v>
      </c>
      <c r="BZ221" s="29" t="e">
        <f t="shared" si="461"/>
        <v>#N/A</v>
      </c>
      <c r="CA221" s="29" t="e">
        <f t="shared" si="461"/>
        <v>#N/A</v>
      </c>
      <c r="CB221" s="29" t="e">
        <f t="shared" si="461"/>
        <v>#N/A</v>
      </c>
      <c r="CC221" s="29" t="e">
        <f t="shared" si="461"/>
        <v>#N/A</v>
      </c>
      <c r="CD221" s="29" t="e">
        <f t="shared" si="461"/>
        <v>#N/A</v>
      </c>
      <c r="CE221" s="6" t="str">
        <f t="shared" si="452"/>
        <v/>
      </c>
      <c r="CF221" s="27" t="e">
        <f>IF(AND(CI221,NOT(AD221)),LOOKUP(CF$5,{0,750,1500},H221:J221),"")</f>
        <v>#N/A</v>
      </c>
      <c r="CG221" s="6" t="str">
        <f t="shared" si="453"/>
        <v/>
      </c>
      <c r="CH221" t="e">
        <f t="shared" si="462"/>
        <v>#N/A</v>
      </c>
      <c r="CI221" t="e">
        <f t="shared" si="463"/>
        <v>#N/A</v>
      </c>
      <c r="CJ221" s="6" t="e">
        <f t="shared" si="11"/>
        <v>#N/A</v>
      </c>
      <c r="CK221" s="6">
        <f t="shared" si="12"/>
        <v>1</v>
      </c>
      <c r="CL221" s="6">
        <f t="shared" si="26"/>
        <v>1</v>
      </c>
      <c r="CM221" s="6">
        <f t="shared" si="13"/>
        <v>1</v>
      </c>
      <c r="CN221" s="6">
        <f t="shared" si="14"/>
        <v>0</v>
      </c>
      <c r="CO221" s="6">
        <f t="shared" si="15"/>
        <v>1</v>
      </c>
      <c r="CP221" s="6">
        <f t="shared" si="16"/>
        <v>1</v>
      </c>
      <c r="CQ221" s="6">
        <f t="shared" si="464"/>
        <v>1</v>
      </c>
      <c r="CR221" s="81" t="str">
        <f t="shared" si="17"/>
        <v/>
      </c>
      <c r="CS221">
        <f t="shared" si="465"/>
        <v>18</v>
      </c>
      <c r="CT221">
        <f t="shared" si="19"/>
        <v>49</v>
      </c>
      <c r="CU221" t="str">
        <f t="shared" si="29"/>
        <v/>
      </c>
      <c r="CV221" s="81">
        <f t="shared" si="466"/>
        <v>49</v>
      </c>
      <c r="CW221" s="81">
        <f>(CV221/25)^1.5*(Calculator!$BU$4/10000)*CW$5</f>
        <v>1.4270336640000028</v>
      </c>
      <c r="CX221" t="str">
        <f t="shared" si="467"/>
        <v>$49</v>
      </c>
    </row>
    <row r="222" spans="2:102" x14ac:dyDescent="0.25">
      <c r="B222" s="115" t="s">
        <v>233</v>
      </c>
      <c r="C222" s="13">
        <v>46301.262499999997</v>
      </c>
      <c r="D222">
        <v>20187</v>
      </c>
      <c r="E222" s="54" t="s">
        <v>237</v>
      </c>
      <c r="F222" s="54" t="s">
        <v>542</v>
      </c>
      <c r="G222" s="54" t="s">
        <v>1563</v>
      </c>
      <c r="H222" s="55">
        <v>17.899999999999999</v>
      </c>
      <c r="I222" s="55">
        <v>17.5</v>
      </c>
      <c r="J222" s="55">
        <v>17.299999999999997</v>
      </c>
      <c r="K222" s="54"/>
      <c r="L222" s="56" t="b">
        <v>1</v>
      </c>
      <c r="M222" s="56" t="b">
        <v>0</v>
      </c>
      <c r="N222" s="54">
        <v>1</v>
      </c>
      <c r="O222" s="54" t="s">
        <v>228</v>
      </c>
      <c r="P222" s="54">
        <v>26</v>
      </c>
      <c r="Q222" s="54">
        <v>12</v>
      </c>
      <c r="R222" s="54">
        <v>49</v>
      </c>
      <c r="S222" s="54" t="s">
        <v>1556</v>
      </c>
      <c r="T222" s="54" t="s">
        <v>1564</v>
      </c>
      <c r="U222" s="54" t="s">
        <v>1554</v>
      </c>
      <c r="V222" s="54" t="s">
        <v>1565</v>
      </c>
      <c r="W222" s="54" t="b">
        <v>0</v>
      </c>
      <c r="X222" s="54"/>
      <c r="Y222" s="57" t="s">
        <v>1571</v>
      </c>
      <c r="Z222" s="54" t="s">
        <v>1560</v>
      </c>
      <c r="AA222" s="54" t="s">
        <v>1572</v>
      </c>
      <c r="AB222" s="54" t="s">
        <v>1562</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0.10199999999999999</v>
      </c>
      <c r="BC222" s="60">
        <v>4.0599999999999996</v>
      </c>
      <c r="BD222" s="61">
        <v>6.8672999999999998E-2</v>
      </c>
      <c r="BE222" s="62" t="s">
        <v>293</v>
      </c>
      <c r="BF222" s="35">
        <f t="shared" si="456"/>
        <v>4.0600000000000005</v>
      </c>
      <c r="BG222" s="35">
        <f t="shared" si="456"/>
        <v>6.8672999999999998E-2</v>
      </c>
      <c r="BH222" s="35" t="str">
        <f t="shared" si="457"/>
        <v>Low</v>
      </c>
      <c r="BI222" s="110">
        <f t="shared" si="458"/>
        <v>0</v>
      </c>
      <c r="BJ222" s="83">
        <f>VLOOKUP($F222,REP_Info!$D$6:$H$250,5,FALSE)</f>
        <v>2.665</v>
      </c>
      <c r="BK222" s="30">
        <f t="shared" si="459"/>
        <v>17.879300000000001</v>
      </c>
      <c r="BL222" s="30">
        <f t="shared" si="459"/>
        <v>17.473299999999998</v>
      </c>
      <c r="BM222" s="30">
        <f t="shared" si="459"/>
        <v>17.270299999999999</v>
      </c>
      <c r="BN222" s="29">
        <f t="shared" si="459"/>
        <v>17.202633333333331</v>
      </c>
      <c r="BO222" s="85" t="str">
        <f t="shared" si="2"/>
        <v>$$$</v>
      </c>
      <c r="BP222" s="88" t="str">
        <f t="shared" si="460"/>
        <v>$$$</v>
      </c>
      <c r="BQ222" s="88" t="str">
        <f t="shared" si="4"/>
        <v>$$$</v>
      </c>
      <c r="BR222" s="88" t="str">
        <f t="shared" si="5"/>
        <v>$$$</v>
      </c>
      <c r="BS222" s="29" t="e">
        <f t="shared" si="461"/>
        <v>#N/A</v>
      </c>
      <c r="BT222" s="29" t="e">
        <f t="shared" si="461"/>
        <v>#N/A</v>
      </c>
      <c r="BU222" s="29" t="e">
        <f t="shared" si="461"/>
        <v>#N/A</v>
      </c>
      <c r="BV222" s="29" t="e">
        <f t="shared" si="461"/>
        <v>#N/A</v>
      </c>
      <c r="BW222" s="29" t="e">
        <f t="shared" si="461"/>
        <v>#N/A</v>
      </c>
      <c r="BX222" s="29" t="e">
        <f t="shared" si="461"/>
        <v>#N/A</v>
      </c>
      <c r="BY222" s="29" t="e">
        <f t="shared" si="461"/>
        <v>#N/A</v>
      </c>
      <c r="BZ222" s="29" t="e">
        <f t="shared" si="461"/>
        <v>#N/A</v>
      </c>
      <c r="CA222" s="29" t="e">
        <f t="shared" si="461"/>
        <v>#N/A</v>
      </c>
      <c r="CB222" s="29" t="e">
        <f t="shared" si="461"/>
        <v>#N/A</v>
      </c>
      <c r="CC222" s="29" t="e">
        <f t="shared" si="461"/>
        <v>#N/A</v>
      </c>
      <c r="CD222" s="29" t="e">
        <f t="shared" si="461"/>
        <v>#N/A</v>
      </c>
      <c r="CE222" s="6" t="str">
        <f t="shared" si="452"/>
        <v/>
      </c>
      <c r="CF222" s="27" t="e">
        <f>IF(AND(CI222,NOT(AD222)),LOOKUP(CF$5,{0,750,1500},H222:J222),"")</f>
        <v>#N/A</v>
      </c>
      <c r="CG222" s="6" t="str">
        <f t="shared" si="453"/>
        <v/>
      </c>
      <c r="CH222" t="e">
        <f t="shared" si="462"/>
        <v>#N/A</v>
      </c>
      <c r="CI222" t="e">
        <f t="shared" si="463"/>
        <v>#N/A</v>
      </c>
      <c r="CJ222" s="6" t="e">
        <f t="shared" si="11"/>
        <v>#N/A</v>
      </c>
      <c r="CK222" s="6">
        <f t="shared" si="12"/>
        <v>1</v>
      </c>
      <c r="CL222" s="6">
        <f t="shared" si="26"/>
        <v>1</v>
      </c>
      <c r="CM222" s="6">
        <f t="shared" si="13"/>
        <v>1</v>
      </c>
      <c r="CN222" s="6">
        <f t="shared" si="14"/>
        <v>1</v>
      </c>
      <c r="CO222" s="6">
        <f t="shared" si="15"/>
        <v>1</v>
      </c>
      <c r="CP222" s="6">
        <f t="shared" si="16"/>
        <v>1</v>
      </c>
      <c r="CQ222" s="6">
        <f t="shared" si="464"/>
        <v>1</v>
      </c>
      <c r="CR222" s="81" t="str">
        <f t="shared" si="17"/>
        <v/>
      </c>
      <c r="CS222">
        <f t="shared" si="465"/>
        <v>0</v>
      </c>
      <c r="CT222">
        <f t="shared" si="19"/>
        <v>49</v>
      </c>
      <c r="CU222" t="str">
        <f t="shared" si="29"/>
        <v/>
      </c>
      <c r="CV222" s="81">
        <f t="shared" si="466"/>
        <v>49</v>
      </c>
      <c r="CW222" s="81">
        <f>(CV222/25)^1.5*(Calculator!$BU$4/10000)*CW$5</f>
        <v>1.4270336640000028</v>
      </c>
      <c r="CX222" t="str">
        <f t="shared" si="467"/>
        <v>$49</v>
      </c>
    </row>
    <row r="223" spans="2:102" x14ac:dyDescent="0.25">
      <c r="B223" s="115" t="s">
        <v>233</v>
      </c>
      <c r="C223" s="13">
        <v>46301.262499999997</v>
      </c>
      <c r="D223">
        <v>31818</v>
      </c>
      <c r="E223" s="54" t="s">
        <v>235</v>
      </c>
      <c r="F223" s="54" t="s">
        <v>542</v>
      </c>
      <c r="G223" s="54" t="s">
        <v>1687</v>
      </c>
      <c r="H223" s="55">
        <v>15.2</v>
      </c>
      <c r="I223" s="55">
        <v>14.7</v>
      </c>
      <c r="J223" s="55">
        <v>14.499999999999998</v>
      </c>
      <c r="K223" s="54"/>
      <c r="L223" s="56" t="b">
        <v>0</v>
      </c>
      <c r="M223" s="56" t="b">
        <v>0</v>
      </c>
      <c r="N223" s="54">
        <v>1</v>
      </c>
      <c r="O223" s="54" t="s">
        <v>228</v>
      </c>
      <c r="P223" s="54">
        <v>26</v>
      </c>
      <c r="Q223" s="54">
        <v>12</v>
      </c>
      <c r="R223" s="54">
        <v>199</v>
      </c>
      <c r="S223" s="54" t="s">
        <v>1556</v>
      </c>
      <c r="T223" s="54" t="s">
        <v>1688</v>
      </c>
      <c r="U223" s="54" t="s">
        <v>1676</v>
      </c>
      <c r="V223" s="54" t="s">
        <v>1689</v>
      </c>
      <c r="W223" s="54" t="b">
        <v>0</v>
      </c>
      <c r="X223" s="54"/>
      <c r="Y223" s="57" t="s">
        <v>1690</v>
      </c>
      <c r="Z223" s="54" t="s">
        <v>1691</v>
      </c>
      <c r="AA223" s="54"/>
      <c r="AB223" s="54" t="s">
        <v>1562</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7.6999999999999999E-2</v>
      </c>
      <c r="BC223" s="60">
        <v>4.9000000000000004</v>
      </c>
      <c r="BD223" s="61">
        <v>6.5333000000000002E-2</v>
      </c>
      <c r="BE223" s="62" t="s">
        <v>293</v>
      </c>
      <c r="BF223" s="35">
        <f t="shared" si="456"/>
        <v>4.9000000000000004</v>
      </c>
      <c r="BG223" s="35">
        <f t="shared" si="456"/>
        <v>6.5333000000000002E-2</v>
      </c>
      <c r="BH223" s="35" t="str">
        <f t="shared" si="457"/>
        <v>Low</v>
      </c>
      <c r="BI223" s="110">
        <f t="shared" si="458"/>
        <v>0</v>
      </c>
      <c r="BJ223" s="83">
        <f>VLOOKUP($F223,REP_Info!$D$6:$H$250,5,FALSE)</f>
        <v>2.665</v>
      </c>
      <c r="BK223" s="30">
        <f t="shared" si="459"/>
        <v>15.213299999999997</v>
      </c>
      <c r="BL223" s="30">
        <f t="shared" si="459"/>
        <v>14.723300000000002</v>
      </c>
      <c r="BM223" s="30">
        <f t="shared" si="459"/>
        <v>14.478300000000001</v>
      </c>
      <c r="BN223" s="29">
        <f t="shared" si="459"/>
        <v>14.396633333333334</v>
      </c>
      <c r="BO223" s="85" t="str">
        <f t="shared" si="2"/>
        <v>$$$</v>
      </c>
      <c r="BP223" s="88" t="str">
        <f t="shared" si="460"/>
        <v>$$$</v>
      </c>
      <c r="BQ223" s="88" t="str">
        <f t="shared" si="4"/>
        <v>$$$</v>
      </c>
      <c r="BR223" s="88" t="str">
        <f t="shared" si="5"/>
        <v>$$$</v>
      </c>
      <c r="BS223" s="29" t="e">
        <f t="shared" si="461"/>
        <v>#N/A</v>
      </c>
      <c r="BT223" s="29" t="e">
        <f t="shared" si="461"/>
        <v>#N/A</v>
      </c>
      <c r="BU223" s="29" t="e">
        <f t="shared" si="461"/>
        <v>#N/A</v>
      </c>
      <c r="BV223" s="29" t="e">
        <f t="shared" si="461"/>
        <v>#N/A</v>
      </c>
      <c r="BW223" s="29" t="e">
        <f t="shared" si="461"/>
        <v>#N/A</v>
      </c>
      <c r="BX223" s="29" t="e">
        <f t="shared" si="461"/>
        <v>#N/A</v>
      </c>
      <c r="BY223" s="29" t="e">
        <f t="shared" si="461"/>
        <v>#N/A</v>
      </c>
      <c r="BZ223" s="29" t="e">
        <f t="shared" si="461"/>
        <v>#N/A</v>
      </c>
      <c r="CA223" s="29" t="e">
        <f t="shared" si="461"/>
        <v>#N/A</v>
      </c>
      <c r="CB223" s="29" t="e">
        <f t="shared" si="461"/>
        <v>#N/A</v>
      </c>
      <c r="CC223" s="29" t="e">
        <f t="shared" si="461"/>
        <v>#N/A</v>
      </c>
      <c r="CD223" s="29" t="e">
        <f t="shared" si="461"/>
        <v>#N/A</v>
      </c>
      <c r="CE223" s="6" t="str">
        <f t="shared" si="452"/>
        <v/>
      </c>
      <c r="CF223" s="27" t="e">
        <f>IF(AND(CI223,NOT(AD223)),LOOKUP(CF$5,{0,750,1500},H223:J223),"")</f>
        <v>#N/A</v>
      </c>
      <c r="CG223" s="6" t="str">
        <f t="shared" si="453"/>
        <v/>
      </c>
      <c r="CH223" t="e">
        <f t="shared" si="462"/>
        <v>#N/A</v>
      </c>
      <c r="CI223" t="e">
        <f t="shared" si="463"/>
        <v>#N/A</v>
      </c>
      <c r="CJ223" s="6" t="e">
        <f t="shared" si="11"/>
        <v>#N/A</v>
      </c>
      <c r="CK223" s="6">
        <f t="shared" si="12"/>
        <v>1</v>
      </c>
      <c r="CL223" s="6">
        <f t="shared" si="26"/>
        <v>1</v>
      </c>
      <c r="CM223" s="6">
        <f t="shared" si="13"/>
        <v>1</v>
      </c>
      <c r="CN223" s="6">
        <f t="shared" si="14"/>
        <v>1</v>
      </c>
      <c r="CO223" s="6">
        <f t="shared" si="15"/>
        <v>1</v>
      </c>
      <c r="CP223" s="6">
        <f t="shared" si="16"/>
        <v>1</v>
      </c>
      <c r="CQ223" s="6">
        <f t="shared" si="464"/>
        <v>1</v>
      </c>
      <c r="CR223" s="81" t="str">
        <f t="shared" si="17"/>
        <v/>
      </c>
      <c r="CS223">
        <f t="shared" si="465"/>
        <v>0</v>
      </c>
      <c r="CT223">
        <f t="shared" si="19"/>
        <v>199</v>
      </c>
      <c r="CU223" t="str">
        <f t="shared" si="29"/>
        <v/>
      </c>
      <c r="CV223" s="81">
        <f t="shared" si="466"/>
        <v>199</v>
      </c>
      <c r="CW223" s="81">
        <f>(CV223/25)^1.5*(Calculator!$BU$4/10000)*CW$5</f>
        <v>11.679377957132692</v>
      </c>
      <c r="CX223" t="str">
        <f t="shared" si="467"/>
        <v>$199</v>
      </c>
    </row>
    <row r="224" spans="2:102" x14ac:dyDescent="0.25">
      <c r="B224" s="115" t="s">
        <v>233</v>
      </c>
      <c r="C224" s="13">
        <v>46301.262499999997</v>
      </c>
      <c r="D224">
        <v>31820</v>
      </c>
      <c r="E224" s="54" t="s">
        <v>235</v>
      </c>
      <c r="F224" s="54" t="s">
        <v>542</v>
      </c>
      <c r="G224" s="54" t="s">
        <v>1692</v>
      </c>
      <c r="H224" s="55">
        <v>14.799999999999999</v>
      </c>
      <c r="I224" s="55">
        <v>14.299999999999999</v>
      </c>
      <c r="J224" s="55">
        <v>14.099999999999998</v>
      </c>
      <c r="K224" s="54"/>
      <c r="L224" s="56" t="b">
        <v>0</v>
      </c>
      <c r="M224" s="56" t="b">
        <v>0</v>
      </c>
      <c r="N224" s="54">
        <v>1</v>
      </c>
      <c r="O224" s="54" t="s">
        <v>228</v>
      </c>
      <c r="P224" s="54">
        <v>26</v>
      </c>
      <c r="Q224" s="54">
        <v>6</v>
      </c>
      <c r="R224" s="54">
        <v>149</v>
      </c>
      <c r="S224" s="54" t="s">
        <v>1556</v>
      </c>
      <c r="T224" s="54" t="s">
        <v>1693</v>
      </c>
      <c r="U224" s="54" t="s">
        <v>1677</v>
      </c>
      <c r="V224" s="54" t="s">
        <v>1694</v>
      </c>
      <c r="W224" s="54" t="b">
        <v>0</v>
      </c>
      <c r="X224" s="54"/>
      <c r="Y224" s="57" t="s">
        <v>1695</v>
      </c>
      <c r="Z224" s="54" t="s">
        <v>1691</v>
      </c>
      <c r="AA224" s="54"/>
      <c r="AB224" s="54" t="s">
        <v>1562</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7.2999999999999995E-2</v>
      </c>
      <c r="BC224" s="60">
        <v>4.9000000000000004</v>
      </c>
      <c r="BD224" s="61">
        <v>6.5333000000000002E-2</v>
      </c>
      <c r="BE224" s="62" t="s">
        <v>293</v>
      </c>
      <c r="BF224" s="35">
        <f t="shared" si="456"/>
        <v>4.9000000000000004</v>
      </c>
      <c r="BG224" s="35">
        <f t="shared" si="456"/>
        <v>6.5333000000000002E-2</v>
      </c>
      <c r="BH224" s="35" t="str">
        <f t="shared" si="457"/>
        <v>Low</v>
      </c>
      <c r="BI224" s="110">
        <f t="shared" si="458"/>
        <v>0</v>
      </c>
      <c r="BJ224" s="83">
        <f>VLOOKUP($F224,REP_Info!$D$6:$H$250,5,FALSE)</f>
        <v>2.665</v>
      </c>
      <c r="BK224" s="30">
        <f t="shared" si="459"/>
        <v>14.813299999999998</v>
      </c>
      <c r="BL224" s="30">
        <f t="shared" si="459"/>
        <v>14.323300000000001</v>
      </c>
      <c r="BM224" s="30">
        <f t="shared" si="459"/>
        <v>14.0783</v>
      </c>
      <c r="BN224" s="29">
        <f t="shared" si="459"/>
        <v>13.996633333333333</v>
      </c>
      <c r="BO224" s="85" t="str">
        <f t="shared" si="2"/>
        <v>$$$</v>
      </c>
      <c r="BP224" s="88" t="str">
        <f t="shared" si="460"/>
        <v>$$$</v>
      </c>
      <c r="BQ224" s="88" t="str">
        <f t="shared" si="4"/>
        <v>$$$</v>
      </c>
      <c r="BR224" s="88" t="str">
        <f t="shared" si="5"/>
        <v>$$$</v>
      </c>
      <c r="BS224" s="29" t="e">
        <f t="shared" si="461"/>
        <v>#N/A</v>
      </c>
      <c r="BT224" s="29" t="e">
        <f t="shared" si="461"/>
        <v>#N/A</v>
      </c>
      <c r="BU224" s="29" t="e">
        <f t="shared" si="461"/>
        <v>#N/A</v>
      </c>
      <c r="BV224" s="29" t="e">
        <f t="shared" si="461"/>
        <v>#N/A</v>
      </c>
      <c r="BW224" s="29" t="e">
        <f t="shared" si="461"/>
        <v>#N/A</v>
      </c>
      <c r="BX224" s="29" t="e">
        <f t="shared" si="461"/>
        <v>#N/A</v>
      </c>
      <c r="BY224" s="29" t="e">
        <f t="shared" si="461"/>
        <v>#N/A</v>
      </c>
      <c r="BZ224" s="29" t="e">
        <f t="shared" si="461"/>
        <v>#N/A</v>
      </c>
      <c r="CA224" s="29" t="e">
        <f t="shared" si="461"/>
        <v>#N/A</v>
      </c>
      <c r="CB224" s="29" t="e">
        <f t="shared" si="461"/>
        <v>#N/A</v>
      </c>
      <c r="CC224" s="29" t="e">
        <f t="shared" si="461"/>
        <v>#N/A</v>
      </c>
      <c r="CD224" s="29" t="e">
        <f t="shared" si="461"/>
        <v>#N/A</v>
      </c>
      <c r="CE224" s="6" t="str">
        <f t="shared" si="452"/>
        <v/>
      </c>
      <c r="CF224" s="27" t="e">
        <f>IF(AND(CI224,NOT(AD224)),LOOKUP(CF$5,{0,750,1500},H224:J224),"")</f>
        <v>#N/A</v>
      </c>
      <c r="CG224" s="6" t="str">
        <f t="shared" si="453"/>
        <v/>
      </c>
      <c r="CH224" t="e">
        <f t="shared" si="462"/>
        <v>#N/A</v>
      </c>
      <c r="CI224" t="e">
        <f t="shared" si="463"/>
        <v>#N/A</v>
      </c>
      <c r="CJ224" s="6" t="e">
        <f t="shared" si="11"/>
        <v>#N/A</v>
      </c>
      <c r="CK224" s="6">
        <f t="shared" si="12"/>
        <v>1</v>
      </c>
      <c r="CL224" s="6">
        <f t="shared" si="26"/>
        <v>1</v>
      </c>
      <c r="CM224" s="6">
        <f t="shared" si="13"/>
        <v>1</v>
      </c>
      <c r="CN224" s="6">
        <f t="shared" si="14"/>
        <v>0</v>
      </c>
      <c r="CO224" s="6">
        <f t="shared" si="15"/>
        <v>1</v>
      </c>
      <c r="CP224" s="6">
        <f t="shared" si="16"/>
        <v>1</v>
      </c>
      <c r="CQ224" s="6">
        <f t="shared" si="464"/>
        <v>1</v>
      </c>
      <c r="CR224" s="81" t="str">
        <f t="shared" si="17"/>
        <v/>
      </c>
      <c r="CS224">
        <f t="shared" si="465"/>
        <v>18</v>
      </c>
      <c r="CT224">
        <f t="shared" si="19"/>
        <v>149</v>
      </c>
      <c r="CU224" t="str">
        <f t="shared" si="29"/>
        <v/>
      </c>
      <c r="CV224" s="81">
        <f t="shared" si="466"/>
        <v>149</v>
      </c>
      <c r="CW224" s="81">
        <f>(CV224/25)^1.5*(Calculator!$BU$4/10000)*CW$5</f>
        <v>7.5669262448568571</v>
      </c>
      <c r="CX224" t="str">
        <f t="shared" si="467"/>
        <v>$149</v>
      </c>
    </row>
    <row r="225" spans="2:102" x14ac:dyDescent="0.25">
      <c r="B225" s="115" t="s">
        <v>233</v>
      </c>
      <c r="C225" s="13">
        <v>46301.262499999997</v>
      </c>
      <c r="D225">
        <v>31823</v>
      </c>
      <c r="E225" s="54" t="s">
        <v>235</v>
      </c>
      <c r="F225" s="54" t="s">
        <v>542</v>
      </c>
      <c r="G225" s="54" t="s">
        <v>1696</v>
      </c>
      <c r="H225" s="55">
        <v>11.600000000000001</v>
      </c>
      <c r="I225" s="55">
        <v>11.1</v>
      </c>
      <c r="J225" s="55">
        <v>10.9</v>
      </c>
      <c r="K225" s="54"/>
      <c r="L225" s="56" t="b">
        <v>0</v>
      </c>
      <c r="M225" s="56" t="b">
        <v>0</v>
      </c>
      <c r="N225" s="54">
        <v>1</v>
      </c>
      <c r="O225" s="54" t="s">
        <v>228</v>
      </c>
      <c r="P225" s="54">
        <v>26</v>
      </c>
      <c r="Q225" s="54">
        <v>3</v>
      </c>
      <c r="R225" s="54">
        <v>99</v>
      </c>
      <c r="S225" s="54" t="s">
        <v>1556</v>
      </c>
      <c r="T225" s="54" t="s">
        <v>1697</v>
      </c>
      <c r="U225" s="54" t="s">
        <v>1678</v>
      </c>
      <c r="V225" s="54" t="s">
        <v>1698</v>
      </c>
      <c r="W225" s="54" t="b">
        <v>0</v>
      </c>
      <c r="X225" s="54"/>
      <c r="Y225" s="57" t="s">
        <v>1699</v>
      </c>
      <c r="Z225" s="54" t="s">
        <v>1691</v>
      </c>
      <c r="AA225" s="54"/>
      <c r="AB225" s="54" t="s">
        <v>1562</v>
      </c>
      <c r="AC225" s="56" t="b">
        <v>1</v>
      </c>
      <c r="AD225" s="56" t="b">
        <v>0</v>
      </c>
      <c r="AE225" s="54" t="s">
        <v>302</v>
      </c>
      <c r="AF225" s="58">
        <v>46299</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4.1000000000000002E-2</v>
      </c>
      <c r="BC225" s="60">
        <v>4.9000000000000004</v>
      </c>
      <c r="BD225" s="61">
        <v>6.5333000000000002E-2</v>
      </c>
      <c r="BE225" s="62" t="s">
        <v>293</v>
      </c>
      <c r="BF225" s="35">
        <f t="shared" ref="BF225:BG226" si="468">IF($E225=$E$4,BF$4,IF($E225=$E$5,BF$5,""))</f>
        <v>4.9000000000000004</v>
      </c>
      <c r="BG225" s="35">
        <f t="shared" si="468"/>
        <v>6.5333000000000002E-2</v>
      </c>
      <c r="BH225" s="35" t="str">
        <f t="shared" ref="BH225:BH226" si="469">IF(ISTEXT(BE225),IF(AND(AV225=0,SUM(AN225:AQ225)=0),IF(AM225&lt;=0,IF(BE225="Y","Low","Flat"),"Med"),"High"),"?")</f>
        <v>Low</v>
      </c>
      <c r="BI225" s="110">
        <f t="shared" ref="BI225:BI226" si="470">IF(ISNUMBER(AH225),0*BI$5*SIN((EDATE($A$3,$Q225)-DATE(YEAR(EDATE($A$3,$Q225)),1,0)-BI$4)*2*PI()/365),"")</f>
        <v>0</v>
      </c>
      <c r="BJ225" s="83">
        <f>VLOOKUP($F225,REP_Info!$D$6:$H$250,5,FALSE)</f>
        <v>2.665</v>
      </c>
      <c r="BK225" s="30">
        <f t="shared" ref="BK225:BN226" si="471">IF(BK$7&gt;0,(LOOKUP(BK$7,$AH225:$AL225,$AM225:$AQ225)+IF($AG225="Y",SUMPRODUCT($AX225:$BB225-$AW225:$BA225,BK$7-$AR225:$AV225,N(BK$7&gt;$AR225:$AV225)),BK$7*LOOKUP(BK$7,$AR225:$AV225,$AX225:$BB225))+IF($BE225="Y",$BF225,$BC225)+BK$7*IF($BE225="Y",$BG225,$BD225))*100/BK$7,"")</f>
        <v>11.613299999999999</v>
      </c>
      <c r="BL225" s="30">
        <f t="shared" si="471"/>
        <v>11.1233</v>
      </c>
      <c r="BM225" s="30">
        <f t="shared" si="471"/>
        <v>10.878299999999999</v>
      </c>
      <c r="BN225" s="29">
        <f t="shared" si="471"/>
        <v>10.796633333333334</v>
      </c>
      <c r="BO225" s="85" t="str">
        <f t="shared" si="2"/>
        <v>$$$</v>
      </c>
      <c r="BP225" s="88" t="str">
        <f t="shared" ref="BP225:BP226" si="472">IFERROR(BO225*100/BO$5,"$$$")</f>
        <v>$$$</v>
      </c>
      <c r="BQ225" s="88" t="str">
        <f t="shared" si="4"/>
        <v>$$$</v>
      </c>
      <c r="BR225" s="88" t="str">
        <f t="shared" si="5"/>
        <v>$$$</v>
      </c>
      <c r="BS225" s="29" t="e">
        <f t="shared" ref="BS225:CD226" si="473">IF($CI225,IF(BS$7&gt;0,IF(BS$4&gt;$Q225,$BF225+BS$7*(BS$5+$BG225+$BI225),LOOKUP(BS$7,$AH225:$AL225,$AM225:$AQ225)+IF($AG225="Y",SUMPRODUCT($AX225:$BB225-$AW225:$BA225,BS$7-$AR225:$AV225,N(BS$7&gt;$AR225:$AV225)),BS$7*LOOKUP(BS$7,$AR225:$AV225,$AX225:$BB225))+IF($BE225="Y",$BF225,$BC225)+BS$7*IF($BE225="Y",$BG225,$BD225))*100/BS$7,""),NA())</f>
        <v>#N/A</v>
      </c>
      <c r="BT225" s="29" t="e">
        <f t="shared" si="473"/>
        <v>#N/A</v>
      </c>
      <c r="BU225" s="29" t="e">
        <f t="shared" si="473"/>
        <v>#N/A</v>
      </c>
      <c r="BV225" s="29" t="e">
        <f t="shared" si="473"/>
        <v>#N/A</v>
      </c>
      <c r="BW225" s="29" t="e">
        <f t="shared" si="473"/>
        <v>#N/A</v>
      </c>
      <c r="BX225" s="29" t="e">
        <f t="shared" si="473"/>
        <v>#N/A</v>
      </c>
      <c r="BY225" s="29" t="e">
        <f t="shared" si="473"/>
        <v>#N/A</v>
      </c>
      <c r="BZ225" s="29" t="e">
        <f t="shared" si="473"/>
        <v>#N/A</v>
      </c>
      <c r="CA225" s="29" t="e">
        <f t="shared" si="473"/>
        <v>#N/A</v>
      </c>
      <c r="CB225" s="29" t="e">
        <f t="shared" si="473"/>
        <v>#N/A</v>
      </c>
      <c r="CC225" s="29" t="e">
        <f t="shared" si="473"/>
        <v>#N/A</v>
      </c>
      <c r="CD225" s="29" t="e">
        <f t="shared" si="473"/>
        <v>#N/A</v>
      </c>
      <c r="CE225" s="6" t="str">
        <f t="shared" si="452"/>
        <v/>
      </c>
      <c r="CF225" s="27" t="e">
        <f>IF(AND(CI225,NOT(AD225)),LOOKUP(CF$5,{0,750,1500},H225:J225),"")</f>
        <v>#N/A</v>
      </c>
      <c r="CG225" s="6" t="str">
        <f t="shared" si="453"/>
        <v/>
      </c>
      <c r="CH225" t="e">
        <f t="shared" ref="CH225:CH226" si="474">IF(CI225,IF(ISNUMBER(BO225),BO225,100000)+CV225/10000+IF(ISNUMBER(BJ225),BJ225,2)/10000-P225/100000+ROW()/10000000,"")</f>
        <v>#N/A</v>
      </c>
      <c r="CI225" t="e">
        <f t="shared" ref="CI225:CI226" si="475">PRODUCT(CJ225:CQ225)</f>
        <v>#N/A</v>
      </c>
      <c r="CJ225" s="6" t="e">
        <f t="shared" si="11"/>
        <v>#N/A</v>
      </c>
      <c r="CK225" s="6">
        <f t="shared" si="12"/>
        <v>1</v>
      </c>
      <c r="CL225" s="6">
        <f t="shared" si="26"/>
        <v>1</v>
      </c>
      <c r="CM225" s="6">
        <f t="shared" si="13"/>
        <v>1</v>
      </c>
      <c r="CN225" s="6">
        <f t="shared" si="14"/>
        <v>0</v>
      </c>
      <c r="CO225" s="6">
        <f t="shared" si="15"/>
        <v>1</v>
      </c>
      <c r="CP225" s="6">
        <f t="shared" si="16"/>
        <v>1</v>
      </c>
      <c r="CQ225" s="6">
        <f t="shared" ref="CQ225:CQ226" si="476">IF(CQ$5="Any",1,IF(AND(CQ$5="Med",AV225=0,SUM(AN225:AQ225)=0),1,IF(AND(CQ$5="Low",AV225=0,SUM(AN225:AQ225)=0,AM225=0),1,IF(AND(CQ$5="Flat",AV225=0,SUM(AN225:AQ225)=0,AM225=0,IFERROR(NOT(BE225="Y"),0)),1,0))))</f>
        <v>1</v>
      </c>
      <c r="CR225" s="81" t="str">
        <f t="shared" si="17"/>
        <v/>
      </c>
      <c r="CS225">
        <f t="shared" ref="CS225:CS226" si="477">CS$5*(12/(MIN(12,Q225))-1)</f>
        <v>54</v>
      </c>
      <c r="CT225">
        <f t="shared" si="19"/>
        <v>99</v>
      </c>
      <c r="CU225" t="str">
        <f t="shared" si="29"/>
        <v/>
      </c>
      <c r="CV225" s="81">
        <f t="shared" ref="CV225:CV226" si="478">CT225*IF(CU225="",1,Q225)</f>
        <v>99</v>
      </c>
      <c r="CW225" s="81">
        <f>(CV225/25)^1.5*(Calculator!$BU$4/10000)*CW$5</f>
        <v>4.0981975578080165</v>
      </c>
      <c r="CX225" t="str">
        <f t="shared" ref="CX225:CX226" si="479">"$"&amp;IF(LEFT(CU225,1)="r",CT225&amp;"/"&amp;CU225,CV225)</f>
        <v>$99</v>
      </c>
    </row>
    <row r="226" spans="2:102" x14ac:dyDescent="0.25">
      <c r="B226" s="115" t="s">
        <v>233</v>
      </c>
      <c r="C226" s="13">
        <v>46301.262499999997</v>
      </c>
      <c r="D226">
        <v>31825</v>
      </c>
      <c r="E226" s="54" t="s">
        <v>237</v>
      </c>
      <c r="F226" s="54" t="s">
        <v>542</v>
      </c>
      <c r="G226" s="54" t="s">
        <v>1687</v>
      </c>
      <c r="H226" s="55">
        <v>15.4</v>
      </c>
      <c r="I226" s="55">
        <v>15</v>
      </c>
      <c r="J226" s="55">
        <v>14.799999999999999</v>
      </c>
      <c r="K226" s="54"/>
      <c r="L226" s="56" t="b">
        <v>0</v>
      </c>
      <c r="M226" s="56" t="b">
        <v>0</v>
      </c>
      <c r="N226" s="54">
        <v>1</v>
      </c>
      <c r="O226" s="54" t="s">
        <v>228</v>
      </c>
      <c r="P226" s="54">
        <v>26</v>
      </c>
      <c r="Q226" s="54">
        <v>12</v>
      </c>
      <c r="R226" s="54">
        <v>199</v>
      </c>
      <c r="S226" s="54" t="s">
        <v>1556</v>
      </c>
      <c r="T226" s="54" t="s">
        <v>1688</v>
      </c>
      <c r="U226" s="54" t="s">
        <v>1679</v>
      </c>
      <c r="V226" s="54" t="s">
        <v>1689</v>
      </c>
      <c r="W226" s="54" t="b">
        <v>0</v>
      </c>
      <c r="X226" s="54"/>
      <c r="Y226" s="57" t="s">
        <v>1700</v>
      </c>
      <c r="Z226" s="54" t="s">
        <v>1691</v>
      </c>
      <c r="AA226" s="54"/>
      <c r="AB226" s="54" t="s">
        <v>1562</v>
      </c>
      <c r="AC226" s="56" t="b">
        <v>1</v>
      </c>
      <c r="AD226" s="56" t="b">
        <v>0</v>
      </c>
      <c r="AE226" s="54" t="s">
        <v>302</v>
      </c>
      <c r="AF226" s="58">
        <v>46299</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7.6999999999999999E-2</v>
      </c>
      <c r="BC226" s="60">
        <v>4.0599999999999996</v>
      </c>
      <c r="BD226" s="61">
        <v>6.8672999999999998E-2</v>
      </c>
      <c r="BE226" s="62" t="s">
        <v>293</v>
      </c>
      <c r="BF226" s="35">
        <f t="shared" si="468"/>
        <v>4.0600000000000005</v>
      </c>
      <c r="BG226" s="35">
        <f t="shared" si="468"/>
        <v>6.8672999999999998E-2</v>
      </c>
      <c r="BH226" s="35" t="str">
        <f t="shared" si="469"/>
        <v>Low</v>
      </c>
      <c r="BI226" s="110">
        <f t="shared" si="470"/>
        <v>0</v>
      </c>
      <c r="BJ226" s="83">
        <f>VLOOKUP($F226,REP_Info!$D$6:$H$250,5,FALSE)</f>
        <v>2.665</v>
      </c>
      <c r="BK226" s="30">
        <f t="shared" si="471"/>
        <v>15.379300000000001</v>
      </c>
      <c r="BL226" s="30">
        <f t="shared" si="471"/>
        <v>14.973300000000002</v>
      </c>
      <c r="BM226" s="30">
        <f t="shared" si="471"/>
        <v>14.770300000000001</v>
      </c>
      <c r="BN226" s="29">
        <f t="shared" si="471"/>
        <v>14.702633333333333</v>
      </c>
      <c r="BO226" s="85" t="str">
        <f t="shared" si="2"/>
        <v>$$$</v>
      </c>
      <c r="BP226" s="88" t="str">
        <f t="shared" si="472"/>
        <v>$$$</v>
      </c>
      <c r="BQ226" s="88" t="str">
        <f t="shared" si="4"/>
        <v>$$$</v>
      </c>
      <c r="BR226" s="88" t="str">
        <f t="shared" si="5"/>
        <v>$$$</v>
      </c>
      <c r="BS226" s="29" t="e">
        <f t="shared" si="473"/>
        <v>#N/A</v>
      </c>
      <c r="BT226" s="29" t="e">
        <f t="shared" si="473"/>
        <v>#N/A</v>
      </c>
      <c r="BU226" s="29" t="e">
        <f t="shared" si="473"/>
        <v>#N/A</v>
      </c>
      <c r="BV226" s="29" t="e">
        <f t="shared" si="473"/>
        <v>#N/A</v>
      </c>
      <c r="BW226" s="29" t="e">
        <f t="shared" si="473"/>
        <v>#N/A</v>
      </c>
      <c r="BX226" s="29" t="e">
        <f t="shared" si="473"/>
        <v>#N/A</v>
      </c>
      <c r="BY226" s="29" t="e">
        <f t="shared" si="473"/>
        <v>#N/A</v>
      </c>
      <c r="BZ226" s="29" t="e">
        <f t="shared" si="473"/>
        <v>#N/A</v>
      </c>
      <c r="CA226" s="29" t="e">
        <f t="shared" si="473"/>
        <v>#N/A</v>
      </c>
      <c r="CB226" s="29" t="e">
        <f t="shared" si="473"/>
        <v>#N/A</v>
      </c>
      <c r="CC226" s="29" t="e">
        <f t="shared" si="473"/>
        <v>#N/A</v>
      </c>
      <c r="CD226" s="29" t="e">
        <f t="shared" si="473"/>
        <v>#N/A</v>
      </c>
      <c r="CE226" s="6" t="str">
        <f t="shared" si="452"/>
        <v/>
      </c>
      <c r="CF226" s="27" t="e">
        <f>IF(AND(CI226,NOT(AD226)),LOOKUP(CF$5,{0,750,1500},H226:J226),"")</f>
        <v>#N/A</v>
      </c>
      <c r="CG226" s="6" t="str">
        <f t="shared" si="453"/>
        <v/>
      </c>
      <c r="CH226" t="e">
        <f t="shared" si="474"/>
        <v>#N/A</v>
      </c>
      <c r="CI226" t="e">
        <f t="shared" si="475"/>
        <v>#N/A</v>
      </c>
      <c r="CJ226" s="6" t="e">
        <f t="shared" si="11"/>
        <v>#N/A</v>
      </c>
      <c r="CK226" s="6">
        <f t="shared" si="12"/>
        <v>1</v>
      </c>
      <c r="CL226" s="6">
        <f t="shared" si="26"/>
        <v>1</v>
      </c>
      <c r="CM226" s="6">
        <f t="shared" si="13"/>
        <v>1</v>
      </c>
      <c r="CN226" s="6">
        <f t="shared" si="14"/>
        <v>1</v>
      </c>
      <c r="CO226" s="6">
        <f t="shared" si="15"/>
        <v>1</v>
      </c>
      <c r="CP226" s="6">
        <f t="shared" si="16"/>
        <v>1</v>
      </c>
      <c r="CQ226" s="6">
        <f t="shared" si="476"/>
        <v>1</v>
      </c>
      <c r="CR226" s="81" t="str">
        <f t="shared" si="17"/>
        <v/>
      </c>
      <c r="CS226">
        <f t="shared" si="477"/>
        <v>0</v>
      </c>
      <c r="CT226">
        <f t="shared" si="19"/>
        <v>199</v>
      </c>
      <c r="CU226" t="str">
        <f t="shared" si="29"/>
        <v/>
      </c>
      <c r="CV226" s="81">
        <f t="shared" si="478"/>
        <v>199</v>
      </c>
      <c r="CW226" s="81">
        <f>(CV226/25)^1.5*(Calculator!$BU$4/10000)*CW$5</f>
        <v>11.679377957132692</v>
      </c>
      <c r="CX226" t="str">
        <f t="shared" si="479"/>
        <v>$199</v>
      </c>
    </row>
    <row r="227" spans="2:102" x14ac:dyDescent="0.25">
      <c r="B227" s="115" t="s">
        <v>233</v>
      </c>
      <c r="C227" s="13">
        <v>46301.262499999997</v>
      </c>
      <c r="D227">
        <v>31827</v>
      </c>
      <c r="E227" s="54" t="s">
        <v>237</v>
      </c>
      <c r="F227" s="54" t="s">
        <v>542</v>
      </c>
      <c r="G227" s="54" t="s">
        <v>1692</v>
      </c>
      <c r="H227" s="55">
        <v>15.1</v>
      </c>
      <c r="I227" s="55">
        <v>14.7</v>
      </c>
      <c r="J227" s="55">
        <v>14.499999999999998</v>
      </c>
      <c r="K227" s="54"/>
      <c r="L227" s="56" t="b">
        <v>0</v>
      </c>
      <c r="M227" s="56" t="b">
        <v>0</v>
      </c>
      <c r="N227" s="54">
        <v>1</v>
      </c>
      <c r="O227" s="54" t="s">
        <v>228</v>
      </c>
      <c r="P227" s="54">
        <v>26</v>
      </c>
      <c r="Q227" s="54">
        <v>6</v>
      </c>
      <c r="R227" s="54">
        <v>149</v>
      </c>
      <c r="S227" s="54" t="s">
        <v>1556</v>
      </c>
      <c r="T227" s="54" t="s">
        <v>1693</v>
      </c>
      <c r="U227" s="54" t="s">
        <v>1680</v>
      </c>
      <c r="V227" s="54" t="s">
        <v>1694</v>
      </c>
      <c r="W227" s="54" t="b">
        <v>0</v>
      </c>
      <c r="X227" s="54"/>
      <c r="Y227" s="57" t="s">
        <v>1701</v>
      </c>
      <c r="Z227" s="54" t="s">
        <v>1691</v>
      </c>
      <c r="AA227" s="54"/>
      <c r="AB227" s="54" t="s">
        <v>1562</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7.3999999999999996E-2</v>
      </c>
      <c r="BC227" s="60">
        <v>4.0599999999999996</v>
      </c>
      <c r="BD227" s="61">
        <v>6.8672999999999998E-2</v>
      </c>
      <c r="BE227" s="62" t="s">
        <v>293</v>
      </c>
      <c r="BF227" s="35">
        <f t="shared" ref="BF227:BG227" si="480">IF($E227=$E$4,BF$4,IF($E227=$E$5,BF$5,""))</f>
        <v>4.0600000000000005</v>
      </c>
      <c r="BG227" s="35">
        <f t="shared" si="480"/>
        <v>6.8672999999999998E-2</v>
      </c>
      <c r="BH227" s="35" t="str">
        <f t="shared" ref="BH227" si="481">IF(ISTEXT(BE227),IF(AND(AV227=0,SUM(AN227:AQ227)=0),IF(AM227&lt;=0,IF(BE227="Y","Low","Flat"),"Med"),"High"),"?")</f>
        <v>Low</v>
      </c>
      <c r="BI227" s="110">
        <f t="shared" ref="BI227" si="482">IF(ISNUMBER(AH227),0*BI$5*SIN((EDATE($A$3,$Q227)-DATE(YEAR(EDATE($A$3,$Q227)),1,0)-BI$4)*2*PI()/365),"")</f>
        <v>0</v>
      </c>
      <c r="BJ227" s="83">
        <f>VLOOKUP($F227,REP_Info!$D$6:$H$250,5,FALSE)</f>
        <v>2.665</v>
      </c>
      <c r="BK227" s="30">
        <f t="shared" ref="BK227:BN227" si="483">IF(BK$7&gt;0,(LOOKUP(BK$7,$AH227:$AL227,$AM227:$AQ227)+IF($AG227="Y",SUMPRODUCT($AX227:$BB227-$AW227:$BA227,BK$7-$AR227:$AV227,N(BK$7&gt;$AR227:$AV227)),BK$7*LOOKUP(BK$7,$AR227:$AV227,$AX227:$BB227))+IF($BE227="Y",$BF227,$BC227)+BK$7*IF($BE227="Y",$BG227,$BD227))*100/BK$7,"")</f>
        <v>15.079300000000002</v>
      </c>
      <c r="BL227" s="30">
        <f t="shared" si="483"/>
        <v>14.673300000000001</v>
      </c>
      <c r="BM227" s="30">
        <f t="shared" si="483"/>
        <v>14.470300000000002</v>
      </c>
      <c r="BN227" s="29">
        <f t="shared" si="483"/>
        <v>14.402633333333334</v>
      </c>
      <c r="BO227" s="85" t="str">
        <f t="shared" ref="BO227" si="484">IFERROR(SUMPRODUCT($BS$7:$CD$7,$BS227:$CD227)/100,"$$$")</f>
        <v>$$$</v>
      </c>
      <c r="BP227" s="88" t="str">
        <f t="shared" ref="BP227" si="485">IFERROR(BO227*100/BO$5,"$$$")</f>
        <v>$$$</v>
      </c>
      <c r="BQ227" s="88" t="str">
        <f t="shared" ref="BQ227" si="486">IFERROR(SUMPRODUCT($BS$7:$CD$7,$BS227:$CD227,--($BS$4:$CD$4&lt;=$Q227))/SUMPRODUCT(--($BS$4:$CD$4&lt;=$Q227),$BS$7:$CD$7),"$$$")</f>
        <v>$$$</v>
      </c>
      <c r="BR227" s="88" t="str">
        <f t="shared" ref="BR227" si="487">IFERROR($BQ227-$BF227*100*SUMPRODUCT(--($BS$4:$CD$4&lt;=$Q227))/SUMPRODUCT(--($BS$4:$CD$4&lt;=$Q227),$BS$7:$CD$7)-$BG227*100,"$$$")</f>
        <v>$$$</v>
      </c>
      <c r="BS227" s="29" t="e">
        <f t="shared" ref="BS227:CD227" si="488">IF($CI227,IF(BS$7&gt;0,IF(BS$4&gt;$Q227,$BF227+BS$7*(BS$5+$BG227+$BI227),LOOKUP(BS$7,$AH227:$AL227,$AM227:$AQ227)+IF($AG227="Y",SUMPRODUCT($AX227:$BB227-$AW227:$BA227,BS$7-$AR227:$AV227,N(BS$7&gt;$AR227:$AV227)),BS$7*LOOKUP(BS$7,$AR227:$AV227,$AX227:$BB227))+IF($BE227="Y",$BF227,$BC227)+BS$7*IF($BE227="Y",$BG227,$BD227))*100/BS$7,""),NA())</f>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 t="shared" si="452"/>
        <v/>
      </c>
      <c r="CF227" s="27" t="e">
        <f>IF(AND(CI227,NOT(AD227)),LOOKUP(CF$5,{0,750,1500},H227:J227),"")</f>
        <v>#N/A</v>
      </c>
      <c r="CG227" s="6" t="str">
        <f t="shared" si="453"/>
        <v/>
      </c>
      <c r="CH227" t="e">
        <f t="shared" ref="CH227" si="489">IF(CI227,IF(ISNUMBER(BO227),BO227,100000)+CV227/10000+IF(ISNUMBER(BJ227),BJ227,2)/10000-P227/100000+ROW()/10000000,"")</f>
        <v>#N/A</v>
      </c>
      <c r="CI227" t="e">
        <f t="shared" ref="CI227" si="490">PRODUCT(CJ227:CQ227)</f>
        <v>#N/A</v>
      </c>
      <c r="CJ227" s="6" t="e">
        <f t="shared" ref="CJ227" si="491">IF($E227=CJ$5,1,0)</f>
        <v>#N/A</v>
      </c>
      <c r="CK227" s="6">
        <f t="shared" ref="CK227" si="492">IF(CK$5="[Any]",1,IF($F227=CK$5,1,0))</f>
        <v>1</v>
      </c>
      <c r="CL227" s="6">
        <f t="shared" si="26"/>
        <v>1</v>
      </c>
      <c r="CM227" s="6">
        <f t="shared" ref="CM227" si="493">IF($O227="Fixed",1,0)</f>
        <v>1</v>
      </c>
      <c r="CN227" s="6">
        <f t="shared" ref="CN227" si="494">IF($Q227&gt;=CN$5,1,0)</f>
        <v>0</v>
      </c>
      <c r="CO227" s="6">
        <f t="shared" ref="CO227" si="495">IF($Q227&lt;=CO$5,1,0)</f>
        <v>1</v>
      </c>
      <c r="CP227" s="6">
        <f t="shared" ref="CP227" si="496">IF($P227&gt;=CP$5,1,0)</f>
        <v>1</v>
      </c>
      <c r="CQ227" s="6">
        <f t="shared" ref="CQ227" si="497">IF(CQ$5="Any",1,IF(AND(CQ$5="Med",AV227=0,SUM(AN227:AQ227)=0),1,IF(AND(CQ$5="Low",AV227=0,SUM(AN227:AQ227)=0,AM227=0),1,IF(AND(CQ$5="Flat",AV227=0,SUM(AN227:AQ227)=0,AM227=0,IFERROR(NOT(BE227="Y"),0)),1,0))))</f>
        <v>1</v>
      </c>
      <c r="CR227" s="81" t="str">
        <f t="shared" ref="CR227" si="498">IF(ISNUMBER($CH227),$CH227+$CS227+$CW227,"")</f>
        <v/>
      </c>
      <c r="CS227">
        <f t="shared" ref="CS227" si="499">CS$5*(12/(MIN(12,Q227))-1)</f>
        <v>18</v>
      </c>
      <c r="CT227">
        <f t="shared" si="19"/>
        <v>149</v>
      </c>
      <c r="CU227" t="str">
        <f t="shared" si="29"/>
        <v/>
      </c>
      <c r="CV227" s="81">
        <f t="shared" ref="CV227" si="500">CT227*IF(CU227="",1,Q227)</f>
        <v>149</v>
      </c>
      <c r="CW227" s="81">
        <f>(CV227/25)^1.5*(Calculator!$BU$4/10000)*CW$5</f>
        <v>7.5669262448568571</v>
      </c>
      <c r="CX227" t="str">
        <f t="shared" ref="CX227" si="501">"$"&amp;IF(LEFT(CU227,1)="r",CT227&amp;"/"&amp;CU227,CV227)</f>
        <v>$149</v>
      </c>
    </row>
    <row r="228" spans="2:102" x14ac:dyDescent="0.25">
      <c r="B228" s="115" t="s">
        <v>233</v>
      </c>
      <c r="C228" s="13">
        <v>46301.262499999997</v>
      </c>
      <c r="D228">
        <v>31829</v>
      </c>
      <c r="E228" s="54" t="s">
        <v>237</v>
      </c>
      <c r="F228" s="54" t="s">
        <v>542</v>
      </c>
      <c r="G228" s="54" t="s">
        <v>1696</v>
      </c>
      <c r="H228" s="55">
        <v>11.600000000000001</v>
      </c>
      <c r="I228" s="55">
        <v>11.200000000000001</v>
      </c>
      <c r="J228" s="55">
        <v>11</v>
      </c>
      <c r="K228" s="54"/>
      <c r="L228" s="56" t="b">
        <v>0</v>
      </c>
      <c r="M228" s="56" t="b">
        <v>0</v>
      </c>
      <c r="N228" s="54">
        <v>1</v>
      </c>
      <c r="O228" s="54" t="s">
        <v>228</v>
      </c>
      <c r="P228" s="54">
        <v>26</v>
      </c>
      <c r="Q228" s="54">
        <v>3</v>
      </c>
      <c r="R228" s="54">
        <v>99</v>
      </c>
      <c r="S228" s="54" t="s">
        <v>1556</v>
      </c>
      <c r="T228" s="54" t="s">
        <v>1697</v>
      </c>
      <c r="U228" s="54" t="s">
        <v>1681</v>
      </c>
      <c r="V228" s="54" t="s">
        <v>1698</v>
      </c>
      <c r="W228" s="54" t="b">
        <v>0</v>
      </c>
      <c r="X228" s="54"/>
      <c r="Y228" s="57" t="s">
        <v>1702</v>
      </c>
      <c r="Z228" s="54" t="s">
        <v>1691</v>
      </c>
      <c r="AA228" s="54"/>
      <c r="AB228" s="54" t="s">
        <v>1562</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3.9E-2</v>
      </c>
      <c r="BC228" s="60">
        <v>4.0599999999999996</v>
      </c>
      <c r="BD228" s="61">
        <v>6.8672999999999998E-2</v>
      </c>
      <c r="BE228" s="62" t="s">
        <v>293</v>
      </c>
      <c r="BF228" s="35">
        <f t="shared" ref="BF228:BG228" si="502">IF($E228=$E$4,BF$4,IF($E228=$E$5,BF$5,""))</f>
        <v>4.0600000000000005</v>
      </c>
      <c r="BG228" s="35">
        <f t="shared" si="502"/>
        <v>6.8672999999999998E-2</v>
      </c>
      <c r="BH228" s="35" t="str">
        <f t="shared" ref="BH228" si="503">IF(ISTEXT(BE228),IF(AND(AV228=0,SUM(AN228:AQ228)=0),IF(AM228&lt;=0,IF(BE228="Y","Low","Flat"),"Med"),"High"),"?")</f>
        <v>Low</v>
      </c>
      <c r="BI228" s="110">
        <f t="shared" ref="BI228" si="504">IF(ISNUMBER(AH228),0*BI$5*SIN((EDATE($A$3,$Q228)-DATE(YEAR(EDATE($A$3,$Q228)),1,0)-BI$4)*2*PI()/365),"")</f>
        <v>0</v>
      </c>
      <c r="BJ228" s="83">
        <f>VLOOKUP($F228,REP_Info!$D$6:$H$250,5,FALSE)</f>
        <v>2.665</v>
      </c>
      <c r="BK228" s="30">
        <f t="shared" ref="BK228:BN228" si="505">IF(BK$7&gt;0,(LOOKUP(BK$7,$AH228:$AL228,$AM228:$AQ228)+IF($AG228="Y",SUMPRODUCT($AX228:$BB228-$AW228:$BA228,BK$7-$AR228:$AV228,N(BK$7&gt;$AR228:$AV228)),BK$7*LOOKUP(BK$7,$AR228:$AV228,$AX228:$BB228))+IF($BE228="Y",$BF228,$BC228)+BK$7*IF($BE228="Y",$BG228,$BD228))*100/BK$7,"")</f>
        <v>11.579300000000002</v>
      </c>
      <c r="BL228" s="30">
        <f t="shared" si="505"/>
        <v>11.173300000000001</v>
      </c>
      <c r="BM228" s="30">
        <f t="shared" si="505"/>
        <v>10.970300000000002</v>
      </c>
      <c r="BN228" s="29">
        <f t="shared" si="505"/>
        <v>10.902633333333334</v>
      </c>
      <c r="BO228" s="85" t="str">
        <f t="shared" si="2"/>
        <v>$$$</v>
      </c>
      <c r="BP228" s="88" t="str">
        <f t="shared" ref="BP228" si="506">IFERROR(BO228*100/BO$5,"$$$")</f>
        <v>$$$</v>
      </c>
      <c r="BQ228" s="88" t="str">
        <f t="shared" si="4"/>
        <v>$$$</v>
      </c>
      <c r="BR228" s="88" t="str">
        <f t="shared" si="5"/>
        <v>$$$</v>
      </c>
      <c r="BS228" s="29" t="e">
        <f t="shared" ref="BS228:CD228" si="507">IF($CI228,IF(BS$7&gt;0,IF(BS$4&gt;$Q228,$BF228+BS$7*(BS$5+$BG228+$BI228),LOOKUP(BS$7,$AH228:$AL228,$AM228:$AQ228)+IF($AG228="Y",SUMPRODUCT($AX228:$BB228-$AW228:$BA228,BS$7-$AR228:$AV228,N(BS$7&gt;$AR228:$AV228)),BS$7*LOOKUP(BS$7,$AR228:$AV228,$AX228:$BB228))+IF($BE228="Y",$BF228,$BC228)+BS$7*IF($BE228="Y",$BG228,$BD228))*100/BS$7,""),NA())</f>
        <v>#N/A</v>
      </c>
      <c r="BT228" s="29" t="e">
        <f t="shared" si="507"/>
        <v>#N/A</v>
      </c>
      <c r="BU228" s="29" t="e">
        <f t="shared" si="507"/>
        <v>#N/A</v>
      </c>
      <c r="BV228" s="29" t="e">
        <f t="shared" si="507"/>
        <v>#N/A</v>
      </c>
      <c r="BW228" s="29" t="e">
        <f t="shared" si="507"/>
        <v>#N/A</v>
      </c>
      <c r="BX228" s="29" t="e">
        <f t="shared" si="507"/>
        <v>#N/A</v>
      </c>
      <c r="BY228" s="29" t="e">
        <f t="shared" si="507"/>
        <v>#N/A</v>
      </c>
      <c r="BZ228" s="29" t="e">
        <f t="shared" si="507"/>
        <v>#N/A</v>
      </c>
      <c r="CA228" s="29" t="e">
        <f t="shared" si="507"/>
        <v>#N/A</v>
      </c>
      <c r="CB228" s="29" t="e">
        <f t="shared" si="507"/>
        <v>#N/A</v>
      </c>
      <c r="CC228" s="29" t="e">
        <f t="shared" si="507"/>
        <v>#N/A</v>
      </c>
      <c r="CD228" s="29" t="e">
        <f t="shared" si="507"/>
        <v>#N/A</v>
      </c>
      <c r="CE228" s="6" t="str">
        <f t="shared" si="452"/>
        <v/>
      </c>
      <c r="CF228" s="27" t="e">
        <f>IF(AND(CI228,NOT(AD228)),LOOKUP(CF$5,{0,750,1500},H228:J228),"")</f>
        <v>#N/A</v>
      </c>
      <c r="CG228" s="6" t="str">
        <f t="shared" si="453"/>
        <v/>
      </c>
      <c r="CH228" t="e">
        <f t="shared" ref="CH228" si="508">IF(CI228,IF(ISNUMBER(BO228),BO228,100000)+CV228/10000+IF(ISNUMBER(BJ228),BJ228,2)/10000-P228/100000+ROW()/10000000,"")</f>
        <v>#N/A</v>
      </c>
      <c r="CI228" t="e">
        <f t="shared" ref="CI228" si="509">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10">IF(CQ$5="Any",1,IF(AND(CQ$5="Med",AV228=0,SUM(AN228:AQ228)=0),1,IF(AND(CQ$5="Low",AV228=0,SUM(AN228:AQ228)=0,AM228=0),1,IF(AND(CQ$5="Flat",AV228=0,SUM(AN228:AQ228)=0,AM228=0,IFERROR(NOT(BE228="Y"),0)),1,0))))</f>
        <v>1</v>
      </c>
      <c r="CR228" s="81" t="str">
        <f t="shared" si="17"/>
        <v/>
      </c>
      <c r="CS228">
        <f t="shared" ref="CS228" si="511">CS$5*(12/(MIN(12,Q228))-1)</f>
        <v>54</v>
      </c>
      <c r="CT228">
        <f t="shared" si="19"/>
        <v>99</v>
      </c>
      <c r="CU228" t="str">
        <f t="shared" si="29"/>
        <v/>
      </c>
      <c r="CV228" s="81">
        <f t="shared" ref="CV228" si="512">CT228*IF(CU228="",1,Q228)</f>
        <v>99</v>
      </c>
      <c r="CW228" s="81">
        <f>(CV228/25)^1.5*(Calculator!$BU$4/10000)*CW$5</f>
        <v>4.0981975578080165</v>
      </c>
      <c r="CX228" t="str">
        <f t="shared" ref="CX228" si="513">"$"&amp;IF(LEFT(CU228,1)="r",CT228&amp;"/"&amp;CU228,CV228)</f>
        <v>$99</v>
      </c>
    </row>
    <row r="229" spans="2:102" x14ac:dyDescent="0.25">
      <c r="B229" s="115" t="s">
        <v>233</v>
      </c>
      <c r="C229" s="13">
        <v>46288.564583333333</v>
      </c>
      <c r="D229">
        <v>33670</v>
      </c>
      <c r="E229" s="54" t="s">
        <v>235</v>
      </c>
      <c r="F229" s="54" t="s">
        <v>543</v>
      </c>
      <c r="G229" s="54" t="s">
        <v>1491</v>
      </c>
      <c r="H229" s="55">
        <v>17.599999999999998</v>
      </c>
      <c r="I229" s="55">
        <v>15.9</v>
      </c>
      <c r="J229" s="55">
        <v>15.1</v>
      </c>
      <c r="K229" s="54"/>
      <c r="L229" s="56" t="b">
        <v>1</v>
      </c>
      <c r="M229" s="56" t="b">
        <v>0</v>
      </c>
      <c r="N229" s="54">
        <v>0</v>
      </c>
      <c r="O229" s="54" t="s">
        <v>238</v>
      </c>
      <c r="P229" s="54">
        <v>26</v>
      </c>
      <c r="Q229" s="54">
        <v>1</v>
      </c>
      <c r="R229" s="54">
        <v>0</v>
      </c>
      <c r="S229" s="54" t="s">
        <v>544</v>
      </c>
      <c r="T229" s="54" t="s">
        <v>545</v>
      </c>
      <c r="U229" s="54" t="s">
        <v>546</v>
      </c>
      <c r="V229" s="54" t="s">
        <v>547</v>
      </c>
      <c r="W229" s="54" t="b">
        <v>1</v>
      </c>
      <c r="X229" s="54"/>
      <c r="Y229" s="57" t="s">
        <v>1704</v>
      </c>
      <c r="Z229" s="54" t="s">
        <v>548</v>
      </c>
      <c r="AA229" s="54" t="s">
        <v>549</v>
      </c>
      <c r="AB229" s="54" t="s">
        <v>550</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ref="BF229:BG230" si="514">IF($E229=$E$4,BF$4,IF($E229=$E$5,BF$5,""))</f>
        <v>4.9000000000000004</v>
      </c>
      <c r="BG229" s="35">
        <f t="shared" si="514"/>
        <v>6.5333000000000002E-2</v>
      </c>
      <c r="BH229" s="35" t="str">
        <f t="shared" ref="BH229:BH230" si="515">IF(ISTEXT(BE229),IF(AND(AV229=0,SUM(AN229:AQ229)=0),IF(AM229&lt;=0,IF(BE229="Y","Low","Flat"),"Med"),"High"),"?")</f>
        <v>?</v>
      </c>
      <c r="BI229" s="110" t="str">
        <f t="shared" ref="BI229:BI230" si="516">IF(ISNUMBER(AH229),0*BI$5*SIN((EDATE($A$3,$Q229)-DATE(YEAR(EDATE($A$3,$Q229)),1,0)-BI$4)*2*PI()/365),"")</f>
        <v/>
      </c>
      <c r="BJ229" s="83" t="e">
        <f>VLOOKUP($F229,REP_Info!$D$6:$H$250,5,FALSE)</f>
        <v>#N/A</v>
      </c>
      <c r="BK229" s="30" t="e">
        <f t="shared" ref="BK229:BN230" si="517">IF(BK$7&gt;0,(LOOKUP(BK$7,$AH229:$AL229,$AM229:$AQ229)+IF($AG229="Y",SUMPRODUCT($AX229:$BB229-$AW229:$BA229,BK$7-$AR229:$AV229,N(BK$7&gt;$AR229:$AV229)),BK$7*LOOKUP(BK$7,$AR229:$AV229,$AX229:$BB229))+IF($BE229="Y",$BF229,$BC229)+BK$7*IF($BE229="Y",$BG229,$BD229))*100/BK$7,"")</f>
        <v>#N/A</v>
      </c>
      <c r="BL229" s="30" t="e">
        <f t="shared" si="517"/>
        <v>#N/A</v>
      </c>
      <c r="BM229" s="30" t="e">
        <f t="shared" si="517"/>
        <v>#N/A</v>
      </c>
      <c r="BN229" s="29" t="e">
        <f t="shared" si="517"/>
        <v>#N/A</v>
      </c>
      <c r="BO229" s="85" t="str">
        <f t="shared" si="2"/>
        <v>$$$</v>
      </c>
      <c r="BP229" s="88" t="str">
        <f t="shared" ref="BP229:BP230" si="518">IFERROR(BO229*100/BO$5,"$$$")</f>
        <v>$$$</v>
      </c>
      <c r="BQ229" s="88" t="str">
        <f t="shared" si="4"/>
        <v>$$$</v>
      </c>
      <c r="BR229" s="88" t="str">
        <f t="shared" si="5"/>
        <v>$$$</v>
      </c>
      <c r="BS229" s="29" t="e">
        <f t="shared" ref="BS229:CD230" si="519">IF($CI229,IF(BS$7&gt;0,IF(BS$4&gt;$Q229,$BF229+BS$7*(BS$5+$BG229+$BI229),LOOKUP(BS$7,$AH229:$AL229,$AM229:$AQ229)+IF($AG229="Y",SUMPRODUCT($AX229:$BB229-$AW229:$BA229,BS$7-$AR229:$AV229,N(BS$7&gt;$AR229:$AV229)),BS$7*LOOKUP(BS$7,$AR229:$AV229,$AX229:$BB229))+IF($BE229="Y",$BF229,$BC229)+BS$7*IF($BE229="Y",$BG229,$BD229))*100/BS$7,""),NA())</f>
        <v>#N/A</v>
      </c>
      <c r="BT229" s="29" t="e">
        <f t="shared" si="519"/>
        <v>#N/A</v>
      </c>
      <c r="BU229" s="29" t="e">
        <f t="shared" si="519"/>
        <v>#N/A</v>
      </c>
      <c r="BV229" s="29" t="e">
        <f t="shared" si="519"/>
        <v>#N/A</v>
      </c>
      <c r="BW229" s="29" t="e">
        <f t="shared" si="519"/>
        <v>#N/A</v>
      </c>
      <c r="BX229" s="29" t="e">
        <f t="shared" si="519"/>
        <v>#N/A</v>
      </c>
      <c r="BY229" s="29" t="e">
        <f t="shared" si="519"/>
        <v>#N/A</v>
      </c>
      <c r="BZ229" s="29" t="e">
        <f t="shared" si="519"/>
        <v>#N/A</v>
      </c>
      <c r="CA229" s="29" t="e">
        <f t="shared" si="519"/>
        <v>#N/A</v>
      </c>
      <c r="CB229" s="29" t="e">
        <f t="shared" si="519"/>
        <v>#N/A</v>
      </c>
      <c r="CC229" s="29" t="e">
        <f t="shared" si="519"/>
        <v>#N/A</v>
      </c>
      <c r="CD229" s="29" t="e">
        <f t="shared" si="519"/>
        <v>#N/A</v>
      </c>
      <c r="CE229" s="6" t="str">
        <f t="shared" si="452"/>
        <v/>
      </c>
      <c r="CF229" s="27" t="e">
        <f>IF(AND(CI229,NOT(AD229)),LOOKUP(CF$5,{0,750,1500},H229:J229),"")</f>
        <v>#N/A</v>
      </c>
      <c r="CG229" s="6" t="str">
        <f t="shared" si="453"/>
        <v/>
      </c>
      <c r="CH229" t="e">
        <f t="shared" ref="CH229:CH230" si="520">IF(CI229,IF(ISNUMBER(BO229),BO229,100000)+CV229/10000+IF(ISNUMBER(BJ229),BJ229,2)/10000-P229/100000+ROW()/10000000,"")</f>
        <v>#N/A</v>
      </c>
      <c r="CI229" t="e">
        <f t="shared" ref="CI229:CI230" si="521">PRODUCT(CJ229:CQ229)</f>
        <v>#N/A</v>
      </c>
      <c r="CJ229" s="6" t="e">
        <f t="shared" si="11"/>
        <v>#N/A</v>
      </c>
      <c r="CK229" s="6">
        <f t="shared" si="12"/>
        <v>1</v>
      </c>
      <c r="CL229" s="6">
        <f t="shared" si="26"/>
        <v>1</v>
      </c>
      <c r="CM229" s="6">
        <f t="shared" si="13"/>
        <v>0</v>
      </c>
      <c r="CN229" s="6">
        <f t="shared" si="14"/>
        <v>0</v>
      </c>
      <c r="CO229" s="6">
        <f t="shared" si="15"/>
        <v>1</v>
      </c>
      <c r="CP229" s="6">
        <f t="shared" si="16"/>
        <v>1</v>
      </c>
      <c r="CQ229" s="6">
        <f t="shared" ref="CQ229:CQ230" si="522">IF(CQ$5="Any",1,IF(AND(CQ$5="Med",AV229=0,SUM(AN229:AQ229)=0),1,IF(AND(CQ$5="Low",AV229=0,SUM(AN229:AQ229)=0,AM229=0),1,IF(AND(CQ$5="Flat",AV229=0,SUM(AN229:AQ229)=0,AM229=0,IFERROR(NOT(BE229="Y"),0)),1,0))))</f>
        <v>1</v>
      </c>
      <c r="CR229" s="81" t="str">
        <f t="shared" si="17"/>
        <v/>
      </c>
      <c r="CS229">
        <f t="shared" ref="CS229:CS230" si="523">CS$5*(12/(MIN(12,Q229))-1)</f>
        <v>198</v>
      </c>
      <c r="CT229">
        <f t="shared" si="19"/>
        <v>0</v>
      </c>
      <c r="CU229" t="str">
        <f t="shared" si="29"/>
        <v/>
      </c>
      <c r="CV229" s="81">
        <f t="shared" ref="CV229:CV230" si="524">CT229*IF(CU229="",1,Q229)</f>
        <v>0</v>
      </c>
      <c r="CW229" s="81">
        <f>(CV229/25)^1.5*(Calculator!$BU$4/10000)*CW$5</f>
        <v>0</v>
      </c>
      <c r="CX229" t="str">
        <f t="shared" ref="CX229:CX230" si="525">"$"&amp;IF(LEFT(CU229,1)="r",CT229&amp;"/"&amp;CU229,CV229)</f>
        <v>$0</v>
      </c>
    </row>
    <row r="230" spans="2:102" x14ac:dyDescent="0.25">
      <c r="B230" s="115" t="s">
        <v>233</v>
      </c>
      <c r="C230" s="13">
        <v>46295.87222222222</v>
      </c>
      <c r="D230">
        <v>33671</v>
      </c>
      <c r="E230" s="54" t="s">
        <v>237</v>
      </c>
      <c r="F230" s="54" t="s">
        <v>543</v>
      </c>
      <c r="G230" s="54" t="s">
        <v>1491</v>
      </c>
      <c r="H230" s="55">
        <v>18.5</v>
      </c>
      <c r="I230" s="55">
        <v>16.900000000000002</v>
      </c>
      <c r="J230" s="55">
        <v>16.100000000000001</v>
      </c>
      <c r="K230" s="54"/>
      <c r="L230" s="56" t="b">
        <v>1</v>
      </c>
      <c r="M230" s="56" t="b">
        <v>0</v>
      </c>
      <c r="N230" s="54">
        <v>0</v>
      </c>
      <c r="O230" s="54" t="s">
        <v>238</v>
      </c>
      <c r="P230" s="54">
        <v>26</v>
      </c>
      <c r="Q230" s="54">
        <v>1</v>
      </c>
      <c r="R230" s="54">
        <v>0</v>
      </c>
      <c r="S230" s="54" t="s">
        <v>544</v>
      </c>
      <c r="T230" s="54" t="s">
        <v>545</v>
      </c>
      <c r="U230" s="54" t="s">
        <v>546</v>
      </c>
      <c r="V230" s="54" t="s">
        <v>547</v>
      </c>
      <c r="W230" s="54" t="b">
        <v>1</v>
      </c>
      <c r="X230" s="54"/>
      <c r="Y230" s="57" t="s">
        <v>1492</v>
      </c>
      <c r="Z230" s="54" t="s">
        <v>548</v>
      </c>
      <c r="AA230" s="54" t="s">
        <v>549</v>
      </c>
      <c r="AB230" s="54" t="s">
        <v>550</v>
      </c>
      <c r="AC230" s="56" t="b">
        <v>1</v>
      </c>
      <c r="AD230" s="56" t="b">
        <v>0</v>
      </c>
      <c r="AE230" s="54"/>
      <c r="AF230" s="58"/>
      <c r="AG230" s="62" t="s">
        <v>293</v>
      </c>
      <c r="AH230" s="54"/>
      <c r="AI230" s="54"/>
      <c r="AJ230" s="54"/>
      <c r="AK230" s="54"/>
      <c r="AL230" s="54"/>
      <c r="AM230" s="54">
        <v>0</v>
      </c>
      <c r="AN230" s="54"/>
      <c r="AO230" s="54"/>
      <c r="AP230" s="54"/>
      <c r="AQ230" s="54"/>
      <c r="AR230" s="54"/>
      <c r="AS230" s="54"/>
      <c r="AT230" s="54"/>
      <c r="AU230" s="54"/>
      <c r="AV230" s="54"/>
      <c r="AW230" s="54"/>
      <c r="AX230" s="59"/>
      <c r="AY230" s="59"/>
      <c r="AZ230" s="59"/>
      <c r="BA230" s="59"/>
      <c r="BB230" s="59"/>
      <c r="BC230" s="60"/>
      <c r="BD230" s="61"/>
      <c r="BE230" s="62"/>
      <c r="BF230" s="35">
        <f t="shared" si="514"/>
        <v>4.0600000000000005</v>
      </c>
      <c r="BG230" s="35">
        <f t="shared" si="514"/>
        <v>6.8672999999999998E-2</v>
      </c>
      <c r="BH230" s="35" t="str">
        <f t="shared" si="515"/>
        <v>?</v>
      </c>
      <c r="BI230" s="110" t="str">
        <f t="shared" si="516"/>
        <v/>
      </c>
      <c r="BJ230" s="83" t="e">
        <f>VLOOKUP($F230,REP_Info!$D$6:$H$250,5,FALSE)</f>
        <v>#N/A</v>
      </c>
      <c r="BK230" s="30" t="e">
        <f t="shared" si="517"/>
        <v>#N/A</v>
      </c>
      <c r="BL230" s="30" t="e">
        <f t="shared" si="517"/>
        <v>#N/A</v>
      </c>
      <c r="BM230" s="30" t="e">
        <f t="shared" si="517"/>
        <v>#N/A</v>
      </c>
      <c r="BN230" s="29" t="e">
        <f t="shared" si="517"/>
        <v>#N/A</v>
      </c>
      <c r="BO230" s="85" t="str">
        <f t="shared" si="2"/>
        <v>$$$</v>
      </c>
      <c r="BP230" s="88" t="str">
        <f t="shared" si="518"/>
        <v>$$$</v>
      </c>
      <c r="BQ230" s="88" t="str">
        <f t="shared" si="4"/>
        <v>$$$</v>
      </c>
      <c r="BR230" s="88" t="str">
        <f t="shared" si="5"/>
        <v>$$$</v>
      </c>
      <c r="BS230" s="29" t="e">
        <f t="shared" si="519"/>
        <v>#N/A</v>
      </c>
      <c r="BT230" s="29" t="e">
        <f t="shared" si="519"/>
        <v>#N/A</v>
      </c>
      <c r="BU230" s="29" t="e">
        <f t="shared" si="519"/>
        <v>#N/A</v>
      </c>
      <c r="BV230" s="29" t="e">
        <f t="shared" si="519"/>
        <v>#N/A</v>
      </c>
      <c r="BW230" s="29" t="e">
        <f t="shared" si="519"/>
        <v>#N/A</v>
      </c>
      <c r="BX230" s="29" t="e">
        <f t="shared" si="519"/>
        <v>#N/A</v>
      </c>
      <c r="BY230" s="29" t="e">
        <f t="shared" si="519"/>
        <v>#N/A</v>
      </c>
      <c r="BZ230" s="29" t="e">
        <f t="shared" si="519"/>
        <v>#N/A</v>
      </c>
      <c r="CA230" s="29" t="e">
        <f t="shared" si="519"/>
        <v>#N/A</v>
      </c>
      <c r="CB230" s="29" t="e">
        <f t="shared" si="519"/>
        <v>#N/A</v>
      </c>
      <c r="CC230" s="29" t="e">
        <f t="shared" si="519"/>
        <v>#N/A</v>
      </c>
      <c r="CD230" s="29" t="e">
        <f t="shared" si="519"/>
        <v>#N/A</v>
      </c>
      <c r="CE230" s="6" t="str">
        <f t="shared" si="452"/>
        <v/>
      </c>
      <c r="CF230" s="27" t="e">
        <f>IF(AND(CI230,NOT(AD230)),LOOKUP(CF$5,{0,750,1500},H230:J230),"")</f>
        <v>#N/A</v>
      </c>
      <c r="CG230" s="6" t="str">
        <f t="shared" si="453"/>
        <v/>
      </c>
      <c r="CH230" t="e">
        <f t="shared" si="520"/>
        <v>#N/A</v>
      </c>
      <c r="CI230" t="e">
        <f t="shared" si="521"/>
        <v>#N/A</v>
      </c>
      <c r="CJ230" s="6" t="e">
        <f t="shared" si="11"/>
        <v>#N/A</v>
      </c>
      <c r="CK230" s="6">
        <f t="shared" si="12"/>
        <v>1</v>
      </c>
      <c r="CL230" s="6">
        <f t="shared" si="26"/>
        <v>1</v>
      </c>
      <c r="CM230" s="6">
        <f t="shared" si="13"/>
        <v>0</v>
      </c>
      <c r="CN230" s="6">
        <f t="shared" si="14"/>
        <v>0</v>
      </c>
      <c r="CO230" s="6">
        <f t="shared" si="15"/>
        <v>1</v>
      </c>
      <c r="CP230" s="6">
        <f t="shared" si="16"/>
        <v>1</v>
      </c>
      <c r="CQ230" s="6">
        <f t="shared" si="522"/>
        <v>1</v>
      </c>
      <c r="CR230" s="81" t="str">
        <f t="shared" si="17"/>
        <v/>
      </c>
      <c r="CS230">
        <f t="shared" si="523"/>
        <v>198</v>
      </c>
      <c r="CT230">
        <f t="shared" si="19"/>
        <v>0</v>
      </c>
      <c r="CU230" t="str">
        <f t="shared" si="29"/>
        <v/>
      </c>
      <c r="CV230" s="81">
        <f t="shared" si="524"/>
        <v>0</v>
      </c>
      <c r="CW230" s="81">
        <f>(CV230/25)^1.5*(Calculator!$BU$4/10000)*CW$5</f>
        <v>0</v>
      </c>
      <c r="CX230" t="str">
        <f t="shared" si="525"/>
        <v>$0</v>
      </c>
    </row>
    <row r="231" spans="2:102" x14ac:dyDescent="0.25">
      <c r="B231" s="115" t="s">
        <v>233</v>
      </c>
      <c r="C231" s="13">
        <v>46296.854166666664</v>
      </c>
      <c r="D231">
        <v>36326</v>
      </c>
      <c r="E231" s="54" t="s">
        <v>235</v>
      </c>
      <c r="F231" s="54" t="s">
        <v>543</v>
      </c>
      <c r="G231" s="54" t="s">
        <v>1871</v>
      </c>
      <c r="H231" s="55">
        <v>19.900000000000002</v>
      </c>
      <c r="I231" s="55">
        <v>18.7</v>
      </c>
      <c r="J231" s="55">
        <v>18.099999999999998</v>
      </c>
      <c r="K231" s="54"/>
      <c r="L231" s="56" t="b">
        <v>1</v>
      </c>
      <c r="M231" s="56" t="b">
        <v>0</v>
      </c>
      <c r="N231" s="54">
        <v>0</v>
      </c>
      <c r="O231" s="54" t="s">
        <v>238</v>
      </c>
      <c r="P231" s="54">
        <v>26</v>
      </c>
      <c r="Q231" s="54">
        <v>1</v>
      </c>
      <c r="R231" s="54">
        <v>0</v>
      </c>
      <c r="S231" s="54" t="s">
        <v>544</v>
      </c>
      <c r="T231" s="54" t="s">
        <v>1444</v>
      </c>
      <c r="U231" s="54" t="s">
        <v>1445</v>
      </c>
      <c r="V231" s="54" t="s">
        <v>1446</v>
      </c>
      <c r="W231" s="54" t="b">
        <v>1</v>
      </c>
      <c r="X231" s="54"/>
      <c r="Y231" s="57" t="s">
        <v>1872</v>
      </c>
      <c r="Z231" s="54" t="s">
        <v>1873</v>
      </c>
      <c r="AA231" s="54" t="s">
        <v>1447</v>
      </c>
      <c r="AB231" s="54" t="s">
        <v>550</v>
      </c>
      <c r="AC231" s="56" t="b">
        <v>1</v>
      </c>
      <c r="AD231" s="56" t="b">
        <v>0</v>
      </c>
      <c r="AE231" s="54"/>
      <c r="AF231" s="58"/>
      <c r="AG231" s="62" t="s">
        <v>293</v>
      </c>
      <c r="AH231" s="54"/>
      <c r="AI231" s="54"/>
      <c r="AJ231" s="54"/>
      <c r="AK231" s="54"/>
      <c r="AL231" s="54"/>
      <c r="AM231" s="54">
        <v>0</v>
      </c>
      <c r="AN231" s="54"/>
      <c r="AO231" s="54"/>
      <c r="AP231" s="54"/>
      <c r="AQ231" s="54"/>
      <c r="AR231" s="54"/>
      <c r="AS231" s="54"/>
      <c r="AT231" s="54"/>
      <c r="AU231" s="54"/>
      <c r="AV231" s="54"/>
      <c r="AW231" s="54"/>
      <c r="AX231" s="59"/>
      <c r="AY231" s="59"/>
      <c r="AZ231" s="59"/>
      <c r="BA231" s="59"/>
      <c r="BB231" s="59"/>
      <c r="BC231" s="60"/>
      <c r="BD231" s="61"/>
      <c r="BE231" s="62"/>
      <c r="BF231" s="35">
        <f t="shared" ref="BF231:BG231" si="526">IF($E231=$E$4,BF$4,IF($E231=$E$5,BF$5,""))</f>
        <v>4.9000000000000004</v>
      </c>
      <c r="BG231" s="35">
        <f t="shared" si="526"/>
        <v>6.5333000000000002E-2</v>
      </c>
      <c r="BH231" s="35" t="str">
        <f t="shared" ref="BH231" si="527">IF(ISTEXT(BE231),IF(AND(AV231=0,SUM(AN231:AQ231)=0),IF(AM231&lt;=0,IF(BE231="Y","Low","Flat"),"Med"),"High"),"?")</f>
        <v>?</v>
      </c>
      <c r="BI231" s="110" t="str">
        <f t="shared" ref="BI231" si="528">IF(ISNUMBER(AH231),0*BI$5*SIN((EDATE($A$3,$Q231)-DATE(YEAR(EDATE($A$3,$Q231)),1,0)-BI$4)*2*PI()/365),"")</f>
        <v/>
      </c>
      <c r="BJ231" s="83" t="e">
        <f>VLOOKUP($F231,REP_Info!$D$6:$H$250,5,FALSE)</f>
        <v>#N/A</v>
      </c>
      <c r="BK231" s="30" t="e">
        <f t="shared" ref="BK231:BN231" si="529">IF(BK$7&gt;0,(LOOKUP(BK$7,$AH231:$AL231,$AM231:$AQ231)+IF($AG231="Y",SUMPRODUCT($AX231:$BB231-$AW231:$BA231,BK$7-$AR231:$AV231,N(BK$7&gt;$AR231:$AV231)),BK$7*LOOKUP(BK$7,$AR231:$AV231,$AX231:$BB231))+IF($BE231="Y",$BF231,$BC231)+BK$7*IF($BE231="Y",$BG231,$BD231))*100/BK$7,"")</f>
        <v>#N/A</v>
      </c>
      <c r="BL231" s="30" t="e">
        <f t="shared" si="529"/>
        <v>#N/A</v>
      </c>
      <c r="BM231" s="30" t="e">
        <f t="shared" si="529"/>
        <v>#N/A</v>
      </c>
      <c r="BN231" s="29" t="e">
        <f t="shared" si="529"/>
        <v>#N/A</v>
      </c>
      <c r="BO231" s="85" t="str">
        <f t="shared" si="2"/>
        <v>$$$</v>
      </c>
      <c r="BP231" s="88" t="str">
        <f t="shared" ref="BP231" si="530">IFERROR(BO231*100/BO$5,"$$$")</f>
        <v>$$$</v>
      </c>
      <c r="BQ231" s="88" t="str">
        <f t="shared" si="4"/>
        <v>$$$</v>
      </c>
      <c r="BR231" s="88" t="str">
        <f t="shared" si="5"/>
        <v>$$$</v>
      </c>
      <c r="BS231" s="29" t="e">
        <f t="shared" ref="BS231:CD231" si="531">IF($CI231,IF(BS$7&gt;0,IF(BS$4&gt;$Q231,$BF231+BS$7*(BS$5+$BG231+$BI231),LOOKUP(BS$7,$AH231:$AL231,$AM231:$AQ231)+IF($AG231="Y",SUMPRODUCT($AX231:$BB231-$AW231:$BA231,BS$7-$AR231:$AV231,N(BS$7&gt;$AR231:$AV231)),BS$7*LOOKUP(BS$7,$AR231:$AV231,$AX231:$BB231))+IF($BE231="Y",$BF231,$BC231)+BS$7*IF($BE231="Y",$BG231,$BD231))*100/BS$7,""),NA())</f>
        <v>#N/A</v>
      </c>
      <c r="BT231" s="29" t="e">
        <f t="shared" si="531"/>
        <v>#N/A</v>
      </c>
      <c r="BU231" s="29" t="e">
        <f t="shared" si="531"/>
        <v>#N/A</v>
      </c>
      <c r="BV231" s="29" t="e">
        <f t="shared" si="531"/>
        <v>#N/A</v>
      </c>
      <c r="BW231" s="29" t="e">
        <f t="shared" si="531"/>
        <v>#N/A</v>
      </c>
      <c r="BX231" s="29" t="e">
        <f t="shared" si="531"/>
        <v>#N/A</v>
      </c>
      <c r="BY231" s="29" t="e">
        <f t="shared" si="531"/>
        <v>#N/A</v>
      </c>
      <c r="BZ231" s="29" t="e">
        <f t="shared" si="531"/>
        <v>#N/A</v>
      </c>
      <c r="CA231" s="29" t="e">
        <f t="shared" si="531"/>
        <v>#N/A</v>
      </c>
      <c r="CB231" s="29" t="e">
        <f t="shared" si="531"/>
        <v>#N/A</v>
      </c>
      <c r="CC231" s="29" t="e">
        <f t="shared" si="531"/>
        <v>#N/A</v>
      </c>
      <c r="CD231" s="29" t="e">
        <f t="shared" si="531"/>
        <v>#N/A</v>
      </c>
      <c r="CE231" s="6" t="str">
        <f t="shared" si="452"/>
        <v/>
      </c>
      <c r="CF231" s="27" t="e">
        <f>IF(AND(CI231,NOT(AD231)),LOOKUP(CF$5,{0,750,1500},H231:J231),"")</f>
        <v>#N/A</v>
      </c>
      <c r="CG231" s="6" t="str">
        <f t="shared" si="453"/>
        <v/>
      </c>
      <c r="CH231" t="e">
        <f t="shared" ref="CH231" si="532">IF(CI231,IF(ISNUMBER(BO231),BO231,100000)+CV231/10000+IF(ISNUMBER(BJ231),BJ231,2)/10000-P231/100000+ROW()/10000000,"")</f>
        <v>#N/A</v>
      </c>
      <c r="CI231" t="e">
        <f t="shared" ref="CI231" si="533">PRODUCT(CJ231:CQ231)</f>
        <v>#N/A</v>
      </c>
      <c r="CJ231" s="6" t="e">
        <f t="shared" si="11"/>
        <v>#N/A</v>
      </c>
      <c r="CK231" s="6">
        <f t="shared" si="12"/>
        <v>1</v>
      </c>
      <c r="CL231" s="6">
        <f t="shared" si="26"/>
        <v>1</v>
      </c>
      <c r="CM231" s="6">
        <f t="shared" si="13"/>
        <v>0</v>
      </c>
      <c r="CN231" s="6">
        <f t="shared" si="14"/>
        <v>0</v>
      </c>
      <c r="CO231" s="6">
        <f t="shared" si="15"/>
        <v>1</v>
      </c>
      <c r="CP231" s="6">
        <f t="shared" si="16"/>
        <v>1</v>
      </c>
      <c r="CQ231" s="6">
        <f t="shared" ref="CQ231" si="534">IF(CQ$5="Any",1,IF(AND(CQ$5="Med",AV231=0,SUM(AN231:AQ231)=0),1,IF(AND(CQ$5="Low",AV231=0,SUM(AN231:AQ231)=0,AM231=0),1,IF(AND(CQ$5="Flat",AV231=0,SUM(AN231:AQ231)=0,AM231=0,IFERROR(NOT(BE231="Y"),0)),1,0))))</f>
        <v>1</v>
      </c>
      <c r="CR231" s="81" t="str">
        <f t="shared" si="17"/>
        <v/>
      </c>
      <c r="CS231">
        <f t="shared" ref="CS231" si="535">CS$5*(12/(MIN(12,Q231))-1)</f>
        <v>198</v>
      </c>
      <c r="CT231">
        <f t="shared" si="19"/>
        <v>0</v>
      </c>
      <c r="CU231" t="str">
        <f t="shared" si="29"/>
        <v/>
      </c>
      <c r="CV231" s="81">
        <f t="shared" ref="CV231" si="536">CT231*IF(CU231="",1,Q231)</f>
        <v>0</v>
      </c>
      <c r="CW231" s="81">
        <f>(CV231/25)^1.5*(Calculator!$BU$4/10000)*CW$5</f>
        <v>0</v>
      </c>
      <c r="CX231" t="str">
        <f t="shared" ref="CX231" si="537">"$"&amp;IF(LEFT(CU231,1)="r",CT231&amp;"/"&amp;CU231,CV231)</f>
        <v>$0</v>
      </c>
    </row>
    <row r="232" spans="2:102" x14ac:dyDescent="0.25">
      <c r="B232" s="115" t="s">
        <v>233</v>
      </c>
      <c r="C232" s="13">
        <v>46296.854166666664</v>
      </c>
      <c r="D232">
        <v>36329</v>
      </c>
      <c r="E232" s="54" t="s">
        <v>237</v>
      </c>
      <c r="F232" s="54" t="s">
        <v>543</v>
      </c>
      <c r="G232" s="54" t="s">
        <v>1871</v>
      </c>
      <c r="H232" s="55">
        <v>19.100000000000001</v>
      </c>
      <c r="I232" s="55">
        <v>17.899999999999999</v>
      </c>
      <c r="J232" s="55">
        <v>17.299999999999997</v>
      </c>
      <c r="K232" s="54"/>
      <c r="L232" s="56" t="b">
        <v>1</v>
      </c>
      <c r="M232" s="56" t="b">
        <v>0</v>
      </c>
      <c r="N232" s="54">
        <v>0</v>
      </c>
      <c r="O232" s="54" t="s">
        <v>238</v>
      </c>
      <c r="P232" s="54">
        <v>26</v>
      </c>
      <c r="Q232" s="54">
        <v>1</v>
      </c>
      <c r="R232" s="54">
        <v>0</v>
      </c>
      <c r="S232" s="54" t="s">
        <v>544</v>
      </c>
      <c r="T232" s="54"/>
      <c r="U232" s="54" t="s">
        <v>1445</v>
      </c>
      <c r="V232" s="54" t="s">
        <v>1448</v>
      </c>
      <c r="W232" s="54" t="b">
        <v>1</v>
      </c>
      <c r="X232" s="54"/>
      <c r="Y232" s="57" t="s">
        <v>1874</v>
      </c>
      <c r="Z232" s="54" t="s">
        <v>1873</v>
      </c>
      <c r="AA232" s="54" t="s">
        <v>1447</v>
      </c>
      <c r="AB232" s="54" t="s">
        <v>550</v>
      </c>
      <c r="AC232" s="56" t="b">
        <v>1</v>
      </c>
      <c r="AD232" s="56" t="b">
        <v>0</v>
      </c>
      <c r="AE232" s="54"/>
      <c r="AF232" s="58"/>
      <c r="AG232" s="62" t="s">
        <v>293</v>
      </c>
      <c r="AH232" s="54"/>
      <c r="AI232" s="54"/>
      <c r="AJ232" s="54"/>
      <c r="AK232" s="54"/>
      <c r="AL232" s="54"/>
      <c r="AM232" s="54">
        <v>0</v>
      </c>
      <c r="AN232" s="54"/>
      <c r="AO232" s="54"/>
      <c r="AP232" s="54"/>
      <c r="AQ232" s="54"/>
      <c r="AR232" s="54"/>
      <c r="AS232" s="54"/>
      <c r="AT232" s="54"/>
      <c r="AU232" s="54"/>
      <c r="AV232" s="54"/>
      <c r="AW232" s="54"/>
      <c r="AX232" s="59"/>
      <c r="AY232" s="59"/>
      <c r="AZ232" s="59"/>
      <c r="BA232" s="59"/>
      <c r="BB232" s="59"/>
      <c r="BC232" s="60"/>
      <c r="BD232" s="61"/>
      <c r="BE232" s="62"/>
      <c r="BF232" s="35">
        <f t="shared" ref="BF232:BG232" si="538">IF($E232=$E$4,BF$4,IF($E232=$E$5,BF$5,""))</f>
        <v>4.0600000000000005</v>
      </c>
      <c r="BG232" s="35">
        <f t="shared" si="538"/>
        <v>6.8672999999999998E-2</v>
      </c>
      <c r="BH232" s="35" t="str">
        <f t="shared" ref="BH232" si="539">IF(ISTEXT(BE232),IF(AND(AV232=0,SUM(AN232:AQ232)=0),IF(AM232&lt;=0,IF(BE232="Y","Low","Flat"),"Med"),"High"),"?")</f>
        <v>?</v>
      </c>
      <c r="BI232" s="110" t="str">
        <f t="shared" ref="BI232" si="540">IF(ISNUMBER(AH232),0*BI$5*SIN((EDATE($A$3,$Q232)-DATE(YEAR(EDATE($A$3,$Q232)),1,0)-BI$4)*2*PI()/365),"")</f>
        <v/>
      </c>
      <c r="BJ232" s="83" t="e">
        <f>VLOOKUP($F232,REP_Info!$D$6:$H$250,5,FALSE)</f>
        <v>#N/A</v>
      </c>
      <c r="BK232" s="30" t="e">
        <f t="shared" ref="BK232:BN232" si="541">IF(BK$7&gt;0,(LOOKUP(BK$7,$AH232:$AL232,$AM232:$AQ232)+IF($AG232="Y",SUMPRODUCT($AX232:$BB232-$AW232:$BA232,BK$7-$AR232:$AV232,N(BK$7&gt;$AR232:$AV232)),BK$7*LOOKUP(BK$7,$AR232:$AV232,$AX232:$BB232))+IF($BE232="Y",$BF232,$BC232)+BK$7*IF($BE232="Y",$BG232,$BD232))*100/BK$7,"")</f>
        <v>#N/A</v>
      </c>
      <c r="BL232" s="30" t="e">
        <f t="shared" si="541"/>
        <v>#N/A</v>
      </c>
      <c r="BM232" s="30" t="e">
        <f t="shared" si="541"/>
        <v>#N/A</v>
      </c>
      <c r="BN232" s="29" t="e">
        <f t="shared" si="541"/>
        <v>#N/A</v>
      </c>
      <c r="BO232" s="85" t="str">
        <f t="shared" si="2"/>
        <v>$$$</v>
      </c>
      <c r="BP232" s="88" t="str">
        <f t="shared" ref="BP232" si="542">IFERROR(BO232*100/BO$5,"$$$")</f>
        <v>$$$</v>
      </c>
      <c r="BQ232" s="88" t="str">
        <f t="shared" si="4"/>
        <v>$$$</v>
      </c>
      <c r="BR232" s="88" t="str">
        <f t="shared" si="5"/>
        <v>$$$</v>
      </c>
      <c r="BS232" s="29" t="e">
        <f t="shared" ref="BS232:CD232" si="543">IF($CI232,IF(BS$7&gt;0,IF(BS$4&gt;$Q232,$BF232+BS$7*(BS$5+$BG232+$BI232),LOOKUP(BS$7,$AH232:$AL232,$AM232:$AQ232)+IF($AG232="Y",SUMPRODUCT($AX232:$BB232-$AW232:$BA232,BS$7-$AR232:$AV232,N(BS$7&gt;$AR232:$AV232)),BS$7*LOOKUP(BS$7,$AR232:$AV232,$AX232:$BB232))+IF($BE232="Y",$BF232,$BC232)+BS$7*IF($BE232="Y",$BG232,$BD232))*100/BS$7,""),NA())</f>
        <v>#N/A</v>
      </c>
      <c r="BT232" s="29" t="e">
        <f t="shared" si="543"/>
        <v>#N/A</v>
      </c>
      <c r="BU232" s="29" t="e">
        <f t="shared" si="543"/>
        <v>#N/A</v>
      </c>
      <c r="BV232" s="29" t="e">
        <f t="shared" si="543"/>
        <v>#N/A</v>
      </c>
      <c r="BW232" s="29" t="e">
        <f t="shared" si="543"/>
        <v>#N/A</v>
      </c>
      <c r="BX232" s="29" t="e">
        <f t="shared" si="543"/>
        <v>#N/A</v>
      </c>
      <c r="BY232" s="29" t="e">
        <f t="shared" si="543"/>
        <v>#N/A</v>
      </c>
      <c r="BZ232" s="29" t="e">
        <f t="shared" si="543"/>
        <v>#N/A</v>
      </c>
      <c r="CA232" s="29" t="e">
        <f t="shared" si="543"/>
        <v>#N/A</v>
      </c>
      <c r="CB232" s="29" t="e">
        <f t="shared" si="543"/>
        <v>#N/A</v>
      </c>
      <c r="CC232" s="29" t="e">
        <f t="shared" si="543"/>
        <v>#N/A</v>
      </c>
      <c r="CD232" s="29" t="e">
        <f t="shared" si="543"/>
        <v>#N/A</v>
      </c>
      <c r="CE232" s="6" t="str">
        <f t="shared" si="452"/>
        <v/>
      </c>
      <c r="CF232" s="27" t="e">
        <f>IF(AND(CI232,NOT(AD232)),LOOKUP(CF$5,{0,750,1500},H232:J232),"")</f>
        <v>#N/A</v>
      </c>
      <c r="CG232" s="6" t="str">
        <f t="shared" si="453"/>
        <v/>
      </c>
      <c r="CH232" t="e">
        <f t="shared" ref="CH232" si="544">IF(CI232,IF(ISNUMBER(BO232),BO232,100000)+CV232/10000+IF(ISNUMBER(BJ232),BJ232,2)/10000-P232/100000+ROW()/10000000,"")</f>
        <v>#N/A</v>
      </c>
      <c r="CI232" t="e">
        <f t="shared" ref="CI232" si="545">PRODUCT(CJ232:CQ232)</f>
        <v>#N/A</v>
      </c>
      <c r="CJ232" s="6" t="e">
        <f t="shared" si="11"/>
        <v>#N/A</v>
      </c>
      <c r="CK232" s="6">
        <f t="shared" si="12"/>
        <v>1</v>
      </c>
      <c r="CL232" s="6">
        <f t="shared" si="26"/>
        <v>1</v>
      </c>
      <c r="CM232" s="6">
        <f t="shared" si="13"/>
        <v>0</v>
      </c>
      <c r="CN232" s="6">
        <f t="shared" si="14"/>
        <v>0</v>
      </c>
      <c r="CO232" s="6">
        <f t="shared" si="15"/>
        <v>1</v>
      </c>
      <c r="CP232" s="6">
        <f t="shared" si="16"/>
        <v>1</v>
      </c>
      <c r="CQ232" s="6">
        <f t="shared" ref="CQ232" si="546">IF(CQ$5="Any",1,IF(AND(CQ$5="Med",AV232=0,SUM(AN232:AQ232)=0),1,IF(AND(CQ$5="Low",AV232=0,SUM(AN232:AQ232)=0,AM232=0),1,IF(AND(CQ$5="Flat",AV232=0,SUM(AN232:AQ232)=0,AM232=0,IFERROR(NOT(BE232="Y"),0)),1,0))))</f>
        <v>1</v>
      </c>
      <c r="CR232" s="81" t="str">
        <f t="shared" si="17"/>
        <v/>
      </c>
      <c r="CS232">
        <f t="shared" ref="CS232" si="547">CS$5*(12/(MIN(12,Q232))-1)</f>
        <v>198</v>
      </c>
      <c r="CT232">
        <f t="shared" si="19"/>
        <v>0</v>
      </c>
      <c r="CU232" t="str">
        <f t="shared" si="29"/>
        <v/>
      </c>
      <c r="CV232" s="81">
        <f t="shared" ref="CV232" si="548">CT232*IF(CU232="",1,Q232)</f>
        <v>0</v>
      </c>
      <c r="CW232" s="81">
        <f>(CV232/25)^1.5*(Calculator!$BU$4/10000)*CW$5</f>
        <v>0</v>
      </c>
      <c r="CX232" t="str">
        <f t="shared" ref="CX232" si="549">"$"&amp;IF(LEFT(CU232,1)="r",CT232&amp;"/"&amp;CU232,CV232)</f>
        <v>$0</v>
      </c>
    </row>
    <row r="233" spans="2:102" x14ac:dyDescent="0.25">
      <c r="B233" s="115" t="s">
        <v>233</v>
      </c>
      <c r="C233" s="13">
        <v>46290.640277777777</v>
      </c>
      <c r="D233">
        <v>36760</v>
      </c>
      <c r="E233" s="54" t="s">
        <v>235</v>
      </c>
      <c r="F233" s="54" t="s">
        <v>543</v>
      </c>
      <c r="G233" s="54" t="s">
        <v>1548</v>
      </c>
      <c r="H233" s="55">
        <v>19.2</v>
      </c>
      <c r="I233" s="55">
        <v>18.899999999999999</v>
      </c>
      <c r="J233" s="55">
        <v>18.7</v>
      </c>
      <c r="K233" s="54"/>
      <c r="L233" s="56" t="b">
        <v>1</v>
      </c>
      <c r="M233" s="56" t="b">
        <v>0</v>
      </c>
      <c r="N233" s="54">
        <v>0</v>
      </c>
      <c r="O233" s="54" t="s">
        <v>238</v>
      </c>
      <c r="P233" s="54">
        <v>25</v>
      </c>
      <c r="Q233" s="54">
        <v>1</v>
      </c>
      <c r="R233" s="54">
        <v>0</v>
      </c>
      <c r="S233" s="54" t="s">
        <v>544</v>
      </c>
      <c r="T233" s="54"/>
      <c r="U233" s="54" t="s">
        <v>1445</v>
      </c>
      <c r="V233" s="54" t="s">
        <v>1446</v>
      </c>
      <c r="W233" s="54" t="b">
        <v>0</v>
      </c>
      <c r="X233" s="54"/>
      <c r="Y233" s="57" t="s">
        <v>1705</v>
      </c>
      <c r="Z233" s="54" t="s">
        <v>1549</v>
      </c>
      <c r="AA233" s="54" t="s">
        <v>1447</v>
      </c>
      <c r="AB233" s="54" t="s">
        <v>550</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ref="BF233:BG235" si="550">IF($E233=$E$4,BF$4,IF($E233=$E$5,BF$5,""))</f>
        <v>4.9000000000000004</v>
      </c>
      <c r="BG233" s="35">
        <f t="shared" si="550"/>
        <v>6.5333000000000002E-2</v>
      </c>
      <c r="BH233" s="35" t="str">
        <f t="shared" ref="BH233:BH235" si="551">IF(ISTEXT(BE233),IF(AND(AV233=0,SUM(AN233:AQ233)=0),IF(AM233&lt;=0,IF(BE233="Y","Low","Flat"),"Med"),"High"),"?")</f>
        <v>?</v>
      </c>
      <c r="BI233" s="110" t="str">
        <f t="shared" ref="BI233:BI235" si="552">IF(ISNUMBER(AH233),0*BI$5*SIN((EDATE($A$3,$Q233)-DATE(YEAR(EDATE($A$3,$Q233)),1,0)-BI$4)*2*PI()/365),"")</f>
        <v/>
      </c>
      <c r="BJ233" s="83" t="e">
        <f>VLOOKUP($F233,REP_Info!$D$6:$H$250,5,FALSE)</f>
        <v>#N/A</v>
      </c>
      <c r="BK233" s="30" t="e">
        <f t="shared" ref="BK233:BN235" si="553">IF(BK$7&gt;0,(LOOKUP(BK$7,$AH233:$AL233,$AM233:$AQ233)+IF($AG233="Y",SUMPRODUCT($AX233:$BB233-$AW233:$BA233,BK$7-$AR233:$AV233,N(BK$7&gt;$AR233:$AV233)),BK$7*LOOKUP(BK$7,$AR233:$AV233,$AX233:$BB233))+IF($BE233="Y",$BF233,$BC233)+BK$7*IF($BE233="Y",$BG233,$BD233))*100/BK$7,"")</f>
        <v>#N/A</v>
      </c>
      <c r="BL233" s="30" t="e">
        <f t="shared" si="553"/>
        <v>#N/A</v>
      </c>
      <c r="BM233" s="30" t="e">
        <f t="shared" si="553"/>
        <v>#N/A</v>
      </c>
      <c r="BN233" s="29" t="e">
        <f t="shared" si="553"/>
        <v>#N/A</v>
      </c>
      <c r="BO233" s="85" t="str">
        <f t="shared" ref="BO233:BO235" si="554">IFERROR(SUMPRODUCT($BS$7:$CD$7,$BS233:$CD233)/100,"$$$")</f>
        <v>$$$</v>
      </c>
      <c r="BP233" s="88" t="str">
        <f t="shared" ref="BP233:BP235" si="555">IFERROR(BO233*100/BO$5,"$$$")</f>
        <v>$$$</v>
      </c>
      <c r="BQ233" s="88" t="str">
        <f t="shared" si="4"/>
        <v>$$$</v>
      </c>
      <c r="BR233" s="88" t="str">
        <f t="shared" si="5"/>
        <v>$$$</v>
      </c>
      <c r="BS233" s="29" t="e">
        <f t="shared" ref="BS233:CD235" si="556">IF($CI233,IF(BS$7&gt;0,IF(BS$4&gt;$Q233,$BF233+BS$7*(BS$5+$BG233+$BI233),LOOKUP(BS$7,$AH233:$AL233,$AM233:$AQ233)+IF($AG233="Y",SUMPRODUCT($AX233:$BB233-$AW233:$BA233,BS$7-$AR233:$AV233,N(BS$7&gt;$AR233:$AV233)),BS$7*LOOKUP(BS$7,$AR233:$AV233,$AX233:$BB233))+IF($BE233="Y",$BF233,$BC233)+BS$7*IF($BE233="Y",$BG233,$BD233))*100/BS$7,""),NA())</f>
        <v>#N/A</v>
      </c>
      <c r="BT233" s="29" t="e">
        <f t="shared" si="556"/>
        <v>#N/A</v>
      </c>
      <c r="BU233" s="29" t="e">
        <f t="shared" si="556"/>
        <v>#N/A</v>
      </c>
      <c r="BV233" s="29" t="e">
        <f t="shared" si="556"/>
        <v>#N/A</v>
      </c>
      <c r="BW233" s="29" t="e">
        <f t="shared" si="556"/>
        <v>#N/A</v>
      </c>
      <c r="BX233" s="29" t="e">
        <f t="shared" si="556"/>
        <v>#N/A</v>
      </c>
      <c r="BY233" s="29" t="e">
        <f t="shared" si="556"/>
        <v>#N/A</v>
      </c>
      <c r="BZ233" s="29" t="e">
        <f t="shared" si="556"/>
        <v>#N/A</v>
      </c>
      <c r="CA233" s="29" t="e">
        <f t="shared" si="556"/>
        <v>#N/A</v>
      </c>
      <c r="CB233" s="29" t="e">
        <f t="shared" si="556"/>
        <v>#N/A</v>
      </c>
      <c r="CC233" s="29" t="e">
        <f t="shared" si="556"/>
        <v>#N/A</v>
      </c>
      <c r="CD233" s="29" t="e">
        <f t="shared" si="556"/>
        <v>#N/A</v>
      </c>
      <c r="CE233" s="6" t="str">
        <f t="shared" si="452"/>
        <v/>
      </c>
      <c r="CF233" s="27" t="e">
        <f>IF(AND(CI233,NOT(AD233)),LOOKUP(CF$5,{0,750,1500},H233:J233),"")</f>
        <v>#N/A</v>
      </c>
      <c r="CG233" s="6" t="str">
        <f t="shared" si="453"/>
        <v/>
      </c>
      <c r="CH233" t="e">
        <f t="shared" ref="CH233:CH235" si="557">IF(CI233,IF(ISNUMBER(BO233),BO233,100000)+CV233/10000+IF(ISNUMBER(BJ233),BJ233,2)/10000-P233/100000+ROW()/10000000,"")</f>
        <v>#N/A</v>
      </c>
      <c r="CI233" t="e">
        <f t="shared" ref="CI233:CI235" si="558">PRODUCT(CJ233:CQ233)</f>
        <v>#N/A</v>
      </c>
      <c r="CJ233" s="6" t="e">
        <f t="shared" ref="CJ233:CJ235" si="559">IF($E233=CJ$5,1,0)</f>
        <v>#N/A</v>
      </c>
      <c r="CK233" s="6">
        <f t="shared" ref="CK233:CK235" si="560">IF(CK$5="[Any]",1,IF($F233=CK$5,1,0))</f>
        <v>1</v>
      </c>
      <c r="CL233" s="6">
        <f t="shared" si="26"/>
        <v>1</v>
      </c>
      <c r="CM233" s="6">
        <f t="shared" ref="CM233:CM235" si="561">IF($O233="Fixed",1,0)</f>
        <v>0</v>
      </c>
      <c r="CN233" s="6">
        <f t="shared" ref="CN233:CN235" si="562">IF($Q233&gt;=CN$5,1,0)</f>
        <v>0</v>
      </c>
      <c r="CO233" s="6">
        <f t="shared" ref="CO233:CO235" si="563">IF($Q233&lt;=CO$5,1,0)</f>
        <v>1</v>
      </c>
      <c r="CP233" s="6">
        <f t="shared" ref="CP233:CP235" si="564">IF($P233&gt;=CP$5,1,0)</f>
        <v>1</v>
      </c>
      <c r="CQ233" s="6">
        <f t="shared" ref="CQ233:CQ235" si="565">IF(CQ$5="Any",1,IF(AND(CQ$5="Med",AV233=0,SUM(AN233:AQ233)=0),1,IF(AND(CQ$5="Low",AV233=0,SUM(AN233:AQ233)=0,AM233=0),1,IF(AND(CQ$5="Flat",AV233=0,SUM(AN233:AQ233)=0,AM233=0,IFERROR(NOT(BE233="Y"),0)),1,0))))</f>
        <v>1</v>
      </c>
      <c r="CR233" s="81" t="str">
        <f t="shared" ref="CR233:CR235" si="566">IF(ISNUMBER($CH233),$CH233+$CS233+$CW233,"")</f>
        <v/>
      </c>
      <c r="CS233">
        <f t="shared" ref="CS233:CS235" si="567">CS$5*(12/(MIN(12,Q233))-1)</f>
        <v>198</v>
      </c>
      <c r="CT233">
        <f t="shared" si="19"/>
        <v>0</v>
      </c>
      <c r="CU233" t="str">
        <f t="shared" si="29"/>
        <v/>
      </c>
      <c r="CV233" s="81">
        <f t="shared" ref="CV233:CV235" si="568">CT233*IF(CU233="",1,Q233)</f>
        <v>0</v>
      </c>
      <c r="CW233" s="81">
        <f>(CV233/25)^1.5*(Calculator!$BU$4/10000)*CW$5</f>
        <v>0</v>
      </c>
      <c r="CX233" t="str">
        <f t="shared" ref="CX233:CX235" si="569">"$"&amp;IF(LEFT(CU233,1)="r",CT233&amp;"/"&amp;CU233,CV233)</f>
        <v>$0</v>
      </c>
    </row>
    <row r="234" spans="2:102" x14ac:dyDescent="0.25">
      <c r="B234" s="115" t="s">
        <v>233</v>
      </c>
      <c r="C234" s="13">
        <v>46303.582638888889</v>
      </c>
      <c r="D234">
        <v>29230</v>
      </c>
      <c r="E234" s="54" t="s">
        <v>237</v>
      </c>
      <c r="F234" s="54" t="s">
        <v>551</v>
      </c>
      <c r="G234" s="54" t="s">
        <v>1502</v>
      </c>
      <c r="H234" s="55">
        <v>15.299999999999999</v>
      </c>
      <c r="I234" s="55">
        <v>14.299999999999999</v>
      </c>
      <c r="J234" s="55">
        <v>13.900000000000002</v>
      </c>
      <c r="K234" s="54"/>
      <c r="L234" s="56" t="b">
        <v>0</v>
      </c>
      <c r="M234" s="56" t="b">
        <v>0</v>
      </c>
      <c r="N234" s="54">
        <v>1</v>
      </c>
      <c r="O234" s="54" t="s">
        <v>228</v>
      </c>
      <c r="P234" s="54">
        <v>6</v>
      </c>
      <c r="Q234" s="54">
        <v>48</v>
      </c>
      <c r="R234" s="54">
        <v>0</v>
      </c>
      <c r="S234" s="54" t="s">
        <v>1464</v>
      </c>
      <c r="T234" s="54" t="s">
        <v>1465</v>
      </c>
      <c r="U234" s="54" t="s">
        <v>1460</v>
      </c>
      <c r="V234" s="54" t="s">
        <v>1466</v>
      </c>
      <c r="W234" s="54" t="b">
        <v>0</v>
      </c>
      <c r="X234" s="54"/>
      <c r="Y234" s="57" t="s">
        <v>1970</v>
      </c>
      <c r="Z234" s="54" t="s">
        <v>1467</v>
      </c>
      <c r="AA234" s="54"/>
      <c r="AB234" s="54" t="s">
        <v>1468</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6.5811999999999996E-2</v>
      </c>
      <c r="BC234" s="60"/>
      <c r="BD234" s="61"/>
      <c r="BE234" s="62" t="s">
        <v>293</v>
      </c>
      <c r="BF234" s="35">
        <f t="shared" si="550"/>
        <v>4.0600000000000005</v>
      </c>
      <c r="BG234" s="35">
        <f t="shared" si="550"/>
        <v>6.8672999999999998E-2</v>
      </c>
      <c r="BH234" s="35" t="str">
        <f t="shared" si="551"/>
        <v>Med</v>
      </c>
      <c r="BI234" s="110">
        <f t="shared" si="552"/>
        <v>0</v>
      </c>
      <c r="BJ234" s="83">
        <f>VLOOKUP($F234,REP_Info!$D$6:$H$250,5,FALSE)</f>
        <v>1.694</v>
      </c>
      <c r="BK234" s="30">
        <f t="shared" si="553"/>
        <v>15.250500000000001</v>
      </c>
      <c r="BL234" s="30">
        <f t="shared" si="553"/>
        <v>14.349500000000001</v>
      </c>
      <c r="BM234" s="30">
        <f t="shared" si="553"/>
        <v>13.898999999999999</v>
      </c>
      <c r="BN234" s="29">
        <f t="shared" si="553"/>
        <v>13.748833333333334</v>
      </c>
      <c r="BO234" s="85" t="str">
        <f t="shared" si="554"/>
        <v>$$$</v>
      </c>
      <c r="BP234" s="88" t="str">
        <f t="shared" si="555"/>
        <v>$$$</v>
      </c>
      <c r="BQ234" s="88" t="str">
        <f t="shared" ref="BQ234:BQ235" si="570">IFERROR(SUMPRODUCT($BS$7:$CD$7,$BS234:$CD234,--($BS$4:$CD$4&lt;=$Q234))/SUMPRODUCT(--($BS$4:$CD$4&lt;=$Q234),$BS$7:$CD$7),"$$$")</f>
        <v>$$$</v>
      </c>
      <c r="BR234" s="88" t="str">
        <f t="shared" ref="BR234:BR235" si="571">IFERROR($BQ234-$BF234*100*SUMPRODUCT(--($BS$4:$CD$4&lt;=$Q234))/SUMPRODUCT(--($BS$4:$CD$4&lt;=$Q234),$BS$7:$CD$7)-$BG234*100,"$$$")</f>
        <v>$$$</v>
      </c>
      <c r="BS234" s="29" t="e">
        <f t="shared" si="556"/>
        <v>#N/A</v>
      </c>
      <c r="BT234" s="29" t="e">
        <f t="shared" si="556"/>
        <v>#N/A</v>
      </c>
      <c r="BU234" s="29" t="e">
        <f t="shared" si="556"/>
        <v>#N/A</v>
      </c>
      <c r="BV234" s="29" t="e">
        <f t="shared" si="556"/>
        <v>#N/A</v>
      </c>
      <c r="BW234" s="29" t="e">
        <f t="shared" si="556"/>
        <v>#N/A</v>
      </c>
      <c r="BX234" s="29" t="e">
        <f t="shared" si="556"/>
        <v>#N/A</v>
      </c>
      <c r="BY234" s="29" t="e">
        <f t="shared" si="556"/>
        <v>#N/A</v>
      </c>
      <c r="BZ234" s="29" t="e">
        <f t="shared" si="556"/>
        <v>#N/A</v>
      </c>
      <c r="CA234" s="29" t="e">
        <f t="shared" si="556"/>
        <v>#N/A</v>
      </c>
      <c r="CB234" s="29" t="e">
        <f t="shared" si="556"/>
        <v>#N/A</v>
      </c>
      <c r="CC234" s="29" t="e">
        <f t="shared" si="556"/>
        <v>#N/A</v>
      </c>
      <c r="CD234" s="29" t="e">
        <f t="shared" si="556"/>
        <v>#N/A</v>
      </c>
      <c r="CE234" s="6" t="str">
        <f t="shared" si="452"/>
        <v/>
      </c>
      <c r="CF234" s="27" t="e">
        <f>IF(AND(CI234,NOT(AD234)),LOOKUP(CF$5,{0,750,1500},H234:J234),"")</f>
        <v>#N/A</v>
      </c>
      <c r="CG234" s="6" t="str">
        <f t="shared" si="453"/>
        <v/>
      </c>
      <c r="CH234" t="e">
        <f t="shared" si="557"/>
        <v>#N/A</v>
      </c>
      <c r="CI234" t="e">
        <f t="shared" si="558"/>
        <v>#N/A</v>
      </c>
      <c r="CJ234" s="6" t="e">
        <f t="shared" si="559"/>
        <v>#N/A</v>
      </c>
      <c r="CK234" s="6">
        <f t="shared" si="560"/>
        <v>1</v>
      </c>
      <c r="CL234" s="6">
        <f t="shared" si="26"/>
        <v>1</v>
      </c>
      <c r="CM234" s="6">
        <f t="shared" si="561"/>
        <v>1</v>
      </c>
      <c r="CN234" s="6">
        <f t="shared" si="562"/>
        <v>1</v>
      </c>
      <c r="CO234" s="6">
        <f t="shared" si="563"/>
        <v>0</v>
      </c>
      <c r="CP234" s="6">
        <f t="shared" si="564"/>
        <v>1</v>
      </c>
      <c r="CQ234" s="6">
        <f t="shared" si="565"/>
        <v>1</v>
      </c>
      <c r="CR234" s="81" t="str">
        <f t="shared" si="566"/>
        <v/>
      </c>
      <c r="CS234">
        <f t="shared" si="567"/>
        <v>0</v>
      </c>
      <c r="CT234">
        <f t="shared" si="19"/>
        <v>0</v>
      </c>
      <c r="CU234" t="str">
        <f t="shared" si="29"/>
        <v/>
      </c>
      <c r="CV234" s="81">
        <f t="shared" si="568"/>
        <v>0</v>
      </c>
      <c r="CW234" s="81">
        <f>(CV234/25)^1.5*(Calculator!$BU$4/10000)*CW$5</f>
        <v>0</v>
      </c>
      <c r="CX234" t="str">
        <f t="shared" si="569"/>
        <v>$0</v>
      </c>
    </row>
    <row r="235" spans="2:102" x14ac:dyDescent="0.25">
      <c r="B235" s="115" t="s">
        <v>233</v>
      </c>
      <c r="C235" s="13">
        <v>46296.854166666664</v>
      </c>
      <c r="D235">
        <v>29255</v>
      </c>
      <c r="E235" s="54" t="s">
        <v>235</v>
      </c>
      <c r="F235" s="54" t="s">
        <v>551</v>
      </c>
      <c r="G235" s="54" t="s">
        <v>1502</v>
      </c>
      <c r="H235" s="55">
        <v>15.299999999999999</v>
      </c>
      <c r="I235" s="55">
        <v>14.299999999999999</v>
      </c>
      <c r="J235" s="55">
        <v>13.900000000000002</v>
      </c>
      <c r="K235" s="54"/>
      <c r="L235" s="56" t="b">
        <v>0</v>
      </c>
      <c r="M235" s="56" t="b">
        <v>0</v>
      </c>
      <c r="N235" s="54">
        <v>1</v>
      </c>
      <c r="O235" s="54" t="s">
        <v>228</v>
      </c>
      <c r="P235" s="54">
        <v>6</v>
      </c>
      <c r="Q235" s="54">
        <v>48</v>
      </c>
      <c r="R235" s="54">
        <v>0</v>
      </c>
      <c r="S235" s="54" t="s">
        <v>1464</v>
      </c>
      <c r="T235" s="54" t="s">
        <v>1465</v>
      </c>
      <c r="U235" s="54" t="s">
        <v>1460</v>
      </c>
      <c r="V235" s="54" t="s">
        <v>1466</v>
      </c>
      <c r="W235" s="54" t="b">
        <v>0</v>
      </c>
      <c r="X235" s="54"/>
      <c r="Y235" s="57" t="s">
        <v>1875</v>
      </c>
      <c r="Z235" s="54" t="s">
        <v>1467</v>
      </c>
      <c r="AA235" s="54"/>
      <c r="AB235" s="54" t="s">
        <v>1468</v>
      </c>
      <c r="AC235" s="56" t="b">
        <v>0</v>
      </c>
      <c r="AD235" s="56" t="b">
        <v>0</v>
      </c>
      <c r="AE235" s="54" t="s">
        <v>302</v>
      </c>
      <c r="AF235" s="58">
        <v>46296</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6.8311999999999998E-2</v>
      </c>
      <c r="BC235" s="60"/>
      <c r="BD235" s="61"/>
      <c r="BE235" s="62" t="s">
        <v>293</v>
      </c>
      <c r="BF235" s="35">
        <f t="shared" si="550"/>
        <v>4.9000000000000004</v>
      </c>
      <c r="BG235" s="35">
        <f t="shared" si="550"/>
        <v>6.5333000000000002E-2</v>
      </c>
      <c r="BH235" s="35" t="str">
        <f t="shared" si="551"/>
        <v>Med</v>
      </c>
      <c r="BI235" s="110">
        <f t="shared" si="552"/>
        <v>0</v>
      </c>
      <c r="BJ235" s="83">
        <f>VLOOKUP($F235,REP_Info!$D$6:$H$250,5,FALSE)</f>
        <v>1.694</v>
      </c>
      <c r="BK235" s="30">
        <f t="shared" si="553"/>
        <v>15.3345</v>
      </c>
      <c r="BL235" s="30">
        <f t="shared" si="553"/>
        <v>14.349500000000001</v>
      </c>
      <c r="BM235" s="30">
        <f t="shared" si="553"/>
        <v>13.856999999999999</v>
      </c>
      <c r="BN235" s="29">
        <f t="shared" si="553"/>
        <v>13.692833333333333</v>
      </c>
      <c r="BO235" s="85" t="str">
        <f t="shared" si="554"/>
        <v>$$$</v>
      </c>
      <c r="BP235" s="88" t="str">
        <f t="shared" si="555"/>
        <v>$$$</v>
      </c>
      <c r="BQ235" s="88" t="str">
        <f t="shared" si="570"/>
        <v>$$$</v>
      </c>
      <c r="BR235" s="88" t="str">
        <f t="shared" si="571"/>
        <v>$$$</v>
      </c>
      <c r="BS235" s="29" t="e">
        <f t="shared" si="556"/>
        <v>#N/A</v>
      </c>
      <c r="BT235" s="29" t="e">
        <f t="shared" si="556"/>
        <v>#N/A</v>
      </c>
      <c r="BU235" s="29" t="e">
        <f t="shared" si="556"/>
        <v>#N/A</v>
      </c>
      <c r="BV235" s="29" t="e">
        <f t="shared" si="556"/>
        <v>#N/A</v>
      </c>
      <c r="BW235" s="29" t="e">
        <f t="shared" si="556"/>
        <v>#N/A</v>
      </c>
      <c r="BX235" s="29" t="e">
        <f t="shared" si="556"/>
        <v>#N/A</v>
      </c>
      <c r="BY235" s="29" t="e">
        <f t="shared" si="556"/>
        <v>#N/A</v>
      </c>
      <c r="BZ235" s="29" t="e">
        <f t="shared" si="556"/>
        <v>#N/A</v>
      </c>
      <c r="CA235" s="29" t="e">
        <f t="shared" si="556"/>
        <v>#N/A</v>
      </c>
      <c r="CB235" s="29" t="e">
        <f t="shared" si="556"/>
        <v>#N/A</v>
      </c>
      <c r="CC235" s="29" t="e">
        <f t="shared" si="556"/>
        <v>#N/A</v>
      </c>
      <c r="CD235" s="29" t="e">
        <f t="shared" si="556"/>
        <v>#N/A</v>
      </c>
      <c r="CE235" s="6" t="str">
        <f t="shared" si="452"/>
        <v/>
      </c>
      <c r="CF235" s="27" t="e">
        <f>IF(AND(CI235,NOT(AD235)),LOOKUP(CF$5,{0,750,1500},H235:J235),"")</f>
        <v>#N/A</v>
      </c>
      <c r="CG235" s="6" t="str">
        <f t="shared" si="453"/>
        <v/>
      </c>
      <c r="CH235" t="e">
        <f t="shared" si="557"/>
        <v>#N/A</v>
      </c>
      <c r="CI235" t="e">
        <f t="shared" si="558"/>
        <v>#N/A</v>
      </c>
      <c r="CJ235" s="6" t="e">
        <f t="shared" si="559"/>
        <v>#N/A</v>
      </c>
      <c r="CK235" s="6">
        <f t="shared" si="560"/>
        <v>1</v>
      </c>
      <c r="CL235" s="6">
        <f t="shared" si="26"/>
        <v>1</v>
      </c>
      <c r="CM235" s="6">
        <f t="shared" si="561"/>
        <v>1</v>
      </c>
      <c r="CN235" s="6">
        <f t="shared" si="562"/>
        <v>1</v>
      </c>
      <c r="CO235" s="6">
        <f t="shared" si="563"/>
        <v>0</v>
      </c>
      <c r="CP235" s="6">
        <f t="shared" si="564"/>
        <v>1</v>
      </c>
      <c r="CQ235" s="6">
        <f t="shared" si="565"/>
        <v>1</v>
      </c>
      <c r="CR235" s="81" t="str">
        <f t="shared" si="566"/>
        <v/>
      </c>
      <c r="CS235">
        <f t="shared" si="567"/>
        <v>0</v>
      </c>
      <c r="CT235">
        <f t="shared" si="19"/>
        <v>0</v>
      </c>
      <c r="CU235" t="str">
        <f t="shared" si="29"/>
        <v/>
      </c>
      <c r="CV235" s="81">
        <f t="shared" si="568"/>
        <v>0</v>
      </c>
      <c r="CW235" s="81">
        <f>(CV235/25)^1.5*(Calculator!$BU$4/10000)*CW$5</f>
        <v>0</v>
      </c>
      <c r="CX235" t="str">
        <f t="shared" si="569"/>
        <v>$0</v>
      </c>
    </row>
    <row r="236" spans="2:102" x14ac:dyDescent="0.25">
      <c r="B236" s="115" t="s">
        <v>233</v>
      </c>
      <c r="C236" s="13">
        <v>46317.620833333334</v>
      </c>
      <c r="D236">
        <v>29265</v>
      </c>
      <c r="E236" s="54" t="s">
        <v>237</v>
      </c>
      <c r="F236" s="54" t="s">
        <v>551</v>
      </c>
      <c r="G236" s="54" t="s">
        <v>1971</v>
      </c>
      <c r="H236" s="55">
        <v>13</v>
      </c>
      <c r="I236" s="55">
        <v>12.1</v>
      </c>
      <c r="J236" s="55">
        <v>11.600000000000001</v>
      </c>
      <c r="K236" s="54"/>
      <c r="L236" s="56" t="b">
        <v>0</v>
      </c>
      <c r="M236" s="56" t="b">
        <v>0</v>
      </c>
      <c r="N236" s="54">
        <v>1</v>
      </c>
      <c r="O236" s="54" t="s">
        <v>228</v>
      </c>
      <c r="P236" s="54">
        <v>6</v>
      </c>
      <c r="Q236" s="54">
        <v>8</v>
      </c>
      <c r="R236" s="54">
        <v>99</v>
      </c>
      <c r="S236" s="54" t="s">
        <v>1799</v>
      </c>
      <c r="T236" s="54"/>
      <c r="U236" s="54" t="s">
        <v>1460</v>
      </c>
      <c r="V236" s="54" t="s">
        <v>1466</v>
      </c>
      <c r="W236" s="54" t="b">
        <v>0</v>
      </c>
      <c r="X236" s="54"/>
      <c r="Y236" s="57" t="s">
        <v>2222</v>
      </c>
      <c r="Z236" s="54" t="s">
        <v>1467</v>
      </c>
      <c r="AA236" s="54"/>
      <c r="AB236" s="54" t="s">
        <v>1468</v>
      </c>
      <c r="AC236" s="56" t="b">
        <v>0</v>
      </c>
      <c r="AD236" s="56" t="b">
        <v>0</v>
      </c>
      <c r="AE236" s="54" t="s">
        <v>302</v>
      </c>
      <c r="AF236" s="58">
        <v>46316</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4.3152000000000003E-2</v>
      </c>
      <c r="BC236" s="60"/>
      <c r="BD236" s="61"/>
      <c r="BE236" s="62" t="s">
        <v>293</v>
      </c>
      <c r="BF236" s="35">
        <f t="shared" ref="BF236:BG236" si="572">IF($E236=$E$4,BF$4,IF($E236=$E$5,BF$5,""))</f>
        <v>4.0600000000000005</v>
      </c>
      <c r="BG236" s="35">
        <f t="shared" si="572"/>
        <v>6.8672999999999998E-2</v>
      </c>
      <c r="BH236" s="35" t="str">
        <f t="shared" ref="BH236" si="573">IF(ISTEXT(BE236),IF(AND(AV236=0,SUM(AN236:AQ236)=0),IF(AM236&lt;=0,IF(BE236="Y","Low","Flat"),"Med"),"High"),"?")</f>
        <v>Med</v>
      </c>
      <c r="BI236" s="110">
        <f t="shared" ref="BI236" si="574">IF(ISNUMBER(AH236),0*BI$5*SIN((EDATE($A$3,$Q236)-DATE(YEAR(EDATE($A$3,$Q236)),1,0)-BI$4)*2*PI()/365),"")</f>
        <v>0</v>
      </c>
      <c r="BJ236" s="83">
        <f>VLOOKUP($F236,REP_Info!$D$6:$H$250,5,FALSE)</f>
        <v>1.694</v>
      </c>
      <c r="BK236" s="30">
        <f t="shared" ref="BK236:BN236" si="575">IF(BK$7&gt;0,(LOOKUP(BK$7,$AH236:$AL236,$AM236:$AQ236)+IF($AG236="Y",SUMPRODUCT($AX236:$BB236-$AW236:$BA236,BK$7-$AR236:$AV236,N(BK$7&gt;$AR236:$AV236)),BK$7*LOOKUP(BK$7,$AR236:$AV236,$AX236:$BB236))+IF($BE236="Y",$BF236,$BC236)+BK$7*IF($BE236="Y",$BG236,$BD236))*100/BK$7,"")</f>
        <v>12.984500000000001</v>
      </c>
      <c r="BL236" s="30">
        <f t="shared" si="575"/>
        <v>12.083500000000001</v>
      </c>
      <c r="BM236" s="30">
        <f t="shared" si="575"/>
        <v>11.633000000000003</v>
      </c>
      <c r="BN236" s="29">
        <f t="shared" si="575"/>
        <v>11.482833333333334</v>
      </c>
      <c r="BO236" s="85" t="str">
        <f t="shared" ref="BO236" si="576">IFERROR(SUMPRODUCT($BS$7:$CD$7,$BS236:$CD236)/100,"$$$")</f>
        <v>$$$</v>
      </c>
      <c r="BP236" s="88" t="str">
        <f t="shared" ref="BP236" si="577">IFERROR(BO236*100/BO$5,"$$$")</f>
        <v>$$$</v>
      </c>
      <c r="BQ236" s="88" t="str">
        <f t="shared" si="4"/>
        <v>$$$</v>
      </c>
      <c r="BR236" s="88" t="str">
        <f t="shared" si="5"/>
        <v>$$$</v>
      </c>
      <c r="BS236" s="29" t="e">
        <f t="shared" ref="BS236:CD236" si="578">IF($CI236,IF(BS$7&gt;0,IF(BS$4&gt;$Q236,$BF236+BS$7*(BS$5+$BG236+$BI236),LOOKUP(BS$7,$AH236:$AL236,$AM236:$AQ236)+IF($AG236="Y",SUMPRODUCT($AX236:$BB236-$AW236:$BA236,BS$7-$AR236:$AV236,N(BS$7&gt;$AR236:$AV236)),BS$7*LOOKUP(BS$7,$AR236:$AV236,$AX236:$BB236))+IF($BE236="Y",$BF236,$BC236)+BS$7*IF($BE236="Y",$BG236,$BD236))*100/BS$7,""),NA())</f>
        <v>#N/A</v>
      </c>
      <c r="BT236" s="29" t="e">
        <f t="shared" si="578"/>
        <v>#N/A</v>
      </c>
      <c r="BU236" s="29" t="e">
        <f t="shared" si="578"/>
        <v>#N/A</v>
      </c>
      <c r="BV236" s="29" t="e">
        <f t="shared" si="578"/>
        <v>#N/A</v>
      </c>
      <c r="BW236" s="29" t="e">
        <f t="shared" si="578"/>
        <v>#N/A</v>
      </c>
      <c r="BX236" s="29" t="e">
        <f t="shared" si="578"/>
        <v>#N/A</v>
      </c>
      <c r="BY236" s="29" t="e">
        <f t="shared" si="578"/>
        <v>#N/A</v>
      </c>
      <c r="BZ236" s="29" t="e">
        <f t="shared" si="578"/>
        <v>#N/A</v>
      </c>
      <c r="CA236" s="29" t="e">
        <f t="shared" si="578"/>
        <v>#N/A</v>
      </c>
      <c r="CB236" s="29" t="e">
        <f t="shared" si="578"/>
        <v>#N/A</v>
      </c>
      <c r="CC236" s="29" t="e">
        <f t="shared" si="578"/>
        <v>#N/A</v>
      </c>
      <c r="CD236" s="29" t="e">
        <f t="shared" si="578"/>
        <v>#N/A</v>
      </c>
      <c r="CE236" s="6" t="str">
        <f t="shared" si="452"/>
        <v/>
      </c>
      <c r="CF236" s="27" t="e">
        <f>IF(AND(CI236,NOT(AD236)),LOOKUP(CF$5,{0,750,1500},H236:J236),"")</f>
        <v>#N/A</v>
      </c>
      <c r="CG236" s="6" t="str">
        <f t="shared" si="453"/>
        <v/>
      </c>
      <c r="CH236" t="e">
        <f t="shared" ref="CH236" si="579">IF(CI236,IF(ISNUMBER(BO236),BO236,100000)+CV236/10000+IF(ISNUMBER(BJ236),BJ236,2)/10000-P236/100000+ROW()/10000000,"")</f>
        <v>#N/A</v>
      </c>
      <c r="CI236" t="e">
        <f t="shared" ref="CI236" si="580">PRODUCT(CJ236:CQ236)</f>
        <v>#N/A</v>
      </c>
      <c r="CJ236" s="6" t="e">
        <f t="shared" ref="CJ236" si="581">IF($E236=CJ$5,1,0)</f>
        <v>#N/A</v>
      </c>
      <c r="CK236" s="6">
        <f t="shared" ref="CK236" si="582">IF(CK$5="[Any]",1,IF($F236=CK$5,1,0))</f>
        <v>1</v>
      </c>
      <c r="CL236" s="6">
        <f t="shared" si="26"/>
        <v>1</v>
      </c>
      <c r="CM236" s="6">
        <f t="shared" ref="CM236" si="583">IF($O236="Fixed",1,0)</f>
        <v>1</v>
      </c>
      <c r="CN236" s="6">
        <f t="shared" ref="CN236" si="584">IF($Q236&gt;=CN$5,1,0)</f>
        <v>0</v>
      </c>
      <c r="CO236" s="6">
        <f t="shared" ref="CO236" si="585">IF($Q236&lt;=CO$5,1,0)</f>
        <v>1</v>
      </c>
      <c r="CP236" s="6">
        <f t="shared" ref="CP236" si="586">IF($P236&gt;=CP$5,1,0)</f>
        <v>1</v>
      </c>
      <c r="CQ236" s="6">
        <f t="shared" ref="CQ236" si="587">IF(CQ$5="Any",1,IF(AND(CQ$5="Med",AV236=0,SUM(AN236:AQ236)=0),1,IF(AND(CQ$5="Low",AV236=0,SUM(AN236:AQ236)=0,AM236=0),1,IF(AND(CQ$5="Flat",AV236=0,SUM(AN236:AQ236)=0,AM236=0,IFERROR(NOT(BE236="Y"),0)),1,0))))</f>
        <v>1</v>
      </c>
      <c r="CR236" s="81" t="str">
        <f t="shared" ref="CR236" si="588">IF(ISNUMBER($CH236),$CH236+$CS236+$CW236,"")</f>
        <v/>
      </c>
      <c r="CS236">
        <f t="shared" ref="CS236" si="589">CS$5*(12/(MIN(12,Q236))-1)</f>
        <v>9</v>
      </c>
      <c r="CT236">
        <f t="shared" si="19"/>
        <v>99</v>
      </c>
      <c r="CU236" t="str">
        <f t="shared" si="29"/>
        <v/>
      </c>
      <c r="CV236" s="81">
        <f t="shared" ref="CV236" si="590">CT236*IF(CU236="",1,Q236)</f>
        <v>99</v>
      </c>
      <c r="CW236" s="81">
        <f>(CV236/25)^1.5*(Calculator!$BU$4/10000)*CW$5</f>
        <v>4.0981975578080165</v>
      </c>
      <c r="CX236" t="str">
        <f t="shared" ref="CX236" si="591">"$"&amp;IF(LEFT(CU236,1)="r",CT236&amp;"/"&amp;CU236,CV236)</f>
        <v>$99</v>
      </c>
    </row>
    <row r="237" spans="2:102" x14ac:dyDescent="0.25">
      <c r="B237" s="115" t="s">
        <v>233</v>
      </c>
      <c r="C237" s="13">
        <v>46317.620833333334</v>
      </c>
      <c r="D237">
        <v>29268</v>
      </c>
      <c r="E237" s="54" t="s">
        <v>235</v>
      </c>
      <c r="F237" s="54" t="s">
        <v>551</v>
      </c>
      <c r="G237" s="54" t="s">
        <v>1971</v>
      </c>
      <c r="H237" s="55">
        <v>12.8</v>
      </c>
      <c r="I237" s="55">
        <v>11.799999999999999</v>
      </c>
      <c r="J237" s="55">
        <v>11.3</v>
      </c>
      <c r="K237" s="54"/>
      <c r="L237" s="56" t="b">
        <v>0</v>
      </c>
      <c r="M237" s="56" t="b">
        <v>0</v>
      </c>
      <c r="N237" s="54">
        <v>1</v>
      </c>
      <c r="O237" s="54" t="s">
        <v>228</v>
      </c>
      <c r="P237" s="54">
        <v>6</v>
      </c>
      <c r="Q237" s="54">
        <v>8</v>
      </c>
      <c r="R237" s="54">
        <v>99</v>
      </c>
      <c r="S237" s="54" t="s">
        <v>1464</v>
      </c>
      <c r="T237" s="54"/>
      <c r="U237" s="54" t="s">
        <v>1460</v>
      </c>
      <c r="V237" s="54" t="s">
        <v>1466</v>
      </c>
      <c r="W237" s="54" t="b">
        <v>0</v>
      </c>
      <c r="X237" s="54"/>
      <c r="Y237" s="57" t="s">
        <v>2223</v>
      </c>
      <c r="Z237" s="54" t="s">
        <v>1467</v>
      </c>
      <c r="AA237" s="54"/>
      <c r="AB237" s="54" t="s">
        <v>1468</v>
      </c>
      <c r="AC237" s="56" t="b">
        <v>0</v>
      </c>
      <c r="AD237" s="56" t="b">
        <v>0</v>
      </c>
      <c r="AE237" s="54" t="s">
        <v>302</v>
      </c>
      <c r="AF237" s="58">
        <v>46316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4.2770000000000002E-2</v>
      </c>
      <c r="BC237" s="60"/>
      <c r="BD237" s="61"/>
      <c r="BE237" s="62" t="s">
        <v>293</v>
      </c>
      <c r="BF237" s="35">
        <f t="shared" ref="BF237:BG244" si="592">IF($E237=$E$4,BF$4,IF($E237=$E$5,BF$5,""))</f>
        <v>4.9000000000000004</v>
      </c>
      <c r="BG237" s="35">
        <f t="shared" si="592"/>
        <v>6.5333000000000002E-2</v>
      </c>
      <c r="BH237" s="35" t="str">
        <f t="shared" ref="BH237:BH244" si="593">IF(ISTEXT(BE237),IF(AND(AV237=0,SUM(AN237:AQ237)=0),IF(AM237&lt;=0,IF(BE237="Y","Low","Flat"),"Med"),"High"),"?")</f>
        <v>Med</v>
      </c>
      <c r="BI237" s="110">
        <f t="shared" ref="BI237:BI244" si="594">IF(ISNUMBER(AH237),0*BI$5*SIN((EDATE($A$3,$Q237)-DATE(YEAR(EDATE($A$3,$Q237)),1,0)-BI$4)*2*PI()/365),"")</f>
        <v>0</v>
      </c>
      <c r="BJ237" s="83">
        <f>VLOOKUP($F237,REP_Info!$D$6:$H$250,5,FALSE)</f>
        <v>1.694</v>
      </c>
      <c r="BK237" s="30">
        <f t="shared" ref="BK237:BN244" si="595">IF(BK$7&gt;0,(LOOKUP(BK$7,$AH237:$AL237,$AM237:$AQ237)+IF($AG237="Y",SUMPRODUCT($AX237:$BB237-$AW237:$BA237,BK$7-$AR237:$AV237,N(BK$7&gt;$AR237:$AV237)),BK$7*LOOKUP(BK$7,$AR237:$AV237,$AX237:$BB237))+IF($BE237="Y",$BF237,$BC237)+BK$7*IF($BE237="Y",$BG237,$BD237))*100/BK$7,"")</f>
        <v>12.780299999999999</v>
      </c>
      <c r="BL237" s="30">
        <f t="shared" si="595"/>
        <v>11.795300000000001</v>
      </c>
      <c r="BM237" s="30">
        <f t="shared" si="595"/>
        <v>11.302800000000001</v>
      </c>
      <c r="BN237" s="29">
        <f t="shared" si="595"/>
        <v>11.138633333333333</v>
      </c>
      <c r="BO237" s="85" t="str">
        <f t="shared" si="2"/>
        <v>$$$</v>
      </c>
      <c r="BP237" s="88" t="str">
        <f t="shared" ref="BP237:BP244" si="596">IFERROR(BO237*100/BO$5,"$$$")</f>
        <v>$$$</v>
      </c>
      <c r="BQ237" s="88" t="str">
        <f t="shared" si="4"/>
        <v>$$$</v>
      </c>
      <c r="BR237" s="88" t="str">
        <f t="shared" si="5"/>
        <v>$$$</v>
      </c>
      <c r="BS237" s="29" t="e">
        <f t="shared" ref="BS237:CD244" si="597">IF($CI237,IF(BS$7&gt;0,IF(BS$4&gt;$Q237,$BF237+BS$7*(BS$5+$BG237+$BI237),LOOKUP(BS$7,$AH237:$AL237,$AM237:$AQ237)+IF($AG237="Y",SUMPRODUCT($AX237:$BB237-$AW237:$BA237,BS$7-$AR237:$AV237,N(BS$7&gt;$AR237:$AV237)),BS$7*LOOKUP(BS$7,$AR237:$AV237,$AX237:$BB237))+IF($BE237="Y",$BF237,$BC237)+BS$7*IF($BE237="Y",$BG237,$BD237))*100/BS$7,""),NA())</f>
        <v>#N/A</v>
      </c>
      <c r="BT237" s="29" t="e">
        <f t="shared" si="597"/>
        <v>#N/A</v>
      </c>
      <c r="BU237" s="29" t="e">
        <f t="shared" si="597"/>
        <v>#N/A</v>
      </c>
      <c r="BV237" s="29" t="e">
        <f t="shared" si="597"/>
        <v>#N/A</v>
      </c>
      <c r="BW237" s="29" t="e">
        <f t="shared" si="597"/>
        <v>#N/A</v>
      </c>
      <c r="BX237" s="29" t="e">
        <f t="shared" si="597"/>
        <v>#N/A</v>
      </c>
      <c r="BY237" s="29" t="e">
        <f t="shared" si="597"/>
        <v>#N/A</v>
      </c>
      <c r="BZ237" s="29" t="e">
        <f t="shared" si="597"/>
        <v>#N/A</v>
      </c>
      <c r="CA237" s="29" t="e">
        <f t="shared" si="597"/>
        <v>#N/A</v>
      </c>
      <c r="CB237" s="29" t="e">
        <f t="shared" si="597"/>
        <v>#N/A</v>
      </c>
      <c r="CC237" s="29" t="e">
        <f t="shared" si="597"/>
        <v>#N/A</v>
      </c>
      <c r="CD237" s="29" t="e">
        <f t="shared" si="597"/>
        <v>#N/A</v>
      </c>
      <c r="CE237" s="6" t="str">
        <f t="shared" si="452"/>
        <v/>
      </c>
      <c r="CF237" s="27" t="e">
        <f>IF(AND(CI237,NOT(AD237)),LOOKUP(CF$5,{0,750,1500},H237:J237),"")</f>
        <v>#N/A</v>
      </c>
      <c r="CG237" s="6" t="str">
        <f t="shared" si="453"/>
        <v/>
      </c>
      <c r="CH237" t="e">
        <f t="shared" ref="CH237:CH244" si="598">IF(CI237,IF(ISNUMBER(BO237),BO237,100000)+CV237/10000+IF(ISNUMBER(BJ237),BJ237,2)/10000-P237/100000+ROW()/10000000,"")</f>
        <v>#N/A</v>
      </c>
      <c r="CI237" t="e">
        <f t="shared" ref="CI237:CI244" si="599">PRODUCT(CJ237:CQ237)</f>
        <v>#N/A</v>
      </c>
      <c r="CJ237" s="6" t="e">
        <f t="shared" si="11"/>
        <v>#N/A</v>
      </c>
      <c r="CK237" s="6">
        <f t="shared" si="12"/>
        <v>1</v>
      </c>
      <c r="CL237" s="6">
        <f t="shared" si="26"/>
        <v>1</v>
      </c>
      <c r="CM237" s="6">
        <f t="shared" si="13"/>
        <v>1</v>
      </c>
      <c r="CN237" s="6">
        <f t="shared" si="14"/>
        <v>0</v>
      </c>
      <c r="CO237" s="6">
        <f t="shared" si="15"/>
        <v>1</v>
      </c>
      <c r="CP237" s="6">
        <f t="shared" si="16"/>
        <v>1</v>
      </c>
      <c r="CQ237" s="6">
        <f t="shared" ref="CQ237:CQ244" si="600">IF(CQ$5="Any",1,IF(AND(CQ$5="Med",AV237=0,SUM(AN237:AQ237)=0),1,IF(AND(CQ$5="Low",AV237=0,SUM(AN237:AQ237)=0,AM237=0),1,IF(AND(CQ$5="Flat",AV237=0,SUM(AN237:AQ237)=0,AM237=0,IFERROR(NOT(BE237="Y"),0)),1,0))))</f>
        <v>1</v>
      </c>
      <c r="CR237" s="81" t="str">
        <f t="shared" si="17"/>
        <v/>
      </c>
      <c r="CS237">
        <f t="shared" ref="CS237:CS244" si="601">CS$5*(12/(MIN(12,Q237))-1)</f>
        <v>9</v>
      </c>
      <c r="CT237">
        <f t="shared" si="19"/>
        <v>99</v>
      </c>
      <c r="CU237" t="str">
        <f t="shared" si="29"/>
        <v/>
      </c>
      <c r="CV237" s="81">
        <f t="shared" ref="CV237:CV244" si="602">CT237*IF(CU237="",1,Q237)</f>
        <v>99</v>
      </c>
      <c r="CW237" s="81">
        <f>(CV237/25)^1.5*(Calculator!$BU$4/10000)*CW$5</f>
        <v>4.0981975578080165</v>
      </c>
      <c r="CX237" t="str">
        <f t="shared" ref="CX237:CX244" si="603">"$"&amp;IF(LEFT(CU237,1)="r",CT237&amp;"/"&amp;CU237,CV237)</f>
        <v>$99</v>
      </c>
    </row>
    <row r="238" spans="2:102" x14ac:dyDescent="0.25">
      <c r="B238" s="115" t="s">
        <v>233</v>
      </c>
      <c r="C238" s="13">
        <v>46317.620833333334</v>
      </c>
      <c r="D238">
        <v>29277</v>
      </c>
      <c r="E238" s="54" t="s">
        <v>237</v>
      </c>
      <c r="F238" s="54" t="s">
        <v>551</v>
      </c>
      <c r="G238" s="54" t="s">
        <v>1482</v>
      </c>
      <c r="H238" s="55">
        <v>13.600000000000001</v>
      </c>
      <c r="I238" s="55">
        <v>12.7</v>
      </c>
      <c r="J238" s="55">
        <v>12.2</v>
      </c>
      <c r="K238" s="54"/>
      <c r="L238" s="56" t="b">
        <v>0</v>
      </c>
      <c r="M238" s="56" t="b">
        <v>0</v>
      </c>
      <c r="N238" s="54">
        <v>1</v>
      </c>
      <c r="O238" s="54" t="s">
        <v>228</v>
      </c>
      <c r="P238" s="54">
        <v>6</v>
      </c>
      <c r="Q238" s="54">
        <v>12</v>
      </c>
      <c r="R238" s="54">
        <v>179</v>
      </c>
      <c r="S238" s="54" t="s">
        <v>1464</v>
      </c>
      <c r="T238" s="54"/>
      <c r="U238" s="54" t="s">
        <v>1460</v>
      </c>
      <c r="V238" s="54" t="s">
        <v>1466</v>
      </c>
      <c r="W238" s="54" t="b">
        <v>0</v>
      </c>
      <c r="X238" s="54"/>
      <c r="Y238" s="57" t="s">
        <v>2224</v>
      </c>
      <c r="Z238" s="54" t="s">
        <v>1467</v>
      </c>
      <c r="AA238" s="54"/>
      <c r="AB238" s="54" t="s">
        <v>1468</v>
      </c>
      <c r="AC238" s="56" t="b">
        <v>0</v>
      </c>
      <c r="AD238" s="56" t="b">
        <v>0</v>
      </c>
      <c r="AE238" s="54" t="s">
        <v>302</v>
      </c>
      <c r="AF238" s="58">
        <v>46316</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4.9044999999999998E-2</v>
      </c>
      <c r="BC238" s="60"/>
      <c r="BD238" s="61"/>
      <c r="BE238" s="62" t="s">
        <v>293</v>
      </c>
      <c r="BF238" s="35">
        <f t="shared" si="592"/>
        <v>4.0600000000000005</v>
      </c>
      <c r="BG238" s="35">
        <f t="shared" si="592"/>
        <v>6.8672999999999998E-2</v>
      </c>
      <c r="BH238" s="35" t="str">
        <f t="shared" si="593"/>
        <v>Med</v>
      </c>
      <c r="BI238" s="110">
        <f t="shared" si="594"/>
        <v>0</v>
      </c>
      <c r="BJ238" s="83">
        <f>VLOOKUP($F238,REP_Info!$D$6:$H$250,5,FALSE)</f>
        <v>1.694</v>
      </c>
      <c r="BK238" s="30">
        <f t="shared" si="595"/>
        <v>13.573799999999999</v>
      </c>
      <c r="BL238" s="30">
        <f t="shared" si="595"/>
        <v>12.672800000000001</v>
      </c>
      <c r="BM238" s="30">
        <f t="shared" si="595"/>
        <v>12.222300000000001</v>
      </c>
      <c r="BN238" s="29">
        <f t="shared" si="595"/>
        <v>12.072133333333333</v>
      </c>
      <c r="BO238" s="85" t="str">
        <f t="shared" si="2"/>
        <v>$$$</v>
      </c>
      <c r="BP238" s="88" t="str">
        <f t="shared" si="596"/>
        <v>$$$</v>
      </c>
      <c r="BQ238" s="88" t="str">
        <f t="shared" si="4"/>
        <v>$$$</v>
      </c>
      <c r="BR238" s="88" t="str">
        <f t="shared" si="5"/>
        <v>$$$</v>
      </c>
      <c r="BS238" s="29" t="e">
        <f t="shared" si="597"/>
        <v>#N/A</v>
      </c>
      <c r="BT238" s="29" t="e">
        <f t="shared" si="597"/>
        <v>#N/A</v>
      </c>
      <c r="BU238" s="29" t="e">
        <f t="shared" si="597"/>
        <v>#N/A</v>
      </c>
      <c r="BV238" s="29" t="e">
        <f t="shared" si="597"/>
        <v>#N/A</v>
      </c>
      <c r="BW238" s="29" t="e">
        <f t="shared" si="597"/>
        <v>#N/A</v>
      </c>
      <c r="BX238" s="29" t="e">
        <f t="shared" si="597"/>
        <v>#N/A</v>
      </c>
      <c r="BY238" s="29" t="e">
        <f t="shared" si="597"/>
        <v>#N/A</v>
      </c>
      <c r="BZ238" s="29" t="e">
        <f t="shared" si="597"/>
        <v>#N/A</v>
      </c>
      <c r="CA238" s="29" t="e">
        <f t="shared" si="597"/>
        <v>#N/A</v>
      </c>
      <c r="CB238" s="29" t="e">
        <f t="shared" si="597"/>
        <v>#N/A</v>
      </c>
      <c r="CC238" s="29" t="e">
        <f t="shared" si="597"/>
        <v>#N/A</v>
      </c>
      <c r="CD238" s="29" t="e">
        <f t="shared" si="597"/>
        <v>#N/A</v>
      </c>
      <c r="CE238" s="6" t="str">
        <f t="shared" si="452"/>
        <v/>
      </c>
      <c r="CF238" s="27" t="e">
        <f>IF(AND(CI238,NOT(AD238)),LOOKUP(CF$5,{0,750,1500},H238:J238),"")</f>
        <v>#N/A</v>
      </c>
      <c r="CG238" s="6" t="str">
        <f t="shared" si="453"/>
        <v/>
      </c>
      <c r="CH238" t="e">
        <f t="shared" si="598"/>
        <v>#N/A</v>
      </c>
      <c r="CI238" t="e">
        <f t="shared" si="599"/>
        <v>#N/A</v>
      </c>
      <c r="CJ238" s="6" t="e">
        <f t="shared" si="11"/>
        <v>#N/A</v>
      </c>
      <c r="CK238" s="6">
        <f t="shared" si="12"/>
        <v>1</v>
      </c>
      <c r="CL238" s="6">
        <f t="shared" si="26"/>
        <v>1</v>
      </c>
      <c r="CM238" s="6">
        <f t="shared" si="13"/>
        <v>1</v>
      </c>
      <c r="CN238" s="6">
        <f t="shared" si="14"/>
        <v>1</v>
      </c>
      <c r="CO238" s="6">
        <f t="shared" si="15"/>
        <v>1</v>
      </c>
      <c r="CP238" s="6">
        <f t="shared" si="16"/>
        <v>1</v>
      </c>
      <c r="CQ238" s="6">
        <f t="shared" si="600"/>
        <v>1</v>
      </c>
      <c r="CR238" s="81" t="str">
        <f t="shared" si="17"/>
        <v/>
      </c>
      <c r="CS238">
        <f t="shared" si="601"/>
        <v>0</v>
      </c>
      <c r="CT238">
        <f t="shared" si="19"/>
        <v>179</v>
      </c>
      <c r="CU238" t="str">
        <f t="shared" si="29"/>
        <v/>
      </c>
      <c r="CV238" s="81">
        <f t="shared" si="602"/>
        <v>179</v>
      </c>
      <c r="CW238" s="81">
        <f>(CV238/25)^1.5*(Calculator!$BU$4/10000)*CW$5</f>
        <v>9.9636771034935183</v>
      </c>
      <c r="CX238" t="str">
        <f t="shared" si="603"/>
        <v>$179</v>
      </c>
    </row>
    <row r="239" spans="2:102" x14ac:dyDescent="0.25">
      <c r="B239" s="115" t="s">
        <v>233</v>
      </c>
      <c r="C239" s="13">
        <v>46317.620833333334</v>
      </c>
      <c r="D239">
        <v>29278</v>
      </c>
      <c r="E239" s="54" t="s">
        <v>235</v>
      </c>
      <c r="F239" s="54" t="s">
        <v>551</v>
      </c>
      <c r="G239" s="54" t="s">
        <v>1483</v>
      </c>
      <c r="H239" s="55">
        <v>13.4</v>
      </c>
      <c r="I239" s="55">
        <v>12.4</v>
      </c>
      <c r="J239" s="55">
        <v>12</v>
      </c>
      <c r="K239" s="54"/>
      <c r="L239" s="56" t="b">
        <v>0</v>
      </c>
      <c r="M239" s="56" t="b">
        <v>0</v>
      </c>
      <c r="N239" s="54">
        <v>1</v>
      </c>
      <c r="O239" s="54" t="s">
        <v>228</v>
      </c>
      <c r="P239" s="54">
        <v>6</v>
      </c>
      <c r="Q239" s="54">
        <v>12</v>
      </c>
      <c r="R239" s="54">
        <v>179</v>
      </c>
      <c r="S239" s="54" t="s">
        <v>1464</v>
      </c>
      <c r="T239" s="54"/>
      <c r="U239" s="54" t="s">
        <v>1460</v>
      </c>
      <c r="V239" s="54" t="s">
        <v>1466</v>
      </c>
      <c r="W239" s="54" t="b">
        <v>0</v>
      </c>
      <c r="X239" s="54"/>
      <c r="Y239" s="57" t="s">
        <v>2225</v>
      </c>
      <c r="Z239" s="54" t="s">
        <v>1467</v>
      </c>
      <c r="AA239" s="54"/>
      <c r="AB239" s="54" t="s">
        <v>1468</v>
      </c>
      <c r="AC239" s="56" t="b">
        <v>0</v>
      </c>
      <c r="AD239" s="56" t="b">
        <v>0</v>
      </c>
      <c r="AE239" s="54" t="s">
        <v>302</v>
      </c>
      <c r="AF239" s="58">
        <v>46316</v>
      </c>
      <c r="AG239" s="62" t="s">
        <v>293</v>
      </c>
      <c r="AH239" s="54">
        <v>0</v>
      </c>
      <c r="AI239" s="54"/>
      <c r="AJ239" s="54"/>
      <c r="AK239" s="54"/>
      <c r="AL239" s="54"/>
      <c r="AM239" s="54">
        <v>4.95</v>
      </c>
      <c r="AN239" s="54"/>
      <c r="AO239" s="54"/>
      <c r="AP239" s="54"/>
      <c r="AQ239" s="54"/>
      <c r="AR239" s="54"/>
      <c r="AS239" s="54"/>
      <c r="AT239" s="54"/>
      <c r="AU239" s="54"/>
      <c r="AV239" s="54"/>
      <c r="AW239" s="54"/>
      <c r="AX239" s="59"/>
      <c r="AY239" s="59"/>
      <c r="AZ239" s="59"/>
      <c r="BA239" s="59"/>
      <c r="BB239" s="59">
        <v>4.9258000000000003E-2</v>
      </c>
      <c r="BC239" s="60"/>
      <c r="BD239" s="61"/>
      <c r="BE239" s="62" t="s">
        <v>293</v>
      </c>
      <c r="BF239" s="35">
        <f t="shared" si="592"/>
        <v>4.9000000000000004</v>
      </c>
      <c r="BG239" s="35">
        <f t="shared" si="592"/>
        <v>6.5333000000000002E-2</v>
      </c>
      <c r="BH239" s="35" t="str">
        <f t="shared" si="593"/>
        <v>Med</v>
      </c>
      <c r="BI239" s="110">
        <f t="shared" si="594"/>
        <v>0</v>
      </c>
      <c r="BJ239" s="83">
        <f>VLOOKUP($F239,REP_Info!$D$6:$H$250,5,FALSE)</f>
        <v>1.694</v>
      </c>
      <c r="BK239" s="30">
        <f t="shared" si="595"/>
        <v>13.4291</v>
      </c>
      <c r="BL239" s="30">
        <f t="shared" si="595"/>
        <v>12.444100000000001</v>
      </c>
      <c r="BM239" s="30">
        <f t="shared" si="595"/>
        <v>11.951600000000001</v>
      </c>
      <c r="BN239" s="29">
        <f t="shared" si="595"/>
        <v>11.787433333333333</v>
      </c>
      <c r="BO239" s="85" t="str">
        <f t="shared" si="2"/>
        <v>$$$</v>
      </c>
      <c r="BP239" s="88" t="str">
        <f t="shared" si="596"/>
        <v>$$$</v>
      </c>
      <c r="BQ239" s="88" t="str">
        <f t="shared" si="4"/>
        <v>$$$</v>
      </c>
      <c r="BR239" s="88" t="str">
        <f t="shared" si="5"/>
        <v>$$$</v>
      </c>
      <c r="BS239" s="29" t="e">
        <f t="shared" si="597"/>
        <v>#N/A</v>
      </c>
      <c r="BT239" s="29" t="e">
        <f t="shared" si="597"/>
        <v>#N/A</v>
      </c>
      <c r="BU239" s="29" t="e">
        <f t="shared" si="597"/>
        <v>#N/A</v>
      </c>
      <c r="BV239" s="29" t="e">
        <f t="shared" si="597"/>
        <v>#N/A</v>
      </c>
      <c r="BW239" s="29" t="e">
        <f t="shared" si="597"/>
        <v>#N/A</v>
      </c>
      <c r="BX239" s="29" t="e">
        <f t="shared" si="597"/>
        <v>#N/A</v>
      </c>
      <c r="BY239" s="29" t="e">
        <f t="shared" si="597"/>
        <v>#N/A</v>
      </c>
      <c r="BZ239" s="29" t="e">
        <f t="shared" si="597"/>
        <v>#N/A</v>
      </c>
      <c r="CA239" s="29" t="e">
        <f t="shared" si="597"/>
        <v>#N/A</v>
      </c>
      <c r="CB239" s="29" t="e">
        <f t="shared" si="597"/>
        <v>#N/A</v>
      </c>
      <c r="CC239" s="29" t="e">
        <f t="shared" si="597"/>
        <v>#N/A</v>
      </c>
      <c r="CD239" s="29" t="e">
        <f t="shared" si="597"/>
        <v>#N/A</v>
      </c>
      <c r="CE239" s="6" t="str">
        <f t="shared" si="452"/>
        <v/>
      </c>
      <c r="CF239" s="27" t="e">
        <f>IF(AND(CI239,NOT(AD239)),LOOKUP(CF$5,{0,750,1500},H239:J239),"")</f>
        <v>#N/A</v>
      </c>
      <c r="CG239" s="6" t="str">
        <f t="shared" si="453"/>
        <v/>
      </c>
      <c r="CH239" t="e">
        <f t="shared" si="598"/>
        <v>#N/A</v>
      </c>
      <c r="CI239" t="e">
        <f t="shared" si="599"/>
        <v>#N/A</v>
      </c>
      <c r="CJ239" s="6" t="e">
        <f t="shared" si="11"/>
        <v>#N/A</v>
      </c>
      <c r="CK239" s="6">
        <f t="shared" si="12"/>
        <v>1</v>
      </c>
      <c r="CL239" s="6">
        <f t="shared" si="26"/>
        <v>1</v>
      </c>
      <c r="CM239" s="6">
        <f t="shared" si="13"/>
        <v>1</v>
      </c>
      <c r="CN239" s="6">
        <f t="shared" si="14"/>
        <v>1</v>
      </c>
      <c r="CO239" s="6">
        <f t="shared" si="15"/>
        <v>1</v>
      </c>
      <c r="CP239" s="6">
        <f t="shared" si="16"/>
        <v>1</v>
      </c>
      <c r="CQ239" s="6">
        <f t="shared" si="600"/>
        <v>1</v>
      </c>
      <c r="CR239" s="81" t="str">
        <f t="shared" si="17"/>
        <v/>
      </c>
      <c r="CS239">
        <f t="shared" si="601"/>
        <v>0</v>
      </c>
      <c r="CT239">
        <f t="shared" si="19"/>
        <v>179</v>
      </c>
      <c r="CU239" t="str">
        <f t="shared" si="29"/>
        <v/>
      </c>
      <c r="CV239" s="81">
        <f t="shared" si="602"/>
        <v>179</v>
      </c>
      <c r="CW239" s="81">
        <f>(CV239/25)^1.5*(Calculator!$BU$4/10000)*CW$5</f>
        <v>9.9636771034935183</v>
      </c>
      <c r="CX239" t="str">
        <f t="shared" si="603"/>
        <v>$179</v>
      </c>
    </row>
    <row r="240" spans="2:102" x14ac:dyDescent="0.25">
      <c r="B240" s="115" t="s">
        <v>233</v>
      </c>
      <c r="C240" s="13">
        <v>46303.582638888889</v>
      </c>
      <c r="D240">
        <v>29282</v>
      </c>
      <c r="E240" s="54" t="s">
        <v>237</v>
      </c>
      <c r="F240" s="54" t="s">
        <v>551</v>
      </c>
      <c r="G240" s="54" t="s">
        <v>1758</v>
      </c>
      <c r="H240" s="55">
        <v>14.799999999999999</v>
      </c>
      <c r="I240" s="55">
        <v>13.900000000000002</v>
      </c>
      <c r="J240" s="55">
        <v>13.5</v>
      </c>
      <c r="K240" s="54"/>
      <c r="L240" s="56" t="b">
        <v>0</v>
      </c>
      <c r="M240" s="56" t="b">
        <v>0</v>
      </c>
      <c r="N240" s="54">
        <v>1</v>
      </c>
      <c r="O240" s="54" t="s">
        <v>228</v>
      </c>
      <c r="P240" s="54">
        <v>6</v>
      </c>
      <c r="Q240" s="54">
        <v>36</v>
      </c>
      <c r="R240" s="54">
        <v>179</v>
      </c>
      <c r="S240" s="54" t="s">
        <v>1464</v>
      </c>
      <c r="T240" s="54"/>
      <c r="U240" s="54" t="s">
        <v>1460</v>
      </c>
      <c r="V240" s="54" t="s">
        <v>1466</v>
      </c>
      <c r="W240" s="54" t="b">
        <v>0</v>
      </c>
      <c r="X240" s="54"/>
      <c r="Y240" s="57" t="s">
        <v>1972</v>
      </c>
      <c r="Z240" s="54" t="s">
        <v>1467</v>
      </c>
      <c r="AA240" s="54"/>
      <c r="AB240" s="54" t="s">
        <v>1468</v>
      </c>
      <c r="AC240" s="56" t="b">
        <v>0</v>
      </c>
      <c r="AD240" s="56" t="b">
        <v>0</v>
      </c>
      <c r="AE240" s="54" t="s">
        <v>302</v>
      </c>
      <c r="AF240" s="58">
        <v>46302</v>
      </c>
      <c r="AG240" s="62" t="s">
        <v>293</v>
      </c>
      <c r="AH240" s="54">
        <v>0</v>
      </c>
      <c r="AI240" s="54"/>
      <c r="AJ240" s="54"/>
      <c r="AK240" s="54"/>
      <c r="AL240" s="54"/>
      <c r="AM240" s="54">
        <v>4.95</v>
      </c>
      <c r="AN240" s="54"/>
      <c r="AO240" s="54"/>
      <c r="AP240" s="54"/>
      <c r="AQ240" s="54"/>
      <c r="AR240" s="54"/>
      <c r="AS240" s="54"/>
      <c r="AT240" s="54"/>
      <c r="AU240" s="54"/>
      <c r="AV240" s="54"/>
      <c r="AW240" s="54"/>
      <c r="AX240" s="59"/>
      <c r="AY240" s="59"/>
      <c r="AZ240" s="59"/>
      <c r="BA240" s="59"/>
      <c r="BB240" s="59">
        <v>6.1378000000000002E-2</v>
      </c>
      <c r="BC240" s="60"/>
      <c r="BD240" s="61"/>
      <c r="BE240" s="62" t="s">
        <v>293</v>
      </c>
      <c r="BF240" s="35">
        <f t="shared" si="592"/>
        <v>4.0600000000000005</v>
      </c>
      <c r="BG240" s="35">
        <f t="shared" si="592"/>
        <v>6.8672999999999998E-2</v>
      </c>
      <c r="BH240" s="35" t="str">
        <f t="shared" si="593"/>
        <v>Med</v>
      </c>
      <c r="BI240" s="110">
        <f t="shared" si="594"/>
        <v>0</v>
      </c>
      <c r="BJ240" s="83">
        <f>VLOOKUP($F240,REP_Info!$D$6:$H$250,5,FALSE)</f>
        <v>1.694</v>
      </c>
      <c r="BK240" s="30">
        <f t="shared" si="595"/>
        <v>14.807100000000002</v>
      </c>
      <c r="BL240" s="30">
        <f t="shared" si="595"/>
        <v>13.9061</v>
      </c>
      <c r="BM240" s="30">
        <f t="shared" si="595"/>
        <v>13.455599999999999</v>
      </c>
      <c r="BN240" s="29">
        <f t="shared" si="595"/>
        <v>13.305433333333335</v>
      </c>
      <c r="BO240" s="85" t="str">
        <f t="shared" si="2"/>
        <v>$$$</v>
      </c>
      <c r="BP240" s="88" t="str">
        <f t="shared" si="596"/>
        <v>$$$</v>
      </c>
      <c r="BQ240" s="88" t="str">
        <f t="shared" si="4"/>
        <v>$$$</v>
      </c>
      <c r="BR240" s="88" t="str">
        <f t="shared" si="5"/>
        <v>$$$</v>
      </c>
      <c r="BS240" s="29" t="e">
        <f t="shared" si="597"/>
        <v>#N/A</v>
      </c>
      <c r="BT240" s="29" t="e">
        <f t="shared" si="597"/>
        <v>#N/A</v>
      </c>
      <c r="BU240" s="29" t="e">
        <f t="shared" si="597"/>
        <v>#N/A</v>
      </c>
      <c r="BV240" s="29" t="e">
        <f t="shared" si="597"/>
        <v>#N/A</v>
      </c>
      <c r="BW240" s="29" t="e">
        <f t="shared" si="597"/>
        <v>#N/A</v>
      </c>
      <c r="BX240" s="29" t="e">
        <f t="shared" si="597"/>
        <v>#N/A</v>
      </c>
      <c r="BY240" s="29" t="e">
        <f t="shared" si="597"/>
        <v>#N/A</v>
      </c>
      <c r="BZ240" s="29" t="e">
        <f t="shared" si="597"/>
        <v>#N/A</v>
      </c>
      <c r="CA240" s="29" t="e">
        <f t="shared" si="597"/>
        <v>#N/A</v>
      </c>
      <c r="CB240" s="29" t="e">
        <f t="shared" si="597"/>
        <v>#N/A</v>
      </c>
      <c r="CC240" s="29" t="e">
        <f t="shared" si="597"/>
        <v>#N/A</v>
      </c>
      <c r="CD240" s="29" t="e">
        <f t="shared" si="597"/>
        <v>#N/A</v>
      </c>
      <c r="CE240" s="6" t="str">
        <f t="shared" si="452"/>
        <v/>
      </c>
      <c r="CF240" s="27" t="e">
        <f>IF(AND(CI240,NOT(AD240)),LOOKUP(CF$5,{0,750,1500},H240:J240),"")</f>
        <v>#N/A</v>
      </c>
      <c r="CG240" s="6" t="str">
        <f t="shared" si="453"/>
        <v/>
      </c>
      <c r="CH240" t="e">
        <f t="shared" si="598"/>
        <v>#N/A</v>
      </c>
      <c r="CI240" t="e">
        <f t="shared" si="599"/>
        <v>#N/A</v>
      </c>
      <c r="CJ240" s="6" t="e">
        <f t="shared" si="11"/>
        <v>#N/A</v>
      </c>
      <c r="CK240" s="6">
        <f t="shared" si="12"/>
        <v>1</v>
      </c>
      <c r="CL240" s="6">
        <f t="shared" si="26"/>
        <v>1</v>
      </c>
      <c r="CM240" s="6">
        <f t="shared" si="13"/>
        <v>1</v>
      </c>
      <c r="CN240" s="6">
        <f t="shared" si="14"/>
        <v>1</v>
      </c>
      <c r="CO240" s="6">
        <f t="shared" si="15"/>
        <v>0</v>
      </c>
      <c r="CP240" s="6">
        <f t="shared" si="16"/>
        <v>1</v>
      </c>
      <c r="CQ240" s="6">
        <f t="shared" si="600"/>
        <v>1</v>
      </c>
      <c r="CR240" s="81" t="str">
        <f t="shared" si="17"/>
        <v/>
      </c>
      <c r="CS240">
        <f t="shared" si="601"/>
        <v>0</v>
      </c>
      <c r="CT240">
        <f t="shared" si="19"/>
        <v>179</v>
      </c>
      <c r="CU240" t="str">
        <f t="shared" si="29"/>
        <v/>
      </c>
      <c r="CV240" s="81">
        <f t="shared" si="602"/>
        <v>179</v>
      </c>
      <c r="CW240" s="81">
        <f>(CV240/25)^1.5*(Calculator!$BU$4/10000)*CW$5</f>
        <v>9.9636771034935183</v>
      </c>
      <c r="CX240" t="str">
        <f t="shared" si="603"/>
        <v>$179</v>
      </c>
    </row>
    <row r="241" spans="2:102" x14ac:dyDescent="0.25">
      <c r="B241" s="115" t="s">
        <v>233</v>
      </c>
      <c r="C241" s="13">
        <v>46296.854166666664</v>
      </c>
      <c r="D241">
        <v>29283</v>
      </c>
      <c r="E241" s="54" t="s">
        <v>235</v>
      </c>
      <c r="F241" s="54" t="s">
        <v>551</v>
      </c>
      <c r="G241" s="54" t="s">
        <v>1758</v>
      </c>
      <c r="H241" s="55">
        <v>14.399999999999999</v>
      </c>
      <c r="I241" s="55">
        <v>13.4</v>
      </c>
      <c r="J241" s="55">
        <v>12.9</v>
      </c>
      <c r="K241" s="54"/>
      <c r="L241" s="56" t="b">
        <v>0</v>
      </c>
      <c r="M241" s="56" t="b">
        <v>0</v>
      </c>
      <c r="N241" s="54">
        <v>1</v>
      </c>
      <c r="O241" s="54" t="s">
        <v>228</v>
      </c>
      <c r="P241" s="54">
        <v>6</v>
      </c>
      <c r="Q241" s="54">
        <v>36</v>
      </c>
      <c r="R241" s="54">
        <v>179</v>
      </c>
      <c r="S241" s="54" t="s">
        <v>1464</v>
      </c>
      <c r="T241" s="54"/>
      <c r="U241" s="54" t="s">
        <v>1460</v>
      </c>
      <c r="V241" s="54" t="s">
        <v>1466</v>
      </c>
      <c r="W241" s="54" t="b">
        <v>0</v>
      </c>
      <c r="X241" s="54"/>
      <c r="Y241" s="57" t="s">
        <v>1876</v>
      </c>
      <c r="Z241" s="54" t="s">
        <v>1467</v>
      </c>
      <c r="AA241" s="54"/>
      <c r="AB241" s="54" t="s">
        <v>1468</v>
      </c>
      <c r="AC241" s="56" t="b">
        <v>0</v>
      </c>
      <c r="AD241" s="56" t="b">
        <v>0</v>
      </c>
      <c r="AE241" s="54" t="s">
        <v>302</v>
      </c>
      <c r="AF241" s="58">
        <v>46296</v>
      </c>
      <c r="AG241" s="62" t="s">
        <v>293</v>
      </c>
      <c r="AH241" s="54">
        <v>0</v>
      </c>
      <c r="AI241" s="54"/>
      <c r="AJ241" s="54"/>
      <c r="AK241" s="54"/>
      <c r="AL241" s="54"/>
      <c r="AM241" s="54">
        <v>4.95</v>
      </c>
      <c r="AN241" s="54"/>
      <c r="AO241" s="54"/>
      <c r="AP241" s="54"/>
      <c r="AQ241" s="54"/>
      <c r="AR241" s="54"/>
      <c r="AS241" s="54"/>
      <c r="AT241" s="54"/>
      <c r="AU241" s="54"/>
      <c r="AV241" s="54"/>
      <c r="AW241" s="54"/>
      <c r="AX241" s="59"/>
      <c r="AY241" s="59"/>
      <c r="AZ241" s="59"/>
      <c r="BA241" s="59"/>
      <c r="BB241" s="59">
        <v>5.9236999999999998E-2</v>
      </c>
      <c r="BC241" s="60"/>
      <c r="BD241" s="61"/>
      <c r="BE241" s="62" t="s">
        <v>293</v>
      </c>
      <c r="BF241" s="35">
        <f t="shared" si="592"/>
        <v>4.9000000000000004</v>
      </c>
      <c r="BG241" s="35">
        <f t="shared" si="592"/>
        <v>6.5333000000000002E-2</v>
      </c>
      <c r="BH241" s="35" t="str">
        <f t="shared" si="593"/>
        <v>Med</v>
      </c>
      <c r="BI241" s="110">
        <f t="shared" si="594"/>
        <v>0</v>
      </c>
      <c r="BJ241" s="83">
        <f>VLOOKUP($F241,REP_Info!$D$6:$H$250,5,FALSE)</f>
        <v>1.694</v>
      </c>
      <c r="BK241" s="30">
        <f t="shared" si="595"/>
        <v>14.426999999999998</v>
      </c>
      <c r="BL241" s="30">
        <f t="shared" si="595"/>
        <v>13.442000000000002</v>
      </c>
      <c r="BM241" s="30">
        <f t="shared" si="595"/>
        <v>12.9495</v>
      </c>
      <c r="BN241" s="29">
        <f t="shared" si="595"/>
        <v>12.78533333333333</v>
      </c>
      <c r="BO241" s="85" t="str">
        <f t="shared" si="2"/>
        <v>$$$</v>
      </c>
      <c r="BP241" s="88" t="str">
        <f t="shared" si="596"/>
        <v>$$$</v>
      </c>
      <c r="BQ241" s="88" t="str">
        <f t="shared" si="4"/>
        <v>$$$</v>
      </c>
      <c r="BR241" s="88" t="str">
        <f t="shared" si="5"/>
        <v>$$$</v>
      </c>
      <c r="BS241" s="29" t="e">
        <f t="shared" si="597"/>
        <v>#N/A</v>
      </c>
      <c r="BT241" s="29" t="e">
        <f t="shared" si="597"/>
        <v>#N/A</v>
      </c>
      <c r="BU241" s="29" t="e">
        <f t="shared" si="597"/>
        <v>#N/A</v>
      </c>
      <c r="BV241" s="29" t="e">
        <f t="shared" si="597"/>
        <v>#N/A</v>
      </c>
      <c r="BW241" s="29" t="e">
        <f t="shared" si="597"/>
        <v>#N/A</v>
      </c>
      <c r="BX241" s="29" t="e">
        <f t="shared" si="597"/>
        <v>#N/A</v>
      </c>
      <c r="BY241" s="29" t="e">
        <f t="shared" si="597"/>
        <v>#N/A</v>
      </c>
      <c r="BZ241" s="29" t="e">
        <f t="shared" si="597"/>
        <v>#N/A</v>
      </c>
      <c r="CA241" s="29" t="e">
        <f t="shared" si="597"/>
        <v>#N/A</v>
      </c>
      <c r="CB241" s="29" t="e">
        <f t="shared" si="597"/>
        <v>#N/A</v>
      </c>
      <c r="CC241" s="29" t="e">
        <f t="shared" si="597"/>
        <v>#N/A</v>
      </c>
      <c r="CD241" s="29" t="e">
        <f t="shared" si="597"/>
        <v>#N/A</v>
      </c>
      <c r="CE241" s="6" t="str">
        <f t="shared" si="452"/>
        <v/>
      </c>
      <c r="CF241" s="27" t="e">
        <f>IF(AND(CI241,NOT(AD241)),LOOKUP(CF$5,{0,750,1500},H241:J241),"")</f>
        <v>#N/A</v>
      </c>
      <c r="CG241" s="6" t="str">
        <f t="shared" si="453"/>
        <v/>
      </c>
      <c r="CH241" t="e">
        <f t="shared" si="598"/>
        <v>#N/A</v>
      </c>
      <c r="CI241" t="e">
        <f t="shared" si="599"/>
        <v>#N/A</v>
      </c>
      <c r="CJ241" s="6" t="e">
        <f t="shared" si="11"/>
        <v>#N/A</v>
      </c>
      <c r="CK241" s="6">
        <f t="shared" si="12"/>
        <v>1</v>
      </c>
      <c r="CL241" s="6">
        <f t="shared" si="26"/>
        <v>1</v>
      </c>
      <c r="CM241" s="6">
        <f t="shared" si="13"/>
        <v>1</v>
      </c>
      <c r="CN241" s="6">
        <f t="shared" si="14"/>
        <v>1</v>
      </c>
      <c r="CO241" s="6">
        <f t="shared" si="15"/>
        <v>0</v>
      </c>
      <c r="CP241" s="6">
        <f t="shared" si="16"/>
        <v>1</v>
      </c>
      <c r="CQ241" s="6">
        <f t="shared" si="600"/>
        <v>1</v>
      </c>
      <c r="CR241" s="81" t="str">
        <f t="shared" si="17"/>
        <v/>
      </c>
      <c r="CS241">
        <f t="shared" si="601"/>
        <v>0</v>
      </c>
      <c r="CT241">
        <f t="shared" si="19"/>
        <v>179</v>
      </c>
      <c r="CU241" t="str">
        <f t="shared" si="29"/>
        <v/>
      </c>
      <c r="CV241" s="81">
        <f t="shared" si="602"/>
        <v>179</v>
      </c>
      <c r="CW241" s="81">
        <f>(CV241/25)^1.5*(Calculator!$BU$4/10000)*CW$5</f>
        <v>9.9636771034935183</v>
      </c>
      <c r="CX241" t="str">
        <f t="shared" si="603"/>
        <v>$179</v>
      </c>
    </row>
    <row r="242" spans="2:102" x14ac:dyDescent="0.25">
      <c r="B242" s="115" t="s">
        <v>233</v>
      </c>
      <c r="C242" s="13">
        <v>46316.611111111109</v>
      </c>
      <c r="D242">
        <v>29287</v>
      </c>
      <c r="E242" s="54" t="s">
        <v>237</v>
      </c>
      <c r="F242" s="54" t="s">
        <v>551</v>
      </c>
      <c r="G242" s="54" t="s">
        <v>1608</v>
      </c>
      <c r="H242" s="55">
        <v>10.9</v>
      </c>
      <c r="I242" s="55">
        <v>9.9</v>
      </c>
      <c r="J242" s="55">
        <v>9.5</v>
      </c>
      <c r="K242" s="54"/>
      <c r="L242" s="56" t="b">
        <v>0</v>
      </c>
      <c r="M242" s="56" t="b">
        <v>0</v>
      </c>
      <c r="N242" s="54">
        <v>0</v>
      </c>
      <c r="O242" s="54" t="s">
        <v>238</v>
      </c>
      <c r="P242" s="54">
        <v>6</v>
      </c>
      <c r="Q242" s="54">
        <v>1</v>
      </c>
      <c r="R242" s="54">
        <v>0</v>
      </c>
      <c r="S242" s="54" t="s">
        <v>1464</v>
      </c>
      <c r="T242" s="54" t="s">
        <v>1609</v>
      </c>
      <c r="U242" s="54" t="s">
        <v>1460</v>
      </c>
      <c r="V242" s="54" t="s">
        <v>1466</v>
      </c>
      <c r="W242" s="54" t="b">
        <v>0</v>
      </c>
      <c r="X242" s="54"/>
      <c r="Y242" s="57" t="s">
        <v>2190</v>
      </c>
      <c r="Z242" s="54" t="s">
        <v>1467</v>
      </c>
      <c r="AA242" s="54"/>
      <c r="AB242" s="54" t="s">
        <v>1468</v>
      </c>
      <c r="AC242" s="56" t="b">
        <v>1</v>
      </c>
      <c r="AD242" s="56" t="b">
        <v>0</v>
      </c>
      <c r="AE242" s="54"/>
      <c r="AF242" s="58"/>
      <c r="AG242" s="62" t="s">
        <v>293</v>
      </c>
      <c r="AH242" s="54"/>
      <c r="AI242" s="54"/>
      <c r="AJ242" s="54"/>
      <c r="AK242" s="54"/>
      <c r="AL242" s="54"/>
      <c r="AM242" s="54">
        <v>0</v>
      </c>
      <c r="AN242" s="54"/>
      <c r="AO242" s="54"/>
      <c r="AP242" s="54"/>
      <c r="AQ242" s="54"/>
      <c r="AR242" s="54"/>
      <c r="AS242" s="54"/>
      <c r="AT242" s="54"/>
      <c r="AU242" s="54"/>
      <c r="AV242" s="54"/>
      <c r="AW242" s="54"/>
      <c r="AX242" s="59"/>
      <c r="AY242" s="59"/>
      <c r="AZ242" s="59"/>
      <c r="BA242" s="59"/>
      <c r="BB242" s="59"/>
      <c r="BC242" s="60"/>
      <c r="BD242" s="61"/>
      <c r="BE242" s="62"/>
      <c r="BF242" s="35">
        <f t="shared" si="592"/>
        <v>4.0600000000000005</v>
      </c>
      <c r="BG242" s="35">
        <f t="shared" si="592"/>
        <v>6.8672999999999998E-2</v>
      </c>
      <c r="BH242" s="35" t="str">
        <f t="shared" si="593"/>
        <v>?</v>
      </c>
      <c r="BI242" s="110" t="str">
        <f t="shared" si="594"/>
        <v/>
      </c>
      <c r="BJ242" s="83">
        <f>VLOOKUP($F242,REP_Info!$D$6:$H$250,5,FALSE)</f>
        <v>1.694</v>
      </c>
      <c r="BK242" s="30" t="e">
        <f t="shared" si="595"/>
        <v>#N/A</v>
      </c>
      <c r="BL242" s="30" t="e">
        <f t="shared" si="595"/>
        <v>#N/A</v>
      </c>
      <c r="BM242" s="30" t="e">
        <f t="shared" si="595"/>
        <v>#N/A</v>
      </c>
      <c r="BN242" s="29" t="e">
        <f t="shared" si="595"/>
        <v>#N/A</v>
      </c>
      <c r="BO242" s="85" t="str">
        <f t="shared" si="2"/>
        <v>$$$</v>
      </c>
      <c r="BP242" s="88" t="str">
        <f t="shared" si="596"/>
        <v>$$$</v>
      </c>
      <c r="BQ242" s="88" t="str">
        <f t="shared" si="4"/>
        <v>$$$</v>
      </c>
      <c r="BR242" s="88" t="str">
        <f t="shared" si="5"/>
        <v>$$$</v>
      </c>
      <c r="BS242" s="29" t="e">
        <f t="shared" si="597"/>
        <v>#N/A</v>
      </c>
      <c r="BT242" s="29" t="e">
        <f t="shared" si="597"/>
        <v>#N/A</v>
      </c>
      <c r="BU242" s="29" t="e">
        <f t="shared" si="597"/>
        <v>#N/A</v>
      </c>
      <c r="BV242" s="29" t="e">
        <f t="shared" si="597"/>
        <v>#N/A</v>
      </c>
      <c r="BW242" s="29" t="e">
        <f t="shared" si="597"/>
        <v>#N/A</v>
      </c>
      <c r="BX242" s="29" t="e">
        <f t="shared" si="597"/>
        <v>#N/A</v>
      </c>
      <c r="BY242" s="29" t="e">
        <f t="shared" si="597"/>
        <v>#N/A</v>
      </c>
      <c r="BZ242" s="29" t="e">
        <f t="shared" si="597"/>
        <v>#N/A</v>
      </c>
      <c r="CA242" s="29" t="e">
        <f t="shared" si="597"/>
        <v>#N/A</v>
      </c>
      <c r="CB242" s="29" t="e">
        <f t="shared" si="597"/>
        <v>#N/A</v>
      </c>
      <c r="CC242" s="29" t="e">
        <f t="shared" si="597"/>
        <v>#N/A</v>
      </c>
      <c r="CD242" s="29" t="e">
        <f t="shared" si="597"/>
        <v>#N/A</v>
      </c>
      <c r="CE242" s="6" t="str">
        <f t="shared" si="452"/>
        <v/>
      </c>
      <c r="CF242" s="27" t="e">
        <f>IF(AND(CI242,NOT(AD242)),LOOKUP(CF$5,{0,750,1500},H242:J242),"")</f>
        <v>#N/A</v>
      </c>
      <c r="CG242" s="6" t="str">
        <f t="shared" si="453"/>
        <v/>
      </c>
      <c r="CH242" t="e">
        <f t="shared" si="598"/>
        <v>#N/A</v>
      </c>
      <c r="CI242" t="e">
        <f t="shared" si="599"/>
        <v>#N/A</v>
      </c>
      <c r="CJ242" s="6" t="e">
        <f t="shared" si="11"/>
        <v>#N/A</v>
      </c>
      <c r="CK242" s="6">
        <f t="shared" si="12"/>
        <v>1</v>
      </c>
      <c r="CL242" s="6">
        <f t="shared" si="26"/>
        <v>1</v>
      </c>
      <c r="CM242" s="6">
        <f t="shared" si="13"/>
        <v>0</v>
      </c>
      <c r="CN242" s="6">
        <f t="shared" si="14"/>
        <v>0</v>
      </c>
      <c r="CO242" s="6">
        <f t="shared" si="15"/>
        <v>1</v>
      </c>
      <c r="CP242" s="6">
        <f t="shared" si="16"/>
        <v>1</v>
      </c>
      <c r="CQ242" s="6">
        <f t="shared" si="600"/>
        <v>1</v>
      </c>
      <c r="CR242" s="81" t="str">
        <f t="shared" si="17"/>
        <v/>
      </c>
      <c r="CS242">
        <f t="shared" si="601"/>
        <v>198</v>
      </c>
      <c r="CT242">
        <f t="shared" si="19"/>
        <v>0</v>
      </c>
      <c r="CU242" t="str">
        <f t="shared" si="29"/>
        <v/>
      </c>
      <c r="CV242" s="81">
        <f t="shared" si="602"/>
        <v>0</v>
      </c>
      <c r="CW242" s="81">
        <f>(CV242/25)^1.5*(Calculator!$BU$4/10000)*CW$5</f>
        <v>0</v>
      </c>
      <c r="CX242" t="str">
        <f t="shared" si="603"/>
        <v>$0</v>
      </c>
    </row>
    <row r="243" spans="2:102" x14ac:dyDescent="0.25">
      <c r="B243" s="115" t="s">
        <v>233</v>
      </c>
      <c r="C243" s="13">
        <v>46316.611111111109</v>
      </c>
      <c r="D243">
        <v>29288</v>
      </c>
      <c r="E243" s="54" t="s">
        <v>235</v>
      </c>
      <c r="F243" s="54" t="s">
        <v>551</v>
      </c>
      <c r="G243" s="54" t="s">
        <v>1608</v>
      </c>
      <c r="H243" s="55">
        <v>10.7</v>
      </c>
      <c r="I243" s="55">
        <v>9.7000000000000011</v>
      </c>
      <c r="J243" s="55">
        <v>9.3000000000000007</v>
      </c>
      <c r="K243" s="54"/>
      <c r="L243" s="56" t="b">
        <v>0</v>
      </c>
      <c r="M243" s="56" t="b">
        <v>0</v>
      </c>
      <c r="N243" s="54">
        <v>0</v>
      </c>
      <c r="O243" s="54" t="s">
        <v>238</v>
      </c>
      <c r="P243" s="54">
        <v>6</v>
      </c>
      <c r="Q243" s="54">
        <v>1</v>
      </c>
      <c r="R243" s="54">
        <v>0</v>
      </c>
      <c r="S243" s="54" t="s">
        <v>1464</v>
      </c>
      <c r="T243" s="54" t="s">
        <v>1609</v>
      </c>
      <c r="U243" s="54" t="s">
        <v>1460</v>
      </c>
      <c r="V243" s="54" t="s">
        <v>1466</v>
      </c>
      <c r="W243" s="54" t="b">
        <v>0</v>
      </c>
      <c r="X243" s="54"/>
      <c r="Y243" s="57" t="s">
        <v>2191</v>
      </c>
      <c r="Z243" s="54" t="s">
        <v>1467</v>
      </c>
      <c r="AA243" s="54"/>
      <c r="AB243" s="54" t="s">
        <v>1468</v>
      </c>
      <c r="AC243" s="56" t="b">
        <v>1</v>
      </c>
      <c r="AD243" s="56" t="b">
        <v>0</v>
      </c>
      <c r="AE243" s="54"/>
      <c r="AF243" s="58"/>
      <c r="AG243" s="62" t="s">
        <v>293</v>
      </c>
      <c r="AH243" s="54"/>
      <c r="AI243" s="54"/>
      <c r="AJ243" s="54"/>
      <c r="AK243" s="54"/>
      <c r="AL243" s="54"/>
      <c r="AM243" s="54">
        <v>0</v>
      </c>
      <c r="AN243" s="54"/>
      <c r="AO243" s="54"/>
      <c r="AP243" s="54"/>
      <c r="AQ243" s="54"/>
      <c r="AR243" s="54"/>
      <c r="AS243" s="54"/>
      <c r="AT243" s="54"/>
      <c r="AU243" s="54"/>
      <c r="AV243" s="54"/>
      <c r="AW243" s="54"/>
      <c r="AX243" s="59"/>
      <c r="AY243" s="59"/>
      <c r="AZ243" s="59"/>
      <c r="BA243" s="59"/>
      <c r="BB243" s="59"/>
      <c r="BC243" s="60"/>
      <c r="BD243" s="61"/>
      <c r="BE243" s="62"/>
      <c r="BF243" s="35">
        <f t="shared" si="592"/>
        <v>4.9000000000000004</v>
      </c>
      <c r="BG243" s="35">
        <f t="shared" si="592"/>
        <v>6.5333000000000002E-2</v>
      </c>
      <c r="BH243" s="35" t="str">
        <f t="shared" si="593"/>
        <v>?</v>
      </c>
      <c r="BI243" s="110" t="str">
        <f t="shared" si="594"/>
        <v/>
      </c>
      <c r="BJ243" s="83">
        <f>VLOOKUP($F243,REP_Info!$D$6:$H$250,5,FALSE)</f>
        <v>1.694</v>
      </c>
      <c r="BK243" s="30" t="e">
        <f t="shared" si="595"/>
        <v>#N/A</v>
      </c>
      <c r="BL243" s="30" t="e">
        <f t="shared" si="595"/>
        <v>#N/A</v>
      </c>
      <c r="BM243" s="30" t="e">
        <f t="shared" si="595"/>
        <v>#N/A</v>
      </c>
      <c r="BN243" s="29" t="e">
        <f t="shared" si="595"/>
        <v>#N/A</v>
      </c>
      <c r="BO243" s="85" t="str">
        <f t="shared" si="2"/>
        <v>$$$</v>
      </c>
      <c r="BP243" s="88" t="str">
        <f t="shared" si="596"/>
        <v>$$$</v>
      </c>
      <c r="BQ243" s="88" t="str">
        <f t="shared" si="4"/>
        <v>$$$</v>
      </c>
      <c r="BR243" s="88" t="str">
        <f t="shared" si="5"/>
        <v>$$$</v>
      </c>
      <c r="BS243" s="29" t="e">
        <f t="shared" si="597"/>
        <v>#N/A</v>
      </c>
      <c r="BT243" s="29" t="e">
        <f t="shared" si="597"/>
        <v>#N/A</v>
      </c>
      <c r="BU243" s="29" t="e">
        <f t="shared" si="597"/>
        <v>#N/A</v>
      </c>
      <c r="BV243" s="29" t="e">
        <f t="shared" si="597"/>
        <v>#N/A</v>
      </c>
      <c r="BW243" s="29" t="e">
        <f t="shared" si="597"/>
        <v>#N/A</v>
      </c>
      <c r="BX243" s="29" t="e">
        <f t="shared" si="597"/>
        <v>#N/A</v>
      </c>
      <c r="BY243" s="29" t="e">
        <f t="shared" si="597"/>
        <v>#N/A</v>
      </c>
      <c r="BZ243" s="29" t="e">
        <f t="shared" si="597"/>
        <v>#N/A</v>
      </c>
      <c r="CA243" s="29" t="e">
        <f t="shared" si="597"/>
        <v>#N/A</v>
      </c>
      <c r="CB243" s="29" t="e">
        <f t="shared" si="597"/>
        <v>#N/A</v>
      </c>
      <c r="CC243" s="29" t="e">
        <f t="shared" si="597"/>
        <v>#N/A</v>
      </c>
      <c r="CD243" s="29" t="e">
        <f t="shared" si="597"/>
        <v>#N/A</v>
      </c>
      <c r="CE243" s="6" t="str">
        <f t="shared" si="452"/>
        <v/>
      </c>
      <c r="CF243" s="27" t="e">
        <f>IF(AND(CI243,NOT(AD243)),LOOKUP(CF$5,{0,750,1500},H243:J243),"")</f>
        <v>#N/A</v>
      </c>
      <c r="CG243" s="6" t="str">
        <f t="shared" si="453"/>
        <v/>
      </c>
      <c r="CH243" t="e">
        <f t="shared" si="598"/>
        <v>#N/A</v>
      </c>
      <c r="CI243" t="e">
        <f t="shared" si="599"/>
        <v>#N/A</v>
      </c>
      <c r="CJ243" s="6" t="e">
        <f t="shared" si="11"/>
        <v>#N/A</v>
      </c>
      <c r="CK243" s="6">
        <f t="shared" si="12"/>
        <v>1</v>
      </c>
      <c r="CL243" s="6">
        <f t="shared" si="26"/>
        <v>1</v>
      </c>
      <c r="CM243" s="6">
        <f t="shared" si="13"/>
        <v>0</v>
      </c>
      <c r="CN243" s="6">
        <f t="shared" si="14"/>
        <v>0</v>
      </c>
      <c r="CO243" s="6">
        <f t="shared" si="15"/>
        <v>1</v>
      </c>
      <c r="CP243" s="6">
        <f t="shared" si="16"/>
        <v>1</v>
      </c>
      <c r="CQ243" s="6">
        <f t="shared" si="600"/>
        <v>1</v>
      </c>
      <c r="CR243" s="81" t="str">
        <f t="shared" si="17"/>
        <v/>
      </c>
      <c r="CS243">
        <f t="shared" si="601"/>
        <v>198</v>
      </c>
      <c r="CT243">
        <f t="shared" si="19"/>
        <v>0</v>
      </c>
      <c r="CU243" t="str">
        <f t="shared" si="29"/>
        <v/>
      </c>
      <c r="CV243" s="81">
        <f t="shared" si="602"/>
        <v>0</v>
      </c>
      <c r="CW243" s="81">
        <f>(CV243/25)^1.5*(Calculator!$BU$4/10000)*CW$5</f>
        <v>0</v>
      </c>
      <c r="CX243" t="str">
        <f t="shared" si="603"/>
        <v>$0</v>
      </c>
    </row>
    <row r="244" spans="2:102" x14ac:dyDescent="0.25">
      <c r="B244" s="115" t="s">
        <v>233</v>
      </c>
      <c r="C244" s="13">
        <v>46316.611111111109</v>
      </c>
      <c r="D244">
        <v>24816</v>
      </c>
      <c r="E244" s="54" t="s">
        <v>235</v>
      </c>
      <c r="F244" s="54" t="s">
        <v>552</v>
      </c>
      <c r="G244" s="54" t="s">
        <v>556</v>
      </c>
      <c r="H244" s="55">
        <v>16.2</v>
      </c>
      <c r="I244" s="55">
        <v>15.2</v>
      </c>
      <c r="J244" s="55">
        <v>14.7</v>
      </c>
      <c r="K244" s="54"/>
      <c r="L244" s="56" t="b">
        <v>0</v>
      </c>
      <c r="M244" s="56" t="b">
        <v>0</v>
      </c>
      <c r="N244" s="54">
        <v>1</v>
      </c>
      <c r="O244" s="54" t="s">
        <v>228</v>
      </c>
      <c r="P244" s="54">
        <v>22</v>
      </c>
      <c r="Q244" s="54">
        <v>24</v>
      </c>
      <c r="R244" s="54">
        <v>295</v>
      </c>
      <c r="S244" s="54" t="s">
        <v>553</v>
      </c>
      <c r="T244" s="54" t="s">
        <v>557</v>
      </c>
      <c r="U244" s="54" t="s">
        <v>554</v>
      </c>
      <c r="V244" s="54" t="s">
        <v>2192</v>
      </c>
      <c r="W244" s="54" t="b">
        <v>0</v>
      </c>
      <c r="X244" s="54"/>
      <c r="Y244" s="57" t="s">
        <v>2193</v>
      </c>
      <c r="Z244" s="54" t="s">
        <v>1656</v>
      </c>
      <c r="AA244" s="54"/>
      <c r="AB244" s="54" t="s">
        <v>555</v>
      </c>
      <c r="AC244" s="56" t="b">
        <v>1</v>
      </c>
      <c r="AD244" s="56" t="b">
        <v>0</v>
      </c>
      <c r="AE244" s="54" t="s">
        <v>302</v>
      </c>
      <c r="AF244" s="58">
        <v>46299</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7.7216000000000007E-2</v>
      </c>
      <c r="BC244" s="60">
        <v>4.9000000000000004</v>
      </c>
      <c r="BD244" s="61">
        <v>6.5333000000000002E-2</v>
      </c>
      <c r="BE244" s="62" t="s">
        <v>293</v>
      </c>
      <c r="BF244" s="35">
        <f t="shared" si="592"/>
        <v>4.9000000000000004</v>
      </c>
      <c r="BG244" s="35">
        <f t="shared" si="592"/>
        <v>6.5333000000000002E-2</v>
      </c>
      <c r="BH244" s="35" t="str">
        <f t="shared" si="593"/>
        <v>Med</v>
      </c>
      <c r="BI244" s="110">
        <f t="shared" si="594"/>
        <v>0</v>
      </c>
      <c r="BJ244" s="83">
        <f>VLOOKUP($F244,REP_Info!$D$6:$H$250,5,FALSE)</f>
        <v>0.53900000000000003</v>
      </c>
      <c r="BK244" s="30">
        <f t="shared" si="595"/>
        <v>16.2349</v>
      </c>
      <c r="BL244" s="30">
        <f t="shared" si="595"/>
        <v>15.244900000000001</v>
      </c>
      <c r="BM244" s="30">
        <f t="shared" si="595"/>
        <v>14.749900000000002</v>
      </c>
      <c r="BN244" s="29">
        <f t="shared" si="595"/>
        <v>14.584900000000001</v>
      </c>
      <c r="BO244" s="85" t="str">
        <f t="shared" si="2"/>
        <v>$$$</v>
      </c>
      <c r="BP244" s="88" t="str">
        <f t="shared" si="596"/>
        <v>$$$</v>
      </c>
      <c r="BQ244" s="88" t="str">
        <f t="shared" si="4"/>
        <v>$$$</v>
      </c>
      <c r="BR244" s="88" t="str">
        <f t="shared" si="5"/>
        <v>$$$</v>
      </c>
      <c r="BS244" s="29" t="e">
        <f t="shared" si="597"/>
        <v>#N/A</v>
      </c>
      <c r="BT244" s="29" t="e">
        <f t="shared" si="597"/>
        <v>#N/A</v>
      </c>
      <c r="BU244" s="29" t="e">
        <f t="shared" si="597"/>
        <v>#N/A</v>
      </c>
      <c r="BV244" s="29" t="e">
        <f t="shared" si="597"/>
        <v>#N/A</v>
      </c>
      <c r="BW244" s="29" t="e">
        <f t="shared" si="597"/>
        <v>#N/A</v>
      </c>
      <c r="BX244" s="29" t="e">
        <f t="shared" si="597"/>
        <v>#N/A</v>
      </c>
      <c r="BY244" s="29" t="e">
        <f t="shared" si="597"/>
        <v>#N/A</v>
      </c>
      <c r="BZ244" s="29" t="e">
        <f t="shared" si="597"/>
        <v>#N/A</v>
      </c>
      <c r="CA244" s="29" t="e">
        <f t="shared" si="597"/>
        <v>#N/A</v>
      </c>
      <c r="CB244" s="29" t="e">
        <f t="shared" si="597"/>
        <v>#N/A</v>
      </c>
      <c r="CC244" s="29" t="e">
        <f t="shared" si="597"/>
        <v>#N/A</v>
      </c>
      <c r="CD244" s="29" t="e">
        <f t="shared" si="597"/>
        <v>#N/A</v>
      </c>
      <c r="CE244" s="6" t="str">
        <f t="shared" si="452"/>
        <v/>
      </c>
      <c r="CF244" s="27" t="e">
        <f>IF(AND(CI244,NOT(AD244)),LOOKUP(CF$5,{0,750,1500},H244:J244),"")</f>
        <v>#N/A</v>
      </c>
      <c r="CG244" s="6" t="str">
        <f t="shared" si="453"/>
        <v/>
      </c>
      <c r="CH244" t="e">
        <f t="shared" si="598"/>
        <v>#N/A</v>
      </c>
      <c r="CI244" t="e">
        <f t="shared" si="599"/>
        <v>#N/A</v>
      </c>
      <c r="CJ244" s="6" t="e">
        <f t="shared" si="11"/>
        <v>#N/A</v>
      </c>
      <c r="CK244" s="6">
        <f t="shared" si="12"/>
        <v>1</v>
      </c>
      <c r="CL244" s="6">
        <f t="shared" si="26"/>
        <v>1</v>
      </c>
      <c r="CM244" s="6">
        <f t="shared" si="13"/>
        <v>1</v>
      </c>
      <c r="CN244" s="6">
        <f t="shared" si="14"/>
        <v>1</v>
      </c>
      <c r="CO244" s="6">
        <f t="shared" si="15"/>
        <v>0</v>
      </c>
      <c r="CP244" s="6">
        <f t="shared" si="16"/>
        <v>1</v>
      </c>
      <c r="CQ244" s="6">
        <f t="shared" si="600"/>
        <v>1</v>
      </c>
      <c r="CR244" s="81" t="str">
        <f t="shared" si="17"/>
        <v/>
      </c>
      <c r="CS244">
        <f t="shared" si="601"/>
        <v>0</v>
      </c>
      <c r="CT244">
        <f t="shared" si="19"/>
        <v>295</v>
      </c>
      <c r="CU244" t="str">
        <f t="shared" si="29"/>
        <v/>
      </c>
      <c r="CV244" s="81">
        <f t="shared" si="602"/>
        <v>295</v>
      </c>
      <c r="CW244" s="81">
        <f>(CV244/25)^1.5*(Calculator!$BU$4/10000)*CW$5</f>
        <v>21.080122109139459</v>
      </c>
      <c r="CX244" t="str">
        <f t="shared" si="603"/>
        <v>$295</v>
      </c>
    </row>
    <row r="245" spans="2:102" x14ac:dyDescent="0.25">
      <c r="B245" s="115" t="s">
        <v>233</v>
      </c>
      <c r="C245" s="13">
        <v>46316.611111111109</v>
      </c>
      <c r="D245">
        <v>24818</v>
      </c>
      <c r="E245" s="54" t="s">
        <v>237</v>
      </c>
      <c r="F245" s="54" t="s">
        <v>552</v>
      </c>
      <c r="G245" s="54" t="s">
        <v>556</v>
      </c>
      <c r="H245" s="55">
        <v>16.600000000000001</v>
      </c>
      <c r="I245" s="55">
        <v>15.7</v>
      </c>
      <c r="J245" s="55">
        <v>15.2</v>
      </c>
      <c r="K245" s="54"/>
      <c r="L245" s="56" t="b">
        <v>0</v>
      </c>
      <c r="M245" s="56" t="b">
        <v>0</v>
      </c>
      <c r="N245" s="54">
        <v>1</v>
      </c>
      <c r="O245" s="54" t="s">
        <v>228</v>
      </c>
      <c r="P245" s="54">
        <v>22</v>
      </c>
      <c r="Q245" s="54">
        <v>24</v>
      </c>
      <c r="R245" s="54">
        <v>295</v>
      </c>
      <c r="S245" s="54" t="s">
        <v>553</v>
      </c>
      <c r="T245" s="54" t="s">
        <v>557</v>
      </c>
      <c r="U245" s="54" t="s">
        <v>554</v>
      </c>
      <c r="V245" s="54" t="s">
        <v>2192</v>
      </c>
      <c r="W245" s="54" t="b">
        <v>0</v>
      </c>
      <c r="X245" s="54"/>
      <c r="Y245" s="57" t="s">
        <v>2194</v>
      </c>
      <c r="Z245" s="54" t="s">
        <v>1603</v>
      </c>
      <c r="AA245" s="54"/>
      <c r="AB245" s="54" t="s">
        <v>555</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7.9296000000000005E-2</v>
      </c>
      <c r="BC245" s="60">
        <v>4.0599999999999996</v>
      </c>
      <c r="BD245" s="61">
        <v>6.8672999999999998E-2</v>
      </c>
      <c r="BE245" s="62" t="s">
        <v>293</v>
      </c>
      <c r="BF245" s="35">
        <f t="shared" si="0"/>
        <v>4.0600000000000005</v>
      </c>
      <c r="BG245" s="35">
        <f t="shared" si="0"/>
        <v>6.8672999999999998E-2</v>
      </c>
      <c r="BH245" s="35" t="str">
        <f t="shared" ref="BH245:BH248" si="604">IF(ISTEXT(BE245),IF(AND(AV245=0,SUM(AN245:AQ245)=0),IF(AM245&lt;=0,IF(BE245="Y","Low","Flat"),"Med"),"High"),"?")</f>
        <v>Med</v>
      </c>
      <c r="BI245" s="110">
        <f t="shared" ref="BI245:BI248" si="605">IF(ISNUMBER(AH245),0*BI$5*SIN((EDATE($A$3,$Q245)-DATE(YEAR(EDATE($A$3,$Q245)),1,0)-BI$4)*2*PI()/365),"")</f>
        <v>0</v>
      </c>
      <c r="BJ245" s="83">
        <f>VLOOKUP($F245,REP_Info!$D$6:$H$250,5,FALSE)</f>
        <v>0.53900000000000003</v>
      </c>
      <c r="BK245" s="30">
        <f t="shared" ref="BK245:BN248" si="606">IF(BK$7&gt;0,(LOOKUP(BK$7,$AH245:$AL245,$AM245:$AQ245)+IF($AG245="Y",SUMPRODUCT($AX245:$BB245-$AW245:$BA245,BK$7-$AR245:$AV245,N(BK$7&gt;$AR245:$AV245)),BK$7*LOOKUP(BK$7,$AR245:$AV245,$AX245:$BB245))+IF($BE245="Y",$BF245,$BC245)+BK$7*IF($BE245="Y",$BG245,$BD245))*100/BK$7,"")</f>
        <v>16.608900000000002</v>
      </c>
      <c r="BL245" s="30">
        <f t="shared" si="606"/>
        <v>15.7029</v>
      </c>
      <c r="BM245" s="30">
        <f t="shared" si="606"/>
        <v>15.249900000000002</v>
      </c>
      <c r="BN245" s="29">
        <f t="shared" si="606"/>
        <v>15.098899999999999</v>
      </c>
      <c r="BO245" s="85" t="str">
        <f t="shared" si="2"/>
        <v>$$$</v>
      </c>
      <c r="BP245" s="88" t="str">
        <f t="shared" ref="BP245:BP248" si="607">IFERROR(BO245*100/BO$5,"$$$")</f>
        <v>$$$</v>
      </c>
      <c r="BQ245" s="88" t="str">
        <f t="shared" si="4"/>
        <v>$$$</v>
      </c>
      <c r="BR245" s="88" t="str">
        <f t="shared" si="5"/>
        <v>$$$</v>
      </c>
      <c r="BS245" s="29" t="e">
        <f t="shared" ref="BS245:CD248" si="608">IF($CI245,IF(BS$7&gt;0,IF(BS$4&gt;$Q245,$BF245+BS$7*(BS$5+$BG245+$BI245),LOOKUP(BS$7,$AH245:$AL245,$AM245:$AQ245)+IF($AG245="Y",SUMPRODUCT($AX245:$BB245-$AW245:$BA245,BS$7-$AR245:$AV245,N(BS$7&gt;$AR245:$AV245)),BS$7*LOOKUP(BS$7,$AR245:$AV245,$AX245:$BB245))+IF($BE245="Y",$BF245,$BC245)+BS$7*IF($BE245="Y",$BG245,$BD245))*100/BS$7,""),NA())</f>
        <v>#N/A</v>
      </c>
      <c r="BT245" s="29" t="e">
        <f t="shared" si="608"/>
        <v>#N/A</v>
      </c>
      <c r="BU245" s="29" t="e">
        <f t="shared" si="608"/>
        <v>#N/A</v>
      </c>
      <c r="BV245" s="29" t="e">
        <f t="shared" si="608"/>
        <v>#N/A</v>
      </c>
      <c r="BW245" s="29" t="e">
        <f t="shared" si="608"/>
        <v>#N/A</v>
      </c>
      <c r="BX245" s="29" t="e">
        <f t="shared" si="608"/>
        <v>#N/A</v>
      </c>
      <c r="BY245" s="29" t="e">
        <f t="shared" si="608"/>
        <v>#N/A</v>
      </c>
      <c r="BZ245" s="29" t="e">
        <f t="shared" si="608"/>
        <v>#N/A</v>
      </c>
      <c r="CA245" s="29" t="e">
        <f t="shared" si="608"/>
        <v>#N/A</v>
      </c>
      <c r="CB245" s="29" t="e">
        <f t="shared" si="608"/>
        <v>#N/A</v>
      </c>
      <c r="CC245" s="29" t="e">
        <f t="shared" si="608"/>
        <v>#N/A</v>
      </c>
      <c r="CD245" s="29" t="e">
        <f t="shared" si="608"/>
        <v>#N/A</v>
      </c>
      <c r="CE245" s="6" t="str">
        <f t="shared" si="452"/>
        <v/>
      </c>
      <c r="CF245" s="27" t="e">
        <f>IF(AND(CI245,NOT(AD245)),LOOKUP(CF$5,{0,750,1500},H245:J245),"")</f>
        <v>#N/A</v>
      </c>
      <c r="CG245" s="6" t="str">
        <f t="shared" si="453"/>
        <v/>
      </c>
      <c r="CH245" t="e">
        <f t="shared" ref="CH245:CH248" si="609">IF(CI245,IF(ISNUMBER(BO245),BO245,100000)+CV245/10000+IF(ISNUMBER(BJ245),BJ245,2)/10000-P245/100000+ROW()/10000000,"")</f>
        <v>#N/A</v>
      </c>
      <c r="CI245" t="e">
        <f t="shared" ref="CI245:CI248" si="610">PRODUCT(CJ245:CQ245)</f>
        <v>#N/A</v>
      </c>
      <c r="CJ245" s="6" t="e">
        <f t="shared" si="11"/>
        <v>#N/A</v>
      </c>
      <c r="CK245" s="6">
        <f t="shared" si="12"/>
        <v>1</v>
      </c>
      <c r="CL245" s="6">
        <f t="shared" si="26"/>
        <v>1</v>
      </c>
      <c r="CM245" s="6">
        <f t="shared" si="13"/>
        <v>1</v>
      </c>
      <c r="CN245" s="6">
        <f t="shared" si="14"/>
        <v>1</v>
      </c>
      <c r="CO245" s="6">
        <f t="shared" si="15"/>
        <v>0</v>
      </c>
      <c r="CP245" s="6">
        <f t="shared" si="16"/>
        <v>1</v>
      </c>
      <c r="CQ245" s="6">
        <f t="shared" ref="CQ245:CQ248" si="611">IF(CQ$5="Any",1,IF(AND(CQ$5="Med",AV245=0,SUM(AN245:AQ245)=0),1,IF(AND(CQ$5="Low",AV245=0,SUM(AN245:AQ245)=0,AM245=0),1,IF(AND(CQ$5="Flat",AV245=0,SUM(AN245:AQ245)=0,AM245=0,IFERROR(NOT(BE245="Y"),0)),1,0))))</f>
        <v>1</v>
      </c>
      <c r="CR245" s="81" t="str">
        <f t="shared" si="17"/>
        <v/>
      </c>
      <c r="CS245">
        <f t="shared" ref="CS245:CS248" si="612">CS$5*(12/(MIN(12,Q245))-1)</f>
        <v>0</v>
      </c>
      <c r="CT245">
        <f t="shared" si="19"/>
        <v>295</v>
      </c>
      <c r="CU245" t="str">
        <f t="shared" si="29"/>
        <v/>
      </c>
      <c r="CV245" s="81">
        <f t="shared" ref="CV245:CV248" si="613">CT245*IF(CU245="",1,Q245)</f>
        <v>295</v>
      </c>
      <c r="CW245" s="81">
        <f>(CV245/25)^1.5*(Calculator!$BU$4/10000)*CW$5</f>
        <v>21.080122109139459</v>
      </c>
      <c r="CX245" t="str">
        <f t="shared" ref="CX245:CX248" si="614">"$"&amp;IF(LEFT(CU245,1)="r",CT245&amp;"/"&amp;CU245,CV245)</f>
        <v>$295</v>
      </c>
    </row>
    <row r="246" spans="2:102" x14ac:dyDescent="0.25">
      <c r="B246" s="115" t="s">
        <v>233</v>
      </c>
      <c r="C246" s="13">
        <v>46316.611111111109</v>
      </c>
      <c r="D246">
        <v>25236</v>
      </c>
      <c r="E246" s="54" t="s">
        <v>235</v>
      </c>
      <c r="F246" s="54" t="s">
        <v>552</v>
      </c>
      <c r="G246" s="54" t="s">
        <v>558</v>
      </c>
      <c r="H246" s="55">
        <v>15.8</v>
      </c>
      <c r="I246" s="55">
        <v>14.799999999999999</v>
      </c>
      <c r="J246" s="55">
        <v>14.299999999999999</v>
      </c>
      <c r="K246" s="54"/>
      <c r="L246" s="56" t="b">
        <v>0</v>
      </c>
      <c r="M246" s="56" t="b">
        <v>0</v>
      </c>
      <c r="N246" s="54">
        <v>1</v>
      </c>
      <c r="O246" s="54" t="s">
        <v>228</v>
      </c>
      <c r="P246" s="54">
        <v>22</v>
      </c>
      <c r="Q246" s="54">
        <v>12</v>
      </c>
      <c r="R246" s="54">
        <v>150</v>
      </c>
      <c r="S246" s="54" t="s">
        <v>553</v>
      </c>
      <c r="T246" s="54" t="s">
        <v>557</v>
      </c>
      <c r="U246" s="54" t="s">
        <v>554</v>
      </c>
      <c r="V246" s="54" t="s">
        <v>2192</v>
      </c>
      <c r="W246" s="54" t="b">
        <v>0</v>
      </c>
      <c r="X246" s="54"/>
      <c r="Y246" s="57" t="s">
        <v>2195</v>
      </c>
      <c r="Z246" s="54" t="s">
        <v>1656</v>
      </c>
      <c r="AA246" s="54"/>
      <c r="AB246" s="54" t="s">
        <v>555</v>
      </c>
      <c r="AC246" s="56" t="b">
        <v>1</v>
      </c>
      <c r="AD246" s="56" t="b">
        <v>0</v>
      </c>
      <c r="AE246" s="54" t="s">
        <v>302</v>
      </c>
      <c r="AF246" s="58">
        <v>46299</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7.3216000000000003E-2</v>
      </c>
      <c r="BC246" s="60">
        <v>4.9000000000000004</v>
      </c>
      <c r="BD246" s="61">
        <v>6.5333000000000002E-2</v>
      </c>
      <c r="BE246" s="62" t="s">
        <v>293</v>
      </c>
      <c r="BF246" s="35">
        <f t="shared" si="0"/>
        <v>4.9000000000000004</v>
      </c>
      <c r="BG246" s="35">
        <f t="shared" si="0"/>
        <v>6.5333000000000002E-2</v>
      </c>
      <c r="BH246" s="35" t="str">
        <f t="shared" si="604"/>
        <v>Med</v>
      </c>
      <c r="BI246" s="110">
        <f t="shared" si="605"/>
        <v>0</v>
      </c>
      <c r="BJ246" s="83">
        <f>VLOOKUP($F246,REP_Info!$D$6:$H$250,5,FALSE)</f>
        <v>0.53900000000000003</v>
      </c>
      <c r="BK246" s="30">
        <f t="shared" si="606"/>
        <v>15.834899999999999</v>
      </c>
      <c r="BL246" s="30">
        <f t="shared" si="606"/>
        <v>14.844900000000001</v>
      </c>
      <c r="BM246" s="30">
        <f t="shared" si="606"/>
        <v>14.349900000000002</v>
      </c>
      <c r="BN246" s="29">
        <f t="shared" si="606"/>
        <v>14.184900000000001</v>
      </c>
      <c r="BO246" s="85" t="str">
        <f t="shared" si="2"/>
        <v>$$$</v>
      </c>
      <c r="BP246" s="88" t="str">
        <f t="shared" si="607"/>
        <v>$$$</v>
      </c>
      <c r="BQ246" s="88" t="str">
        <f t="shared" si="4"/>
        <v>$$$</v>
      </c>
      <c r="BR246" s="88" t="str">
        <f t="shared" si="5"/>
        <v>$$$</v>
      </c>
      <c r="BS246" s="29" t="e">
        <f t="shared" si="608"/>
        <v>#N/A</v>
      </c>
      <c r="BT246" s="29" t="e">
        <f t="shared" si="608"/>
        <v>#N/A</v>
      </c>
      <c r="BU246" s="29" t="e">
        <f t="shared" si="608"/>
        <v>#N/A</v>
      </c>
      <c r="BV246" s="29" t="e">
        <f t="shared" si="608"/>
        <v>#N/A</v>
      </c>
      <c r="BW246" s="29" t="e">
        <f t="shared" si="608"/>
        <v>#N/A</v>
      </c>
      <c r="BX246" s="29" t="e">
        <f t="shared" si="608"/>
        <v>#N/A</v>
      </c>
      <c r="BY246" s="29" t="e">
        <f t="shared" si="608"/>
        <v>#N/A</v>
      </c>
      <c r="BZ246" s="29" t="e">
        <f t="shared" si="608"/>
        <v>#N/A</v>
      </c>
      <c r="CA246" s="29" t="e">
        <f t="shared" si="608"/>
        <v>#N/A</v>
      </c>
      <c r="CB246" s="29" t="e">
        <f t="shared" si="608"/>
        <v>#N/A</v>
      </c>
      <c r="CC246" s="29" t="e">
        <f t="shared" si="608"/>
        <v>#N/A</v>
      </c>
      <c r="CD246" s="29" t="e">
        <f t="shared" si="608"/>
        <v>#N/A</v>
      </c>
      <c r="CE246" s="6" t="str">
        <f t="shared" si="452"/>
        <v/>
      </c>
      <c r="CF246" s="27" t="e">
        <f>IF(AND(CI246,NOT(AD246)),LOOKUP(CF$5,{0,750,1500},H246:J246),"")</f>
        <v>#N/A</v>
      </c>
      <c r="CG246" s="6" t="str">
        <f t="shared" si="453"/>
        <v/>
      </c>
      <c r="CH246" t="e">
        <f t="shared" si="609"/>
        <v>#N/A</v>
      </c>
      <c r="CI246" t="e">
        <f t="shared" si="610"/>
        <v>#N/A</v>
      </c>
      <c r="CJ246" s="6" t="e">
        <f t="shared" si="11"/>
        <v>#N/A</v>
      </c>
      <c r="CK246" s="6">
        <f t="shared" si="12"/>
        <v>1</v>
      </c>
      <c r="CL246" s="6">
        <f t="shared" si="26"/>
        <v>1</v>
      </c>
      <c r="CM246" s="6">
        <f t="shared" si="13"/>
        <v>1</v>
      </c>
      <c r="CN246" s="6">
        <f t="shared" si="14"/>
        <v>1</v>
      </c>
      <c r="CO246" s="6">
        <f t="shared" si="15"/>
        <v>1</v>
      </c>
      <c r="CP246" s="6">
        <f t="shared" si="16"/>
        <v>1</v>
      </c>
      <c r="CQ246" s="6">
        <f t="shared" si="611"/>
        <v>1</v>
      </c>
      <c r="CR246" s="81" t="str">
        <f t="shared" si="17"/>
        <v/>
      </c>
      <c r="CS246">
        <f t="shared" si="612"/>
        <v>0</v>
      </c>
      <c r="CT246">
        <f t="shared" si="19"/>
        <v>150</v>
      </c>
      <c r="CU246" t="str">
        <f t="shared" si="29"/>
        <v/>
      </c>
      <c r="CV246" s="81">
        <f t="shared" si="613"/>
        <v>150</v>
      </c>
      <c r="CW246" s="81">
        <f>(CV246/25)^1.5*(Calculator!$BU$4/10000)*CW$5</f>
        <v>7.6432310260371077</v>
      </c>
      <c r="CX246" t="str">
        <f t="shared" si="614"/>
        <v>$150</v>
      </c>
    </row>
    <row r="247" spans="2:102" x14ac:dyDescent="0.25">
      <c r="B247" s="115" t="s">
        <v>233</v>
      </c>
      <c r="C247" s="13">
        <v>46316.611111111109</v>
      </c>
      <c r="D247">
        <v>25238</v>
      </c>
      <c r="E247" s="54" t="s">
        <v>237</v>
      </c>
      <c r="F247" s="54" t="s">
        <v>552</v>
      </c>
      <c r="G247" s="54" t="s">
        <v>558</v>
      </c>
      <c r="H247" s="55">
        <v>16.2</v>
      </c>
      <c r="I247" s="55">
        <v>15.299999999999999</v>
      </c>
      <c r="J247" s="55">
        <v>14.799999999999999</v>
      </c>
      <c r="K247" s="54"/>
      <c r="L247" s="56" t="b">
        <v>0</v>
      </c>
      <c r="M247" s="56" t="b">
        <v>0</v>
      </c>
      <c r="N247" s="54">
        <v>1</v>
      </c>
      <c r="O247" s="54" t="s">
        <v>228</v>
      </c>
      <c r="P247" s="54">
        <v>22</v>
      </c>
      <c r="Q247" s="54">
        <v>12</v>
      </c>
      <c r="R247" s="54">
        <v>150</v>
      </c>
      <c r="S247" s="54" t="s">
        <v>553</v>
      </c>
      <c r="T247" s="54" t="s">
        <v>557</v>
      </c>
      <c r="U247" s="54" t="s">
        <v>554</v>
      </c>
      <c r="V247" s="54" t="s">
        <v>2192</v>
      </c>
      <c r="W247" s="54" t="b">
        <v>0</v>
      </c>
      <c r="X247" s="54"/>
      <c r="Y247" s="57" t="s">
        <v>2196</v>
      </c>
      <c r="Z247" s="54" t="s">
        <v>1603</v>
      </c>
      <c r="AA247" s="54"/>
      <c r="AB247" s="54" t="s">
        <v>555</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7.5296000000000002E-2</v>
      </c>
      <c r="BC247" s="60">
        <v>4.0599999999999996</v>
      </c>
      <c r="BD247" s="61">
        <v>6.8672999999999998E-2</v>
      </c>
      <c r="BE247" s="62" t="s">
        <v>293</v>
      </c>
      <c r="BF247" s="35">
        <f t="shared" ref="BF247:BG248" si="615">IF($E247=$E$4,BF$4,IF($E247=$E$5,BF$5,""))</f>
        <v>4.0600000000000005</v>
      </c>
      <c r="BG247" s="35">
        <f t="shared" si="615"/>
        <v>6.8672999999999998E-2</v>
      </c>
      <c r="BH247" s="35" t="str">
        <f t="shared" si="604"/>
        <v>Med</v>
      </c>
      <c r="BI247" s="110">
        <f t="shared" si="605"/>
        <v>0</v>
      </c>
      <c r="BJ247" s="83">
        <f>VLOOKUP($F247,REP_Info!$D$6:$H$250,5,FALSE)</f>
        <v>0.53900000000000003</v>
      </c>
      <c r="BK247" s="30">
        <f t="shared" si="606"/>
        <v>16.2089</v>
      </c>
      <c r="BL247" s="30">
        <f t="shared" si="606"/>
        <v>15.302899999999999</v>
      </c>
      <c r="BM247" s="30">
        <f t="shared" si="606"/>
        <v>14.849900000000002</v>
      </c>
      <c r="BN247" s="29">
        <f t="shared" si="606"/>
        <v>14.698899999999998</v>
      </c>
      <c r="BO247" s="85" t="str">
        <f t="shared" si="2"/>
        <v>$$$</v>
      </c>
      <c r="BP247" s="88" t="str">
        <f t="shared" si="607"/>
        <v>$$$</v>
      </c>
      <c r="BQ247" s="88" t="str">
        <f t="shared" si="4"/>
        <v>$$$</v>
      </c>
      <c r="BR247" s="88" t="str">
        <f t="shared" si="5"/>
        <v>$$$</v>
      </c>
      <c r="BS247" s="29" t="e">
        <f t="shared" si="608"/>
        <v>#N/A</v>
      </c>
      <c r="BT247" s="29" t="e">
        <f t="shared" si="608"/>
        <v>#N/A</v>
      </c>
      <c r="BU247" s="29" t="e">
        <f t="shared" si="608"/>
        <v>#N/A</v>
      </c>
      <c r="BV247" s="29" t="e">
        <f t="shared" si="608"/>
        <v>#N/A</v>
      </c>
      <c r="BW247" s="29" t="e">
        <f t="shared" si="608"/>
        <v>#N/A</v>
      </c>
      <c r="BX247" s="29" t="e">
        <f t="shared" si="608"/>
        <v>#N/A</v>
      </c>
      <c r="BY247" s="29" t="e">
        <f t="shared" si="608"/>
        <v>#N/A</v>
      </c>
      <c r="BZ247" s="29" t="e">
        <f t="shared" si="608"/>
        <v>#N/A</v>
      </c>
      <c r="CA247" s="29" t="e">
        <f t="shared" si="608"/>
        <v>#N/A</v>
      </c>
      <c r="CB247" s="29" t="e">
        <f t="shared" si="608"/>
        <v>#N/A</v>
      </c>
      <c r="CC247" s="29" t="e">
        <f t="shared" si="608"/>
        <v>#N/A</v>
      </c>
      <c r="CD247" s="29" t="e">
        <f t="shared" si="608"/>
        <v>#N/A</v>
      </c>
      <c r="CE247" s="6" t="str">
        <f t="shared" si="452"/>
        <v/>
      </c>
      <c r="CF247" s="27" t="e">
        <f>IF(AND(CI247,NOT(AD247)),LOOKUP(CF$5,{0,750,1500},H247:J247),"")</f>
        <v>#N/A</v>
      </c>
      <c r="CG247" s="6" t="str">
        <f t="shared" si="453"/>
        <v/>
      </c>
      <c r="CH247" t="e">
        <f t="shared" si="609"/>
        <v>#N/A</v>
      </c>
      <c r="CI247" t="e">
        <f t="shared" si="610"/>
        <v>#N/A</v>
      </c>
      <c r="CJ247" s="6" t="e">
        <f t="shared" si="11"/>
        <v>#N/A</v>
      </c>
      <c r="CK247" s="6">
        <f t="shared" si="12"/>
        <v>1</v>
      </c>
      <c r="CL247" s="6">
        <f t="shared" si="26"/>
        <v>1</v>
      </c>
      <c r="CM247" s="6">
        <f t="shared" si="13"/>
        <v>1</v>
      </c>
      <c r="CN247" s="6">
        <f t="shared" si="14"/>
        <v>1</v>
      </c>
      <c r="CO247" s="6">
        <f t="shared" si="15"/>
        <v>1</v>
      </c>
      <c r="CP247" s="6">
        <f t="shared" si="16"/>
        <v>1</v>
      </c>
      <c r="CQ247" s="6">
        <f t="shared" si="611"/>
        <v>1</v>
      </c>
      <c r="CR247" s="81" t="str">
        <f t="shared" si="17"/>
        <v/>
      </c>
      <c r="CS247">
        <f t="shared" si="612"/>
        <v>0</v>
      </c>
      <c r="CT247">
        <f t="shared" si="19"/>
        <v>150</v>
      </c>
      <c r="CU247" t="str">
        <f t="shared" si="29"/>
        <v/>
      </c>
      <c r="CV247" s="81">
        <f t="shared" si="613"/>
        <v>150</v>
      </c>
      <c r="CW247" s="81">
        <f>(CV247/25)^1.5*(Calculator!$BU$4/10000)*CW$5</f>
        <v>7.6432310260371077</v>
      </c>
      <c r="CX247" t="str">
        <f t="shared" si="614"/>
        <v>$150</v>
      </c>
    </row>
    <row r="248" spans="2:102" x14ac:dyDescent="0.25">
      <c r="B248" s="115" t="s">
        <v>233</v>
      </c>
      <c r="C248" s="13">
        <v>46316.611111111109</v>
      </c>
      <c r="D248">
        <v>28112</v>
      </c>
      <c r="E248" s="54" t="s">
        <v>235</v>
      </c>
      <c r="F248" s="54" t="s">
        <v>552</v>
      </c>
      <c r="G248" s="54" t="s">
        <v>1443</v>
      </c>
      <c r="H248" s="55">
        <v>15.7</v>
      </c>
      <c r="I248" s="55">
        <v>14.7</v>
      </c>
      <c r="J248" s="55">
        <v>14.2</v>
      </c>
      <c r="K248" s="54"/>
      <c r="L248" s="56" t="b">
        <v>0</v>
      </c>
      <c r="M248" s="56" t="b">
        <v>0</v>
      </c>
      <c r="N248" s="54">
        <v>1</v>
      </c>
      <c r="O248" s="54" t="s">
        <v>228</v>
      </c>
      <c r="P248" s="54">
        <v>22</v>
      </c>
      <c r="Q248" s="54">
        <v>18</v>
      </c>
      <c r="R248" s="54">
        <v>180</v>
      </c>
      <c r="S248" s="54" t="s">
        <v>553</v>
      </c>
      <c r="T248" s="54" t="s">
        <v>557</v>
      </c>
      <c r="U248" s="54" t="s">
        <v>554</v>
      </c>
      <c r="V248" s="54" t="s">
        <v>2192</v>
      </c>
      <c r="W248" s="54" t="b">
        <v>0</v>
      </c>
      <c r="X248" s="54"/>
      <c r="Y248" s="57" t="s">
        <v>2197</v>
      </c>
      <c r="Z248" s="54" t="s">
        <v>1657</v>
      </c>
      <c r="AA248" s="54"/>
      <c r="AB248" s="54" t="s">
        <v>555</v>
      </c>
      <c r="AC248" s="56" t="b">
        <v>1</v>
      </c>
      <c r="AD248" s="56" t="b">
        <v>0</v>
      </c>
      <c r="AE248" s="54" t="s">
        <v>302</v>
      </c>
      <c r="AF248" s="58">
        <v>46299</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7.2216000000000002E-2</v>
      </c>
      <c r="BC248" s="60">
        <v>4.9000000000000004</v>
      </c>
      <c r="BD248" s="61">
        <v>6.5333000000000002E-2</v>
      </c>
      <c r="BE248" s="62" t="s">
        <v>293</v>
      </c>
      <c r="BF248" s="35">
        <f t="shared" si="615"/>
        <v>4.9000000000000004</v>
      </c>
      <c r="BG248" s="35">
        <f t="shared" si="615"/>
        <v>6.5333000000000002E-2</v>
      </c>
      <c r="BH248" s="35" t="str">
        <f t="shared" si="604"/>
        <v>Med</v>
      </c>
      <c r="BI248" s="110">
        <f t="shared" si="605"/>
        <v>0</v>
      </c>
      <c r="BJ248" s="83">
        <f>VLOOKUP($F248,REP_Info!$D$6:$H$250,5,FALSE)</f>
        <v>0.53900000000000003</v>
      </c>
      <c r="BK248" s="30">
        <f t="shared" si="606"/>
        <v>15.7349</v>
      </c>
      <c r="BL248" s="30">
        <f t="shared" si="606"/>
        <v>14.744900000000001</v>
      </c>
      <c r="BM248" s="30">
        <f t="shared" si="606"/>
        <v>14.249900000000002</v>
      </c>
      <c r="BN248" s="29">
        <f t="shared" si="606"/>
        <v>14.084900000000001</v>
      </c>
      <c r="BO248" s="85" t="str">
        <f t="shared" si="2"/>
        <v>$$$</v>
      </c>
      <c r="BP248" s="88" t="str">
        <f t="shared" si="607"/>
        <v>$$$</v>
      </c>
      <c r="BQ248" s="88" t="str">
        <f t="shared" si="4"/>
        <v>$$$</v>
      </c>
      <c r="BR248" s="88" t="str">
        <f t="shared" si="5"/>
        <v>$$$</v>
      </c>
      <c r="BS248" s="29" t="e">
        <f t="shared" si="608"/>
        <v>#N/A</v>
      </c>
      <c r="BT248" s="29" t="e">
        <f t="shared" si="608"/>
        <v>#N/A</v>
      </c>
      <c r="BU248" s="29" t="e">
        <f t="shared" si="608"/>
        <v>#N/A</v>
      </c>
      <c r="BV248" s="29" t="e">
        <f t="shared" si="608"/>
        <v>#N/A</v>
      </c>
      <c r="BW248" s="29" t="e">
        <f t="shared" si="608"/>
        <v>#N/A</v>
      </c>
      <c r="BX248" s="29" t="e">
        <f t="shared" si="608"/>
        <v>#N/A</v>
      </c>
      <c r="BY248" s="29" t="e">
        <f t="shared" si="608"/>
        <v>#N/A</v>
      </c>
      <c r="BZ248" s="29" t="e">
        <f t="shared" si="608"/>
        <v>#N/A</v>
      </c>
      <c r="CA248" s="29" t="e">
        <f t="shared" si="608"/>
        <v>#N/A</v>
      </c>
      <c r="CB248" s="29" t="e">
        <f t="shared" si="608"/>
        <v>#N/A</v>
      </c>
      <c r="CC248" s="29" t="e">
        <f t="shared" si="608"/>
        <v>#N/A</v>
      </c>
      <c r="CD248" s="29" t="e">
        <f t="shared" si="608"/>
        <v>#N/A</v>
      </c>
      <c r="CE248" s="6" t="str">
        <f t="shared" si="452"/>
        <v/>
      </c>
      <c r="CF248" s="27" t="e">
        <f>IF(AND(CI248,NOT(AD248)),LOOKUP(CF$5,{0,750,1500},H248:J248),"")</f>
        <v>#N/A</v>
      </c>
      <c r="CG248" s="6" t="str">
        <f t="shared" si="453"/>
        <v/>
      </c>
      <c r="CH248" t="e">
        <f t="shared" si="609"/>
        <v>#N/A</v>
      </c>
      <c r="CI248" t="e">
        <f t="shared" si="610"/>
        <v>#N/A</v>
      </c>
      <c r="CJ248" s="6" t="e">
        <f t="shared" si="11"/>
        <v>#N/A</v>
      </c>
      <c r="CK248" s="6">
        <f t="shared" si="12"/>
        <v>1</v>
      </c>
      <c r="CL248" s="6">
        <f t="shared" si="26"/>
        <v>1</v>
      </c>
      <c r="CM248" s="6">
        <f t="shared" si="13"/>
        <v>1</v>
      </c>
      <c r="CN248" s="6">
        <f t="shared" si="14"/>
        <v>1</v>
      </c>
      <c r="CO248" s="6">
        <f t="shared" si="15"/>
        <v>0</v>
      </c>
      <c r="CP248" s="6">
        <f t="shared" si="16"/>
        <v>1</v>
      </c>
      <c r="CQ248" s="6">
        <f t="shared" si="611"/>
        <v>1</v>
      </c>
      <c r="CR248" s="81" t="str">
        <f t="shared" si="17"/>
        <v/>
      </c>
      <c r="CS248">
        <f t="shared" si="612"/>
        <v>0</v>
      </c>
      <c r="CT248">
        <f t="shared" si="19"/>
        <v>180</v>
      </c>
      <c r="CU248" t="str">
        <f t="shared" si="29"/>
        <v/>
      </c>
      <c r="CV248" s="81">
        <f t="shared" si="613"/>
        <v>180</v>
      </c>
      <c r="CW248" s="81">
        <f>(CV248/25)^1.5*(Calculator!$BU$4/10000)*CW$5</f>
        <v>10.047288108441309</v>
      </c>
      <c r="CX248" t="str">
        <f t="shared" si="614"/>
        <v>$180</v>
      </c>
    </row>
    <row r="249" spans="2:102" x14ac:dyDescent="0.25">
      <c r="B249" s="115" t="s">
        <v>233</v>
      </c>
      <c r="C249" s="13">
        <v>46316.611111111109</v>
      </c>
      <c r="D249">
        <v>28114</v>
      </c>
      <c r="E249" s="54" t="s">
        <v>237</v>
      </c>
      <c r="F249" s="54" t="s">
        <v>552</v>
      </c>
      <c r="G249" s="54" t="s">
        <v>1443</v>
      </c>
      <c r="H249" s="55">
        <v>16.3</v>
      </c>
      <c r="I249" s="55">
        <v>15.4</v>
      </c>
      <c r="J249" s="55">
        <v>14.899999999999999</v>
      </c>
      <c r="K249" s="54"/>
      <c r="L249" s="56" t="b">
        <v>0</v>
      </c>
      <c r="M249" s="56" t="b">
        <v>0</v>
      </c>
      <c r="N249" s="54">
        <v>1</v>
      </c>
      <c r="O249" s="54" t="s">
        <v>228</v>
      </c>
      <c r="P249" s="54">
        <v>22</v>
      </c>
      <c r="Q249" s="54">
        <v>18</v>
      </c>
      <c r="R249" s="54">
        <v>180</v>
      </c>
      <c r="S249" s="54" t="s">
        <v>553</v>
      </c>
      <c r="T249" s="54" t="s">
        <v>557</v>
      </c>
      <c r="U249" s="54" t="s">
        <v>554</v>
      </c>
      <c r="V249" s="54" t="s">
        <v>2192</v>
      </c>
      <c r="W249" s="54" t="b">
        <v>0</v>
      </c>
      <c r="X249" s="54"/>
      <c r="Y249" s="57" t="s">
        <v>2198</v>
      </c>
      <c r="Z249" s="54" t="s">
        <v>1604</v>
      </c>
      <c r="AA249" s="54"/>
      <c r="AB249" s="54" t="s">
        <v>555</v>
      </c>
      <c r="AC249" s="56" t="b">
        <v>1</v>
      </c>
      <c r="AD249" s="56" t="b">
        <v>0</v>
      </c>
      <c r="AE249" s="54" t="s">
        <v>302</v>
      </c>
      <c r="AF249" s="58">
        <v>46299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7.6296000000000003E-2</v>
      </c>
      <c r="BC249" s="60">
        <v>4.0599999999999996</v>
      </c>
      <c r="BD249" s="61">
        <v>6.8672999999999998E-2</v>
      </c>
      <c r="BE249" s="62" t="s">
        <v>293</v>
      </c>
      <c r="BF249" s="35">
        <f t="shared" ref="BF249:BG265" si="616">IF($E249=$E$4,BF$4,IF($E249=$E$5,BF$5,""))</f>
        <v>4.0600000000000005</v>
      </c>
      <c r="BG249" s="35">
        <f t="shared" si="616"/>
        <v>6.8672999999999998E-2</v>
      </c>
      <c r="BH249" s="35" t="str">
        <f t="shared" ref="BH249:BH265" si="617">IF(ISTEXT(BE249),IF(AND(AV249=0,SUM(AN249:AQ249)=0),IF(AM249&lt;=0,IF(BE249="Y","Low","Flat"),"Med"),"High"),"?")</f>
        <v>Med</v>
      </c>
      <c r="BI249" s="110">
        <f t="shared" ref="BI249:BI265" si="618">IF(ISNUMBER(AH249),0*BI$5*SIN((EDATE($A$3,$Q249)-DATE(YEAR(EDATE($A$3,$Q249)),1,0)-BI$4)*2*PI()/365),"")</f>
        <v>0</v>
      </c>
      <c r="BJ249" s="83">
        <f>VLOOKUP($F249,REP_Info!$D$6:$H$250,5,FALSE)</f>
        <v>0.53900000000000003</v>
      </c>
      <c r="BK249" s="30">
        <f t="shared" ref="BK249:BN265" si="619">IF(BK$7&gt;0,(LOOKUP(BK$7,$AH249:$AL249,$AM249:$AQ249)+IF($AG249="Y",SUMPRODUCT($AX249:$BB249-$AW249:$BA249,BK$7-$AR249:$AV249,N(BK$7&gt;$AR249:$AV249)),BK$7*LOOKUP(BK$7,$AR249:$AV249,$AX249:$BB249))+IF($BE249="Y",$BF249,$BC249)+BK$7*IF($BE249="Y",$BG249,$BD249))*100/BK$7,"")</f>
        <v>16.308900000000001</v>
      </c>
      <c r="BL249" s="30">
        <f t="shared" si="619"/>
        <v>15.402899999999999</v>
      </c>
      <c r="BM249" s="30">
        <f t="shared" si="619"/>
        <v>14.949900000000001</v>
      </c>
      <c r="BN249" s="29">
        <f t="shared" si="619"/>
        <v>14.7989</v>
      </c>
      <c r="BO249" s="85" t="str">
        <f t="shared" si="2"/>
        <v>$$$</v>
      </c>
      <c r="BP249" s="88" t="str">
        <f t="shared" ref="BP249:BP265" si="620">IFERROR(BO249*100/BO$5,"$$$")</f>
        <v>$$$</v>
      </c>
      <c r="BQ249" s="88" t="str">
        <f t="shared" si="4"/>
        <v>$$$</v>
      </c>
      <c r="BR249" s="88" t="str">
        <f t="shared" si="5"/>
        <v>$$$</v>
      </c>
      <c r="BS249" s="29" t="e">
        <f t="shared" ref="BS249:CD265" si="621">IF($CI249,IF(BS$7&gt;0,IF(BS$4&gt;$Q249,$BF249+BS$7*(BS$5+$BG249+$BI249),LOOKUP(BS$7,$AH249:$AL249,$AM249:$AQ249)+IF($AG249="Y",SUMPRODUCT($AX249:$BB249-$AW249:$BA249,BS$7-$AR249:$AV249,N(BS$7&gt;$AR249:$AV249)),BS$7*LOOKUP(BS$7,$AR249:$AV249,$AX249:$BB249))+IF($BE249="Y",$BF249,$BC249)+BS$7*IF($BE249="Y",$BG249,$BD249))*100/BS$7,""),NA())</f>
        <v>#N/A</v>
      </c>
      <c r="BT249" s="29" t="e">
        <f t="shared" si="621"/>
        <v>#N/A</v>
      </c>
      <c r="BU249" s="29" t="e">
        <f t="shared" si="621"/>
        <v>#N/A</v>
      </c>
      <c r="BV249" s="29" t="e">
        <f t="shared" si="621"/>
        <v>#N/A</v>
      </c>
      <c r="BW249" s="29" t="e">
        <f t="shared" si="621"/>
        <v>#N/A</v>
      </c>
      <c r="BX249" s="29" t="e">
        <f t="shared" si="621"/>
        <v>#N/A</v>
      </c>
      <c r="BY249" s="29" t="e">
        <f t="shared" si="621"/>
        <v>#N/A</v>
      </c>
      <c r="BZ249" s="29" t="e">
        <f t="shared" si="621"/>
        <v>#N/A</v>
      </c>
      <c r="CA249" s="29" t="e">
        <f t="shared" si="621"/>
        <v>#N/A</v>
      </c>
      <c r="CB249" s="29" t="e">
        <f t="shared" si="621"/>
        <v>#N/A</v>
      </c>
      <c r="CC249" s="29" t="e">
        <f t="shared" si="621"/>
        <v>#N/A</v>
      </c>
      <c r="CD249" s="29" t="e">
        <f t="shared" si="621"/>
        <v>#N/A</v>
      </c>
      <c r="CE249" s="6" t="str">
        <f t="shared" si="452"/>
        <v/>
      </c>
      <c r="CF249" s="27" t="e">
        <f>IF(AND(CI249,NOT(AD249)),LOOKUP(CF$5,{0,750,1500},H249:J249),"")</f>
        <v>#N/A</v>
      </c>
      <c r="CG249" s="6" t="str">
        <f t="shared" si="453"/>
        <v/>
      </c>
      <c r="CH249" t="e">
        <f t="shared" ref="CH249:CH265" si="622">IF(CI249,IF(ISNUMBER(BO249),BO249,100000)+CV249/10000+IF(ISNUMBER(BJ249),BJ249,2)/10000-P249/100000+ROW()/10000000,"")</f>
        <v>#N/A</v>
      </c>
      <c r="CI249" t="e">
        <f t="shared" ref="CI249:CI265" si="623">PRODUCT(CJ249:CQ249)</f>
        <v>#N/A</v>
      </c>
      <c r="CJ249" s="6" t="e">
        <f t="shared" si="11"/>
        <v>#N/A</v>
      </c>
      <c r="CK249" s="6">
        <f t="shared" si="12"/>
        <v>1</v>
      </c>
      <c r="CL249" s="6">
        <f t="shared" si="26"/>
        <v>1</v>
      </c>
      <c r="CM249" s="6">
        <f t="shared" si="13"/>
        <v>1</v>
      </c>
      <c r="CN249" s="6">
        <f t="shared" si="14"/>
        <v>1</v>
      </c>
      <c r="CO249" s="6">
        <f t="shared" si="15"/>
        <v>0</v>
      </c>
      <c r="CP249" s="6">
        <f t="shared" si="16"/>
        <v>1</v>
      </c>
      <c r="CQ249" s="6">
        <f t="shared" ref="CQ249:CQ265" si="624">IF(CQ$5="Any",1,IF(AND(CQ$5="Med",AV249=0,SUM(AN249:AQ249)=0),1,IF(AND(CQ$5="Low",AV249=0,SUM(AN249:AQ249)=0,AM249=0),1,IF(AND(CQ$5="Flat",AV249=0,SUM(AN249:AQ249)=0,AM249=0,IFERROR(NOT(BE249="Y"),0)),1,0))))</f>
        <v>1</v>
      </c>
      <c r="CR249" s="81" t="str">
        <f t="shared" si="17"/>
        <v/>
      </c>
      <c r="CS249">
        <f t="shared" ref="CS249:CS265" si="625">CS$5*(12/(MIN(12,Q249))-1)</f>
        <v>0</v>
      </c>
      <c r="CT249">
        <f t="shared" si="19"/>
        <v>180</v>
      </c>
      <c r="CU249" t="str">
        <f t="shared" si="29"/>
        <v/>
      </c>
      <c r="CV249" s="81">
        <f t="shared" ref="CV249:CV265" si="626">CT249*IF(CU249="",1,Q249)</f>
        <v>180</v>
      </c>
      <c r="CW249" s="81">
        <f>(CV249/25)^1.5*(Calculator!$BU$4/10000)*CW$5</f>
        <v>10.047288108441309</v>
      </c>
      <c r="CX249" t="str">
        <f t="shared" ref="CX249:CX265" si="627">"$"&amp;IF(LEFT(CU249,1)="r",CT249&amp;"/"&amp;CU249,CV249)</f>
        <v>$180</v>
      </c>
    </row>
    <row r="250" spans="2:102" x14ac:dyDescent="0.25">
      <c r="B250" s="115" t="s">
        <v>233</v>
      </c>
      <c r="C250" s="13">
        <v>46316.611111111109</v>
      </c>
      <c r="D250">
        <v>31759</v>
      </c>
      <c r="E250" s="54" t="s">
        <v>235</v>
      </c>
      <c r="F250" s="54" t="s">
        <v>552</v>
      </c>
      <c r="G250" s="54" t="s">
        <v>2199</v>
      </c>
      <c r="H250" s="55">
        <v>14.899999999999999</v>
      </c>
      <c r="I250" s="55">
        <v>13.900000000000002</v>
      </c>
      <c r="J250" s="55">
        <v>13.4</v>
      </c>
      <c r="K250" s="54"/>
      <c r="L250" s="56" t="b">
        <v>0</v>
      </c>
      <c r="M250" s="56" t="b">
        <v>0</v>
      </c>
      <c r="N250" s="54">
        <v>1</v>
      </c>
      <c r="O250" s="54" t="s">
        <v>228</v>
      </c>
      <c r="P250" s="54">
        <v>22</v>
      </c>
      <c r="Q250" s="54">
        <v>8</v>
      </c>
      <c r="R250" s="54">
        <v>75</v>
      </c>
      <c r="S250" s="54" t="s">
        <v>2200</v>
      </c>
      <c r="T250" s="54" t="s">
        <v>557</v>
      </c>
      <c r="U250" s="54" t="s">
        <v>554</v>
      </c>
      <c r="V250" s="54" t="s">
        <v>2192</v>
      </c>
      <c r="W250" s="54" t="b">
        <v>0</v>
      </c>
      <c r="X250" s="54"/>
      <c r="Y250" s="57" t="s">
        <v>2201</v>
      </c>
      <c r="Z250" s="54" t="s">
        <v>1656</v>
      </c>
      <c r="AA250" s="54"/>
      <c r="AB250" s="54" t="s">
        <v>555</v>
      </c>
      <c r="AC250" s="56" t="b">
        <v>1</v>
      </c>
      <c r="AD250" s="56" t="b">
        <v>0</v>
      </c>
      <c r="AE250" s="54" t="s">
        <v>302</v>
      </c>
      <c r="AF250" s="58">
        <v>46299</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6.4215999999999995E-2</v>
      </c>
      <c r="BC250" s="60">
        <v>4.9000000000000004</v>
      </c>
      <c r="BD250" s="61">
        <v>6.5333000000000002E-2</v>
      </c>
      <c r="BE250" s="62" t="s">
        <v>293</v>
      </c>
      <c r="BF250" s="35">
        <f t="shared" si="616"/>
        <v>4.9000000000000004</v>
      </c>
      <c r="BG250" s="35">
        <f t="shared" si="616"/>
        <v>6.5333000000000002E-2</v>
      </c>
      <c r="BH250" s="35" t="str">
        <f t="shared" si="617"/>
        <v>Med</v>
      </c>
      <c r="BI250" s="110">
        <f t="shared" si="618"/>
        <v>0</v>
      </c>
      <c r="BJ250" s="83">
        <f>VLOOKUP($F250,REP_Info!$D$6:$H$250,5,FALSE)</f>
        <v>0.53900000000000003</v>
      </c>
      <c r="BK250" s="30">
        <f t="shared" si="619"/>
        <v>14.934899999999999</v>
      </c>
      <c r="BL250" s="30">
        <f t="shared" si="619"/>
        <v>13.944900000000002</v>
      </c>
      <c r="BM250" s="30">
        <f t="shared" si="619"/>
        <v>13.4499</v>
      </c>
      <c r="BN250" s="29">
        <f t="shared" si="619"/>
        <v>13.284900000000002</v>
      </c>
      <c r="BO250" s="85" t="str">
        <f t="shared" si="2"/>
        <v>$$$</v>
      </c>
      <c r="BP250" s="88" t="str">
        <f t="shared" si="620"/>
        <v>$$$</v>
      </c>
      <c r="BQ250" s="88" t="str">
        <f t="shared" si="4"/>
        <v>$$$</v>
      </c>
      <c r="BR250" s="88" t="str">
        <f t="shared" si="5"/>
        <v>$$$</v>
      </c>
      <c r="BS250" s="29" t="e">
        <f t="shared" si="621"/>
        <v>#N/A</v>
      </c>
      <c r="BT250" s="29" t="e">
        <f t="shared" si="621"/>
        <v>#N/A</v>
      </c>
      <c r="BU250" s="29" t="e">
        <f t="shared" si="621"/>
        <v>#N/A</v>
      </c>
      <c r="BV250" s="29" t="e">
        <f t="shared" si="621"/>
        <v>#N/A</v>
      </c>
      <c r="BW250" s="29" t="e">
        <f t="shared" si="621"/>
        <v>#N/A</v>
      </c>
      <c r="BX250" s="29" t="e">
        <f t="shared" si="621"/>
        <v>#N/A</v>
      </c>
      <c r="BY250" s="29" t="e">
        <f t="shared" si="621"/>
        <v>#N/A</v>
      </c>
      <c r="BZ250" s="29" t="e">
        <f t="shared" si="621"/>
        <v>#N/A</v>
      </c>
      <c r="CA250" s="29" t="e">
        <f t="shared" si="621"/>
        <v>#N/A</v>
      </c>
      <c r="CB250" s="29" t="e">
        <f t="shared" si="621"/>
        <v>#N/A</v>
      </c>
      <c r="CC250" s="29" t="e">
        <f t="shared" si="621"/>
        <v>#N/A</v>
      </c>
      <c r="CD250" s="29" t="e">
        <f t="shared" si="621"/>
        <v>#N/A</v>
      </c>
      <c r="CE250" s="6" t="str">
        <f t="shared" si="452"/>
        <v/>
      </c>
      <c r="CF250" s="27" t="e">
        <f>IF(AND(CI250,NOT(AD250)),LOOKUP(CF$5,{0,750,1500},H250:J250),"")</f>
        <v>#N/A</v>
      </c>
      <c r="CG250" s="6" t="str">
        <f t="shared" si="453"/>
        <v/>
      </c>
      <c r="CH250" t="e">
        <f t="shared" si="622"/>
        <v>#N/A</v>
      </c>
      <c r="CI250" t="e">
        <f t="shared" si="623"/>
        <v>#N/A</v>
      </c>
      <c r="CJ250" s="6" t="e">
        <f t="shared" si="11"/>
        <v>#N/A</v>
      </c>
      <c r="CK250" s="6">
        <f t="shared" si="12"/>
        <v>1</v>
      </c>
      <c r="CL250" s="6">
        <f t="shared" si="26"/>
        <v>1</v>
      </c>
      <c r="CM250" s="6">
        <f t="shared" si="13"/>
        <v>1</v>
      </c>
      <c r="CN250" s="6">
        <f t="shared" si="14"/>
        <v>0</v>
      </c>
      <c r="CO250" s="6">
        <f t="shared" si="15"/>
        <v>1</v>
      </c>
      <c r="CP250" s="6">
        <f t="shared" si="16"/>
        <v>1</v>
      </c>
      <c r="CQ250" s="6">
        <f t="shared" si="624"/>
        <v>1</v>
      </c>
      <c r="CR250" s="81" t="str">
        <f t="shared" si="17"/>
        <v/>
      </c>
      <c r="CS250">
        <f t="shared" si="625"/>
        <v>9</v>
      </c>
      <c r="CT250">
        <f t="shared" si="19"/>
        <v>75</v>
      </c>
      <c r="CU250" t="str">
        <f t="shared" si="29"/>
        <v/>
      </c>
      <c r="CV250" s="81">
        <f t="shared" si="626"/>
        <v>75</v>
      </c>
      <c r="CW250" s="81">
        <f>(CV250/25)^1.5*(Calculator!$BU$4/10000)*CW$5</f>
        <v>2.7022902443431254</v>
      </c>
      <c r="CX250" t="str">
        <f t="shared" si="627"/>
        <v>$75</v>
      </c>
    </row>
    <row r="251" spans="2:102" x14ac:dyDescent="0.25">
      <c r="B251" s="115" t="s">
        <v>233</v>
      </c>
      <c r="C251" s="13">
        <v>46316.611111111109</v>
      </c>
      <c r="D251">
        <v>31761</v>
      </c>
      <c r="E251" s="54" t="s">
        <v>237</v>
      </c>
      <c r="F251" s="54" t="s">
        <v>552</v>
      </c>
      <c r="G251" s="54" t="s">
        <v>2199</v>
      </c>
      <c r="H251" s="55">
        <v>15.9</v>
      </c>
      <c r="I251" s="55">
        <v>15</v>
      </c>
      <c r="J251" s="55">
        <v>14.499999999999998</v>
      </c>
      <c r="K251" s="54"/>
      <c r="L251" s="56" t="b">
        <v>0</v>
      </c>
      <c r="M251" s="56" t="b">
        <v>0</v>
      </c>
      <c r="N251" s="54">
        <v>1</v>
      </c>
      <c r="O251" s="54" t="s">
        <v>228</v>
      </c>
      <c r="P251" s="54">
        <v>22</v>
      </c>
      <c r="Q251" s="54">
        <v>8</v>
      </c>
      <c r="R251" s="54">
        <v>75</v>
      </c>
      <c r="S251" s="54" t="s">
        <v>2200</v>
      </c>
      <c r="T251" s="54" t="s">
        <v>557</v>
      </c>
      <c r="U251" s="54" t="s">
        <v>554</v>
      </c>
      <c r="V251" s="54" t="s">
        <v>2192</v>
      </c>
      <c r="W251" s="54" t="b">
        <v>0</v>
      </c>
      <c r="X251" s="54"/>
      <c r="Y251" s="57" t="s">
        <v>2202</v>
      </c>
      <c r="Z251" s="54" t="s">
        <v>1603</v>
      </c>
      <c r="AA251" s="54"/>
      <c r="AB251" s="54" t="s">
        <v>555</v>
      </c>
      <c r="AC251" s="56" t="b">
        <v>1</v>
      </c>
      <c r="AD251" s="56" t="b">
        <v>0</v>
      </c>
      <c r="AE251" s="54" t="s">
        <v>302</v>
      </c>
      <c r="AF251" s="58">
        <v>46299</v>
      </c>
      <c r="AG251" s="62" t="s">
        <v>293</v>
      </c>
      <c r="AH251" s="54">
        <v>0</v>
      </c>
      <c r="AI251" s="54"/>
      <c r="AJ251" s="54"/>
      <c r="AK251" s="54"/>
      <c r="AL251" s="54"/>
      <c r="AM251" s="54">
        <v>5</v>
      </c>
      <c r="AN251" s="54"/>
      <c r="AO251" s="54"/>
      <c r="AP251" s="54"/>
      <c r="AQ251" s="54"/>
      <c r="AR251" s="54"/>
      <c r="AS251" s="54"/>
      <c r="AT251" s="54"/>
      <c r="AU251" s="54"/>
      <c r="AV251" s="54"/>
      <c r="AW251" s="54"/>
      <c r="AX251" s="59"/>
      <c r="AY251" s="59"/>
      <c r="AZ251" s="59"/>
      <c r="BA251" s="59"/>
      <c r="BB251" s="59">
        <v>7.2295999999999999E-2</v>
      </c>
      <c r="BC251" s="60">
        <v>4.0599999999999996</v>
      </c>
      <c r="BD251" s="61">
        <v>6.8672999999999998E-2</v>
      </c>
      <c r="BE251" s="62" t="s">
        <v>293</v>
      </c>
      <c r="BF251" s="35">
        <f t="shared" si="616"/>
        <v>4.0600000000000005</v>
      </c>
      <c r="BG251" s="35">
        <f t="shared" si="616"/>
        <v>6.8672999999999998E-2</v>
      </c>
      <c r="BH251" s="35" t="str">
        <f t="shared" si="617"/>
        <v>Med</v>
      </c>
      <c r="BI251" s="110">
        <f t="shared" si="618"/>
        <v>0</v>
      </c>
      <c r="BJ251" s="83">
        <f>VLOOKUP($F251,REP_Info!$D$6:$H$250,5,FALSE)</f>
        <v>0.53900000000000003</v>
      </c>
      <c r="BK251" s="30">
        <f t="shared" si="619"/>
        <v>15.908899999999999</v>
      </c>
      <c r="BL251" s="30">
        <f t="shared" si="619"/>
        <v>15.0029</v>
      </c>
      <c r="BM251" s="30">
        <f t="shared" si="619"/>
        <v>14.549899999999999</v>
      </c>
      <c r="BN251" s="29">
        <f t="shared" si="619"/>
        <v>14.398899999999999</v>
      </c>
      <c r="BO251" s="85" t="str">
        <f t="shared" si="2"/>
        <v>$$$</v>
      </c>
      <c r="BP251" s="88" t="str">
        <f t="shared" si="620"/>
        <v>$$$</v>
      </c>
      <c r="BQ251" s="88" t="str">
        <f t="shared" si="4"/>
        <v>$$$</v>
      </c>
      <c r="BR251" s="88" t="str">
        <f t="shared" si="5"/>
        <v>$$$</v>
      </c>
      <c r="BS251" s="29" t="e">
        <f t="shared" si="621"/>
        <v>#N/A</v>
      </c>
      <c r="BT251" s="29" t="e">
        <f t="shared" si="621"/>
        <v>#N/A</v>
      </c>
      <c r="BU251" s="29" t="e">
        <f t="shared" si="621"/>
        <v>#N/A</v>
      </c>
      <c r="BV251" s="29" t="e">
        <f t="shared" si="621"/>
        <v>#N/A</v>
      </c>
      <c r="BW251" s="29" t="e">
        <f t="shared" si="621"/>
        <v>#N/A</v>
      </c>
      <c r="BX251" s="29" t="e">
        <f t="shared" si="621"/>
        <v>#N/A</v>
      </c>
      <c r="BY251" s="29" t="e">
        <f t="shared" si="621"/>
        <v>#N/A</v>
      </c>
      <c r="BZ251" s="29" t="e">
        <f t="shared" si="621"/>
        <v>#N/A</v>
      </c>
      <c r="CA251" s="29" t="e">
        <f t="shared" si="621"/>
        <v>#N/A</v>
      </c>
      <c r="CB251" s="29" t="e">
        <f t="shared" si="621"/>
        <v>#N/A</v>
      </c>
      <c r="CC251" s="29" t="e">
        <f t="shared" si="621"/>
        <v>#N/A</v>
      </c>
      <c r="CD251" s="29" t="e">
        <f t="shared" si="621"/>
        <v>#N/A</v>
      </c>
      <c r="CE251" s="6" t="str">
        <f t="shared" si="452"/>
        <v/>
      </c>
      <c r="CF251" s="27" t="e">
        <f>IF(AND(CI251,NOT(AD251)),LOOKUP(CF$5,{0,750,1500},H251:J251),"")</f>
        <v>#N/A</v>
      </c>
      <c r="CG251" s="6" t="str">
        <f t="shared" si="453"/>
        <v/>
      </c>
      <c r="CH251" t="e">
        <f t="shared" si="622"/>
        <v>#N/A</v>
      </c>
      <c r="CI251" t="e">
        <f t="shared" si="623"/>
        <v>#N/A</v>
      </c>
      <c r="CJ251" s="6" t="e">
        <f t="shared" si="11"/>
        <v>#N/A</v>
      </c>
      <c r="CK251" s="6">
        <f t="shared" si="12"/>
        <v>1</v>
      </c>
      <c r="CL251" s="6">
        <f t="shared" si="26"/>
        <v>1</v>
      </c>
      <c r="CM251" s="6">
        <f t="shared" si="13"/>
        <v>1</v>
      </c>
      <c r="CN251" s="6">
        <f t="shared" si="14"/>
        <v>0</v>
      </c>
      <c r="CO251" s="6">
        <f t="shared" si="15"/>
        <v>1</v>
      </c>
      <c r="CP251" s="6">
        <f t="shared" si="16"/>
        <v>1</v>
      </c>
      <c r="CQ251" s="6">
        <f t="shared" si="624"/>
        <v>1</v>
      </c>
      <c r="CR251" s="81" t="str">
        <f t="shared" si="17"/>
        <v/>
      </c>
      <c r="CS251">
        <f t="shared" si="625"/>
        <v>9</v>
      </c>
      <c r="CT251">
        <f t="shared" si="19"/>
        <v>75</v>
      </c>
      <c r="CU251" t="str">
        <f t="shared" si="29"/>
        <v/>
      </c>
      <c r="CV251" s="81">
        <f t="shared" si="626"/>
        <v>75</v>
      </c>
      <c r="CW251" s="81">
        <f>(CV251/25)^1.5*(Calculator!$BU$4/10000)*CW$5</f>
        <v>2.7022902443431254</v>
      </c>
      <c r="CX251" t="str">
        <f t="shared" si="627"/>
        <v>$75</v>
      </c>
    </row>
    <row r="252" spans="2:102" x14ac:dyDescent="0.25">
      <c r="B252" s="115" t="s">
        <v>233</v>
      </c>
      <c r="C252" s="13">
        <v>46316.611111111109</v>
      </c>
      <c r="D252">
        <v>38516</v>
      </c>
      <c r="E252" s="54" t="s">
        <v>235</v>
      </c>
      <c r="F252" s="54" t="s">
        <v>552</v>
      </c>
      <c r="G252" s="54" t="s">
        <v>2203</v>
      </c>
      <c r="H252" s="55">
        <v>15.7</v>
      </c>
      <c r="I252" s="55">
        <v>14.7</v>
      </c>
      <c r="J252" s="55">
        <v>14.2</v>
      </c>
      <c r="K252" s="54"/>
      <c r="L252" s="56" t="b">
        <v>0</v>
      </c>
      <c r="M252" s="56" t="b">
        <v>0</v>
      </c>
      <c r="N252" s="54">
        <v>1</v>
      </c>
      <c r="O252" s="54" t="s">
        <v>228</v>
      </c>
      <c r="P252" s="54">
        <v>22</v>
      </c>
      <c r="Q252" s="54">
        <v>13</v>
      </c>
      <c r="R252" s="54">
        <v>150</v>
      </c>
      <c r="S252" s="54" t="s">
        <v>553</v>
      </c>
      <c r="T252" s="54" t="s">
        <v>557</v>
      </c>
      <c r="U252" s="54" t="s">
        <v>554</v>
      </c>
      <c r="V252" s="54" t="s">
        <v>2192</v>
      </c>
      <c r="W252" s="54" t="b">
        <v>0</v>
      </c>
      <c r="X252" s="54"/>
      <c r="Y252" s="57" t="s">
        <v>2204</v>
      </c>
      <c r="Z252" s="54" t="s">
        <v>1656</v>
      </c>
      <c r="AA252" s="54"/>
      <c r="AB252" s="54" t="s">
        <v>555</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7.2216000000000002E-2</v>
      </c>
      <c r="BC252" s="60">
        <v>4.9000000000000004</v>
      </c>
      <c r="BD252" s="61">
        <v>6.5333000000000002E-2</v>
      </c>
      <c r="BE252" s="62" t="s">
        <v>293</v>
      </c>
      <c r="BF252" s="35">
        <f t="shared" si="616"/>
        <v>4.9000000000000004</v>
      </c>
      <c r="BG252" s="35">
        <f t="shared" si="616"/>
        <v>6.5333000000000002E-2</v>
      </c>
      <c r="BH252" s="35" t="str">
        <f t="shared" si="617"/>
        <v>Med</v>
      </c>
      <c r="BI252" s="110">
        <f t="shared" si="618"/>
        <v>0</v>
      </c>
      <c r="BJ252" s="83">
        <f>VLOOKUP($F252,REP_Info!$D$6:$H$250,5,FALSE)</f>
        <v>0.53900000000000003</v>
      </c>
      <c r="BK252" s="30">
        <f t="shared" si="619"/>
        <v>15.7349</v>
      </c>
      <c r="BL252" s="30">
        <f t="shared" si="619"/>
        <v>14.744900000000001</v>
      </c>
      <c r="BM252" s="30">
        <f t="shared" si="619"/>
        <v>14.249900000000002</v>
      </c>
      <c r="BN252" s="29">
        <f t="shared" si="619"/>
        <v>14.084900000000001</v>
      </c>
      <c r="BO252" s="85" t="str">
        <f t="shared" si="2"/>
        <v>$$$</v>
      </c>
      <c r="BP252" s="88" t="str">
        <f t="shared" si="620"/>
        <v>$$$</v>
      </c>
      <c r="BQ252" s="88" t="str">
        <f t="shared" si="4"/>
        <v>$$$</v>
      </c>
      <c r="BR252" s="88" t="str">
        <f t="shared" si="5"/>
        <v>$$$</v>
      </c>
      <c r="BS252" s="29" t="e">
        <f t="shared" si="621"/>
        <v>#N/A</v>
      </c>
      <c r="BT252" s="29" t="e">
        <f t="shared" si="621"/>
        <v>#N/A</v>
      </c>
      <c r="BU252" s="29" t="e">
        <f t="shared" si="621"/>
        <v>#N/A</v>
      </c>
      <c r="BV252" s="29" t="e">
        <f t="shared" si="621"/>
        <v>#N/A</v>
      </c>
      <c r="BW252" s="29" t="e">
        <f t="shared" si="621"/>
        <v>#N/A</v>
      </c>
      <c r="BX252" s="29" t="e">
        <f t="shared" si="621"/>
        <v>#N/A</v>
      </c>
      <c r="BY252" s="29" t="e">
        <f t="shared" si="621"/>
        <v>#N/A</v>
      </c>
      <c r="BZ252" s="29" t="e">
        <f t="shared" si="621"/>
        <v>#N/A</v>
      </c>
      <c r="CA252" s="29" t="e">
        <f t="shared" si="621"/>
        <v>#N/A</v>
      </c>
      <c r="CB252" s="29" t="e">
        <f t="shared" si="621"/>
        <v>#N/A</v>
      </c>
      <c r="CC252" s="29" t="e">
        <f t="shared" si="621"/>
        <v>#N/A</v>
      </c>
      <c r="CD252" s="29" t="e">
        <f t="shared" si="621"/>
        <v>#N/A</v>
      </c>
      <c r="CE252" s="6" t="str">
        <f t="shared" si="452"/>
        <v/>
      </c>
      <c r="CF252" s="27" t="e">
        <f>IF(AND(CI252,NOT(AD252)),LOOKUP(CF$5,{0,750,1500},H252:J252),"")</f>
        <v>#N/A</v>
      </c>
      <c r="CG252" s="6" t="str">
        <f t="shared" si="453"/>
        <v/>
      </c>
      <c r="CH252" t="e">
        <f t="shared" si="622"/>
        <v>#N/A</v>
      </c>
      <c r="CI252" t="e">
        <f t="shared" si="623"/>
        <v>#N/A</v>
      </c>
      <c r="CJ252" s="6" t="e">
        <f t="shared" si="11"/>
        <v>#N/A</v>
      </c>
      <c r="CK252" s="6">
        <f t="shared" si="12"/>
        <v>1</v>
      </c>
      <c r="CL252" s="6">
        <f t="shared" si="26"/>
        <v>1</v>
      </c>
      <c r="CM252" s="6">
        <f t="shared" si="13"/>
        <v>1</v>
      </c>
      <c r="CN252" s="6">
        <f t="shared" si="14"/>
        <v>1</v>
      </c>
      <c r="CO252" s="6">
        <f t="shared" si="15"/>
        <v>0</v>
      </c>
      <c r="CP252" s="6">
        <f t="shared" si="16"/>
        <v>1</v>
      </c>
      <c r="CQ252" s="6">
        <f t="shared" si="624"/>
        <v>1</v>
      </c>
      <c r="CR252" s="81" t="str">
        <f t="shared" si="17"/>
        <v/>
      </c>
      <c r="CS252">
        <f t="shared" si="625"/>
        <v>0</v>
      </c>
      <c r="CT252">
        <f t="shared" si="19"/>
        <v>150</v>
      </c>
      <c r="CU252" t="str">
        <f t="shared" si="29"/>
        <v/>
      </c>
      <c r="CV252" s="81">
        <f t="shared" si="626"/>
        <v>150</v>
      </c>
      <c r="CW252" s="81">
        <f>(CV252/25)^1.5*(Calculator!$BU$4/10000)*CW$5</f>
        <v>7.6432310260371077</v>
      </c>
      <c r="CX252" t="str">
        <f t="shared" si="627"/>
        <v>$150</v>
      </c>
    </row>
    <row r="253" spans="2:102" x14ac:dyDescent="0.25">
      <c r="B253" s="115" t="s">
        <v>233</v>
      </c>
      <c r="C253" s="13">
        <v>46316.611111111109</v>
      </c>
      <c r="D253">
        <v>38518</v>
      </c>
      <c r="E253" s="54" t="s">
        <v>237</v>
      </c>
      <c r="F253" s="54" t="s">
        <v>552</v>
      </c>
      <c r="G253" s="54" t="s">
        <v>2203</v>
      </c>
      <c r="H253" s="55">
        <v>16.100000000000001</v>
      </c>
      <c r="I253" s="55">
        <v>15.2</v>
      </c>
      <c r="J253" s="55">
        <v>14.7</v>
      </c>
      <c r="K253" s="54"/>
      <c r="L253" s="56" t="b">
        <v>0</v>
      </c>
      <c r="M253" s="56" t="b">
        <v>0</v>
      </c>
      <c r="N253" s="54">
        <v>1</v>
      </c>
      <c r="O253" s="54" t="s">
        <v>228</v>
      </c>
      <c r="P253" s="54">
        <v>22</v>
      </c>
      <c r="Q253" s="54">
        <v>13</v>
      </c>
      <c r="R253" s="54">
        <v>150</v>
      </c>
      <c r="S253" s="54" t="s">
        <v>553</v>
      </c>
      <c r="T253" s="54" t="s">
        <v>557</v>
      </c>
      <c r="U253" s="54" t="s">
        <v>554</v>
      </c>
      <c r="V253" s="54" t="s">
        <v>2192</v>
      </c>
      <c r="W253" s="54" t="b">
        <v>0</v>
      </c>
      <c r="X253" s="54"/>
      <c r="Y253" s="57" t="s">
        <v>2205</v>
      </c>
      <c r="Z253" s="54" t="s">
        <v>1603</v>
      </c>
      <c r="AA253" s="54"/>
      <c r="AB253" s="54" t="s">
        <v>555</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7.4296000000000001E-2</v>
      </c>
      <c r="BC253" s="60">
        <v>4.0599999999999996</v>
      </c>
      <c r="BD253" s="61">
        <v>6.8672999999999998E-2</v>
      </c>
      <c r="BE253" s="62" t="s">
        <v>293</v>
      </c>
      <c r="BF253" s="35">
        <f t="shared" si="616"/>
        <v>4.0600000000000005</v>
      </c>
      <c r="BG253" s="35">
        <f t="shared" si="616"/>
        <v>6.8672999999999998E-2</v>
      </c>
      <c r="BH253" s="35" t="str">
        <f t="shared" si="617"/>
        <v>Med</v>
      </c>
      <c r="BI253" s="110">
        <f t="shared" si="618"/>
        <v>0</v>
      </c>
      <c r="BJ253" s="83">
        <f>VLOOKUP($F253,REP_Info!$D$6:$H$250,5,FALSE)</f>
        <v>0.53900000000000003</v>
      </c>
      <c r="BK253" s="30">
        <f t="shared" si="619"/>
        <v>16.108899999999998</v>
      </c>
      <c r="BL253" s="30">
        <f t="shared" si="619"/>
        <v>15.2029</v>
      </c>
      <c r="BM253" s="30">
        <f t="shared" si="619"/>
        <v>14.749900000000002</v>
      </c>
      <c r="BN253" s="29">
        <f t="shared" si="619"/>
        <v>14.598899999999999</v>
      </c>
      <c r="BO253" s="85" t="str">
        <f t="shared" si="2"/>
        <v>$$$</v>
      </c>
      <c r="BP253" s="88" t="str">
        <f t="shared" si="620"/>
        <v>$$$</v>
      </c>
      <c r="BQ253" s="88" t="str">
        <f t="shared" si="4"/>
        <v>$$$</v>
      </c>
      <c r="BR253" s="88" t="str">
        <f t="shared" si="5"/>
        <v>$$$</v>
      </c>
      <c r="BS253" s="29" t="e">
        <f t="shared" si="621"/>
        <v>#N/A</v>
      </c>
      <c r="BT253" s="29" t="e">
        <f t="shared" si="621"/>
        <v>#N/A</v>
      </c>
      <c r="BU253" s="29" t="e">
        <f t="shared" si="621"/>
        <v>#N/A</v>
      </c>
      <c r="BV253" s="29" t="e">
        <f t="shared" si="621"/>
        <v>#N/A</v>
      </c>
      <c r="BW253" s="29" t="e">
        <f t="shared" si="621"/>
        <v>#N/A</v>
      </c>
      <c r="BX253" s="29" t="e">
        <f t="shared" si="621"/>
        <v>#N/A</v>
      </c>
      <c r="BY253" s="29" t="e">
        <f t="shared" si="621"/>
        <v>#N/A</v>
      </c>
      <c r="BZ253" s="29" t="e">
        <f t="shared" si="621"/>
        <v>#N/A</v>
      </c>
      <c r="CA253" s="29" t="e">
        <f t="shared" si="621"/>
        <v>#N/A</v>
      </c>
      <c r="CB253" s="29" t="e">
        <f t="shared" si="621"/>
        <v>#N/A</v>
      </c>
      <c r="CC253" s="29" t="e">
        <f t="shared" si="621"/>
        <v>#N/A</v>
      </c>
      <c r="CD253" s="29" t="e">
        <f t="shared" si="621"/>
        <v>#N/A</v>
      </c>
      <c r="CE253" s="6" t="str">
        <f t="shared" si="452"/>
        <v/>
      </c>
      <c r="CF253" s="27" t="e">
        <f>IF(AND(CI253,NOT(AD253)),LOOKUP(CF$5,{0,750,1500},H253:J253),"")</f>
        <v>#N/A</v>
      </c>
      <c r="CG253" s="6" t="str">
        <f t="shared" si="453"/>
        <v/>
      </c>
      <c r="CH253" t="e">
        <f t="shared" si="622"/>
        <v>#N/A</v>
      </c>
      <c r="CI253" t="e">
        <f t="shared" si="623"/>
        <v>#N/A</v>
      </c>
      <c r="CJ253" s="6" t="e">
        <f t="shared" si="11"/>
        <v>#N/A</v>
      </c>
      <c r="CK253" s="6">
        <f t="shared" si="12"/>
        <v>1</v>
      </c>
      <c r="CL253" s="6">
        <f t="shared" si="26"/>
        <v>1</v>
      </c>
      <c r="CM253" s="6">
        <f t="shared" si="13"/>
        <v>1</v>
      </c>
      <c r="CN253" s="6">
        <f t="shared" si="14"/>
        <v>1</v>
      </c>
      <c r="CO253" s="6">
        <f t="shared" si="15"/>
        <v>0</v>
      </c>
      <c r="CP253" s="6">
        <f t="shared" si="16"/>
        <v>1</v>
      </c>
      <c r="CQ253" s="6">
        <f t="shared" si="624"/>
        <v>1</v>
      </c>
      <c r="CR253" s="81" t="str">
        <f t="shared" si="17"/>
        <v/>
      </c>
      <c r="CS253">
        <f t="shared" si="625"/>
        <v>0</v>
      </c>
      <c r="CT253">
        <f t="shared" si="19"/>
        <v>150</v>
      </c>
      <c r="CU253" t="str">
        <f t="shared" si="29"/>
        <v/>
      </c>
      <c r="CV253" s="81">
        <f t="shared" si="626"/>
        <v>150</v>
      </c>
      <c r="CW253" s="81">
        <f>(CV253/25)^1.5*(Calculator!$BU$4/10000)*CW$5</f>
        <v>7.6432310260371077</v>
      </c>
      <c r="CX253" t="str">
        <f t="shared" si="627"/>
        <v>$150</v>
      </c>
    </row>
    <row r="254" spans="2:102" x14ac:dyDescent="0.25">
      <c r="B254" s="115" t="s">
        <v>233</v>
      </c>
      <c r="C254" s="13">
        <v>46321.660416666666</v>
      </c>
      <c r="D254">
        <v>30171</v>
      </c>
      <c r="E254" s="54" t="s">
        <v>235</v>
      </c>
      <c r="F254" s="54" t="s">
        <v>559</v>
      </c>
      <c r="G254" s="54" t="s">
        <v>560</v>
      </c>
      <c r="H254" s="55">
        <v>12</v>
      </c>
      <c r="I254" s="55">
        <v>11.1</v>
      </c>
      <c r="J254" s="55">
        <v>10.6</v>
      </c>
      <c r="K254" s="54"/>
      <c r="L254" s="56" t="b">
        <v>0</v>
      </c>
      <c r="M254" s="56" t="b">
        <v>0</v>
      </c>
      <c r="N254" s="54">
        <v>0</v>
      </c>
      <c r="O254" s="54" t="s">
        <v>238</v>
      </c>
      <c r="P254" s="54">
        <v>24</v>
      </c>
      <c r="Q254" s="54">
        <v>1</v>
      </c>
      <c r="R254" s="54">
        <v>0</v>
      </c>
      <c r="S254" s="54" t="s">
        <v>561</v>
      </c>
      <c r="T254" s="54" t="s">
        <v>562</v>
      </c>
      <c r="U254" s="54" t="s">
        <v>563</v>
      </c>
      <c r="V254" s="54" t="s">
        <v>564</v>
      </c>
      <c r="W254" s="54" t="b">
        <v>0</v>
      </c>
      <c r="X254" s="54"/>
      <c r="Y254" s="57" t="s">
        <v>2319</v>
      </c>
      <c r="Z254" s="54" t="s">
        <v>2320</v>
      </c>
      <c r="AA254" s="54"/>
      <c r="AB254" s="54" t="s">
        <v>565</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si="616"/>
        <v>4.9000000000000004</v>
      </c>
      <c r="BG254" s="35">
        <f t="shared" si="616"/>
        <v>6.5333000000000002E-2</v>
      </c>
      <c r="BH254" s="35" t="str">
        <f t="shared" si="617"/>
        <v>?</v>
      </c>
      <c r="BI254" s="110" t="str">
        <f t="shared" si="618"/>
        <v/>
      </c>
      <c r="BJ254" s="83">
        <f>VLOOKUP($F254,REP_Info!$D$6:$H$250,5,FALSE)</f>
        <v>0.123</v>
      </c>
      <c r="BK254" s="30" t="e">
        <f t="shared" si="619"/>
        <v>#N/A</v>
      </c>
      <c r="BL254" s="30" t="e">
        <f t="shared" si="619"/>
        <v>#N/A</v>
      </c>
      <c r="BM254" s="30" t="e">
        <f t="shared" si="619"/>
        <v>#N/A</v>
      </c>
      <c r="BN254" s="29" t="e">
        <f t="shared" si="619"/>
        <v>#N/A</v>
      </c>
      <c r="BO254" s="85" t="str">
        <f t="shared" si="2"/>
        <v>$$$</v>
      </c>
      <c r="BP254" s="88" t="str">
        <f t="shared" si="620"/>
        <v>$$$</v>
      </c>
      <c r="BQ254" s="88" t="str">
        <f t="shared" si="4"/>
        <v>$$$</v>
      </c>
      <c r="BR254" s="88" t="str">
        <f t="shared" si="5"/>
        <v>$$$</v>
      </c>
      <c r="BS254" s="29" t="e">
        <f t="shared" si="621"/>
        <v>#N/A</v>
      </c>
      <c r="BT254" s="29" t="e">
        <f t="shared" si="621"/>
        <v>#N/A</v>
      </c>
      <c r="BU254" s="29" t="e">
        <f t="shared" si="621"/>
        <v>#N/A</v>
      </c>
      <c r="BV254" s="29" t="e">
        <f t="shared" si="621"/>
        <v>#N/A</v>
      </c>
      <c r="BW254" s="29" t="e">
        <f t="shared" si="621"/>
        <v>#N/A</v>
      </c>
      <c r="BX254" s="29" t="e">
        <f t="shared" si="621"/>
        <v>#N/A</v>
      </c>
      <c r="BY254" s="29" t="e">
        <f t="shared" si="621"/>
        <v>#N/A</v>
      </c>
      <c r="BZ254" s="29" t="e">
        <f t="shared" si="621"/>
        <v>#N/A</v>
      </c>
      <c r="CA254" s="29" t="e">
        <f t="shared" si="621"/>
        <v>#N/A</v>
      </c>
      <c r="CB254" s="29" t="e">
        <f t="shared" si="621"/>
        <v>#N/A</v>
      </c>
      <c r="CC254" s="29" t="e">
        <f t="shared" si="621"/>
        <v>#N/A</v>
      </c>
      <c r="CD254" s="29" t="e">
        <f t="shared" si="621"/>
        <v>#N/A</v>
      </c>
      <c r="CE254" s="6" t="str">
        <f t="shared" si="452"/>
        <v/>
      </c>
      <c r="CF254" s="27" t="e">
        <f>IF(AND(CI254,NOT(AD254)),LOOKUP(CF$5,{0,750,1500},H254:J254),"")</f>
        <v>#N/A</v>
      </c>
      <c r="CG254" s="6" t="str">
        <f t="shared" si="453"/>
        <v/>
      </c>
      <c r="CH254" t="e">
        <f t="shared" si="622"/>
        <v>#N/A</v>
      </c>
      <c r="CI254" t="e">
        <f t="shared" si="623"/>
        <v>#N/A</v>
      </c>
      <c r="CJ254" s="6" t="e">
        <f t="shared" si="11"/>
        <v>#N/A</v>
      </c>
      <c r="CK254" s="6">
        <f t="shared" si="12"/>
        <v>1</v>
      </c>
      <c r="CL254" s="6">
        <f t="shared" si="26"/>
        <v>1</v>
      </c>
      <c r="CM254" s="6">
        <f t="shared" si="13"/>
        <v>0</v>
      </c>
      <c r="CN254" s="6">
        <f t="shared" si="14"/>
        <v>0</v>
      </c>
      <c r="CO254" s="6">
        <f t="shared" si="15"/>
        <v>1</v>
      </c>
      <c r="CP254" s="6">
        <f t="shared" si="16"/>
        <v>1</v>
      </c>
      <c r="CQ254" s="6">
        <f t="shared" si="624"/>
        <v>1</v>
      </c>
      <c r="CR254" s="81" t="str">
        <f t="shared" si="17"/>
        <v/>
      </c>
      <c r="CS254">
        <f t="shared" si="625"/>
        <v>198</v>
      </c>
      <c r="CT254">
        <f t="shared" si="19"/>
        <v>0</v>
      </c>
      <c r="CU254" t="str">
        <f t="shared" si="29"/>
        <v/>
      </c>
      <c r="CV254" s="81">
        <f t="shared" si="626"/>
        <v>0</v>
      </c>
      <c r="CW254" s="81">
        <f>(CV254/25)^1.5*(Calculator!$BU$4/10000)*CW$5</f>
        <v>0</v>
      </c>
      <c r="CX254" t="str">
        <f t="shared" si="627"/>
        <v>$0</v>
      </c>
    </row>
    <row r="255" spans="2:102" x14ac:dyDescent="0.25">
      <c r="B255" s="115" t="s">
        <v>233</v>
      </c>
      <c r="C255" s="13">
        <v>46321.660416666666</v>
      </c>
      <c r="D255">
        <v>30173</v>
      </c>
      <c r="E255" s="54" t="s">
        <v>237</v>
      </c>
      <c r="F255" s="54" t="s">
        <v>559</v>
      </c>
      <c r="G255" s="54" t="s">
        <v>560</v>
      </c>
      <c r="H255" s="55">
        <v>11.799999999999999</v>
      </c>
      <c r="I255" s="55">
        <v>11</v>
      </c>
      <c r="J255" s="55">
        <v>10.6</v>
      </c>
      <c r="K255" s="54"/>
      <c r="L255" s="56" t="b">
        <v>0</v>
      </c>
      <c r="M255" s="56" t="b">
        <v>0</v>
      </c>
      <c r="N255" s="54">
        <v>0</v>
      </c>
      <c r="O255" s="54" t="s">
        <v>238</v>
      </c>
      <c r="P255" s="54">
        <v>24</v>
      </c>
      <c r="Q255" s="54">
        <v>1</v>
      </c>
      <c r="R255" s="54">
        <v>0</v>
      </c>
      <c r="S255" s="54" t="s">
        <v>561</v>
      </c>
      <c r="T255" s="54" t="s">
        <v>562</v>
      </c>
      <c r="U255" s="54" t="s">
        <v>563</v>
      </c>
      <c r="V255" s="54" t="s">
        <v>564</v>
      </c>
      <c r="W255" s="54" t="b">
        <v>0</v>
      </c>
      <c r="X255" s="54"/>
      <c r="Y255" s="57" t="s">
        <v>2321</v>
      </c>
      <c r="Z255" s="54" t="s">
        <v>2322</v>
      </c>
      <c r="AA255" s="54"/>
      <c r="AB255" s="54" t="s">
        <v>565</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616"/>
        <v>4.0600000000000005</v>
      </c>
      <c r="BG255" s="35">
        <f t="shared" si="616"/>
        <v>6.8672999999999998E-2</v>
      </c>
      <c r="BH255" s="35" t="str">
        <f t="shared" si="617"/>
        <v>?</v>
      </c>
      <c r="BI255" s="110" t="str">
        <f t="shared" si="618"/>
        <v/>
      </c>
      <c r="BJ255" s="83">
        <f>VLOOKUP($F255,REP_Info!$D$6:$H$250,5,FALSE)</f>
        <v>0.123</v>
      </c>
      <c r="BK255" s="30" t="e">
        <f t="shared" si="619"/>
        <v>#N/A</v>
      </c>
      <c r="BL255" s="30" t="e">
        <f t="shared" si="619"/>
        <v>#N/A</v>
      </c>
      <c r="BM255" s="30" t="e">
        <f t="shared" si="619"/>
        <v>#N/A</v>
      </c>
      <c r="BN255" s="29" t="e">
        <f t="shared" si="619"/>
        <v>#N/A</v>
      </c>
      <c r="BO255" s="85" t="str">
        <f t="shared" si="2"/>
        <v>$$$</v>
      </c>
      <c r="BP255" s="88" t="str">
        <f t="shared" si="620"/>
        <v>$$$</v>
      </c>
      <c r="BQ255" s="88" t="str">
        <f t="shared" si="4"/>
        <v>$$$</v>
      </c>
      <c r="BR255" s="88" t="str">
        <f t="shared" si="5"/>
        <v>$$$</v>
      </c>
      <c r="BS255" s="29" t="e">
        <f t="shared" si="621"/>
        <v>#N/A</v>
      </c>
      <c r="BT255" s="29" t="e">
        <f t="shared" si="621"/>
        <v>#N/A</v>
      </c>
      <c r="BU255" s="29" t="e">
        <f t="shared" si="621"/>
        <v>#N/A</v>
      </c>
      <c r="BV255" s="29" t="e">
        <f t="shared" si="621"/>
        <v>#N/A</v>
      </c>
      <c r="BW255" s="29" t="e">
        <f t="shared" si="621"/>
        <v>#N/A</v>
      </c>
      <c r="BX255" s="29" t="e">
        <f t="shared" si="621"/>
        <v>#N/A</v>
      </c>
      <c r="BY255" s="29" t="e">
        <f t="shared" si="621"/>
        <v>#N/A</v>
      </c>
      <c r="BZ255" s="29" t="e">
        <f t="shared" si="621"/>
        <v>#N/A</v>
      </c>
      <c r="CA255" s="29" t="e">
        <f t="shared" si="621"/>
        <v>#N/A</v>
      </c>
      <c r="CB255" s="29" t="e">
        <f t="shared" si="621"/>
        <v>#N/A</v>
      </c>
      <c r="CC255" s="29" t="e">
        <f t="shared" si="621"/>
        <v>#N/A</v>
      </c>
      <c r="CD255" s="29" t="e">
        <f t="shared" si="621"/>
        <v>#N/A</v>
      </c>
      <c r="CE255" s="6" t="str">
        <f t="shared" si="452"/>
        <v/>
      </c>
      <c r="CF255" s="27" t="e">
        <f>IF(AND(CI255,NOT(AD255)),LOOKUP(CF$5,{0,750,1500},H255:J255),"")</f>
        <v>#N/A</v>
      </c>
      <c r="CG255" s="6" t="str">
        <f t="shared" si="453"/>
        <v/>
      </c>
      <c r="CH255" t="e">
        <f t="shared" si="622"/>
        <v>#N/A</v>
      </c>
      <c r="CI255" t="e">
        <f t="shared" si="623"/>
        <v>#N/A</v>
      </c>
      <c r="CJ255" s="6" t="e">
        <f t="shared" si="11"/>
        <v>#N/A</v>
      </c>
      <c r="CK255" s="6">
        <f t="shared" si="12"/>
        <v>1</v>
      </c>
      <c r="CL255" s="6">
        <f t="shared" si="26"/>
        <v>1</v>
      </c>
      <c r="CM255" s="6">
        <f t="shared" si="13"/>
        <v>0</v>
      </c>
      <c r="CN255" s="6">
        <f t="shared" si="14"/>
        <v>0</v>
      </c>
      <c r="CO255" s="6">
        <f t="shared" si="15"/>
        <v>1</v>
      </c>
      <c r="CP255" s="6">
        <f t="shared" si="16"/>
        <v>1</v>
      </c>
      <c r="CQ255" s="6">
        <f t="shared" si="624"/>
        <v>1</v>
      </c>
      <c r="CR255" s="81" t="str">
        <f t="shared" si="17"/>
        <v/>
      </c>
      <c r="CS255">
        <f t="shared" si="625"/>
        <v>198</v>
      </c>
      <c r="CT255">
        <f t="shared" si="19"/>
        <v>0</v>
      </c>
      <c r="CU255" t="str">
        <f t="shared" si="29"/>
        <v/>
      </c>
      <c r="CV255" s="81">
        <f t="shared" si="626"/>
        <v>0</v>
      </c>
      <c r="CW255" s="81">
        <f>(CV255/25)^1.5*(Calculator!$BU$4/10000)*CW$5</f>
        <v>0</v>
      </c>
      <c r="CX255" t="str">
        <f t="shared" si="627"/>
        <v>$0</v>
      </c>
    </row>
    <row r="256" spans="2:102" x14ac:dyDescent="0.25">
      <c r="B256" s="115" t="s">
        <v>233</v>
      </c>
      <c r="C256" s="13">
        <v>46321.660416666666</v>
      </c>
      <c r="D256">
        <v>30181</v>
      </c>
      <c r="E256" s="54" t="s">
        <v>235</v>
      </c>
      <c r="F256" s="54" t="s">
        <v>559</v>
      </c>
      <c r="G256" s="54" t="s">
        <v>566</v>
      </c>
      <c r="H256" s="55">
        <v>12.1</v>
      </c>
      <c r="I256" s="55">
        <v>11.200000000000001</v>
      </c>
      <c r="J256" s="55">
        <v>10.7</v>
      </c>
      <c r="K256" s="54"/>
      <c r="L256" s="56" t="b">
        <v>0</v>
      </c>
      <c r="M256" s="56" t="b">
        <v>0</v>
      </c>
      <c r="N256" s="54">
        <v>0</v>
      </c>
      <c r="O256" s="54" t="s">
        <v>238</v>
      </c>
      <c r="P256" s="54">
        <v>100</v>
      </c>
      <c r="Q256" s="54">
        <v>1</v>
      </c>
      <c r="R256" s="54">
        <v>0</v>
      </c>
      <c r="S256" s="54" t="s">
        <v>561</v>
      </c>
      <c r="T256" s="54" t="s">
        <v>567</v>
      </c>
      <c r="U256" s="54" t="s">
        <v>563</v>
      </c>
      <c r="V256" s="54" t="s">
        <v>564</v>
      </c>
      <c r="W256" s="54" t="b">
        <v>0</v>
      </c>
      <c r="X256" s="54"/>
      <c r="Y256" s="57" t="s">
        <v>2323</v>
      </c>
      <c r="Z256" s="54" t="s">
        <v>2324</v>
      </c>
      <c r="AA256" s="54"/>
      <c r="AB256" s="54" t="s">
        <v>565</v>
      </c>
      <c r="AC256" s="56" t="b">
        <v>1</v>
      </c>
      <c r="AD256" s="56" t="b">
        <v>0</v>
      </c>
      <c r="AE256" s="54"/>
      <c r="AF256" s="58"/>
      <c r="AG256" s="62" t="s">
        <v>293</v>
      </c>
      <c r="AH256" s="54"/>
      <c r="AI256" s="54"/>
      <c r="AJ256" s="54"/>
      <c r="AK256" s="54"/>
      <c r="AL256" s="54"/>
      <c r="AM256" s="54">
        <v>0</v>
      </c>
      <c r="AN256" s="54"/>
      <c r="AO256" s="54"/>
      <c r="AP256" s="54"/>
      <c r="AQ256" s="54"/>
      <c r="AR256" s="54"/>
      <c r="AS256" s="54"/>
      <c r="AT256" s="54"/>
      <c r="AU256" s="54"/>
      <c r="AV256" s="54"/>
      <c r="AW256" s="54"/>
      <c r="AX256" s="59"/>
      <c r="AY256" s="59"/>
      <c r="AZ256" s="59"/>
      <c r="BA256" s="59"/>
      <c r="BB256" s="59"/>
      <c r="BC256" s="60"/>
      <c r="BD256" s="61"/>
      <c r="BE256" s="62"/>
      <c r="BF256" s="35">
        <f t="shared" si="616"/>
        <v>4.9000000000000004</v>
      </c>
      <c r="BG256" s="35">
        <f t="shared" si="616"/>
        <v>6.5333000000000002E-2</v>
      </c>
      <c r="BH256" s="35" t="str">
        <f t="shared" si="617"/>
        <v>?</v>
      </c>
      <c r="BI256" s="110" t="str">
        <f t="shared" si="618"/>
        <v/>
      </c>
      <c r="BJ256" s="83">
        <f>VLOOKUP($F256,REP_Info!$D$6:$H$250,5,FALSE)</f>
        <v>0.123</v>
      </c>
      <c r="BK256" s="30" t="e">
        <f t="shared" si="619"/>
        <v>#N/A</v>
      </c>
      <c r="BL256" s="30" t="e">
        <f t="shared" si="619"/>
        <v>#N/A</v>
      </c>
      <c r="BM256" s="30" t="e">
        <f t="shared" si="619"/>
        <v>#N/A</v>
      </c>
      <c r="BN256" s="29" t="e">
        <f t="shared" si="619"/>
        <v>#N/A</v>
      </c>
      <c r="BO256" s="85" t="str">
        <f t="shared" si="2"/>
        <v>$$$</v>
      </c>
      <c r="BP256" s="88" t="str">
        <f t="shared" si="620"/>
        <v>$$$</v>
      </c>
      <c r="BQ256" s="88" t="str">
        <f t="shared" si="4"/>
        <v>$$$</v>
      </c>
      <c r="BR256" s="88" t="str">
        <f t="shared" si="5"/>
        <v>$$$</v>
      </c>
      <c r="BS256" s="29" t="e">
        <f t="shared" si="621"/>
        <v>#N/A</v>
      </c>
      <c r="BT256" s="29" t="e">
        <f t="shared" si="621"/>
        <v>#N/A</v>
      </c>
      <c r="BU256" s="29" t="e">
        <f t="shared" si="621"/>
        <v>#N/A</v>
      </c>
      <c r="BV256" s="29" t="e">
        <f t="shared" si="621"/>
        <v>#N/A</v>
      </c>
      <c r="BW256" s="29" t="e">
        <f t="shared" si="621"/>
        <v>#N/A</v>
      </c>
      <c r="BX256" s="29" t="e">
        <f t="shared" si="621"/>
        <v>#N/A</v>
      </c>
      <c r="BY256" s="29" t="e">
        <f t="shared" si="621"/>
        <v>#N/A</v>
      </c>
      <c r="BZ256" s="29" t="e">
        <f t="shared" si="621"/>
        <v>#N/A</v>
      </c>
      <c r="CA256" s="29" t="e">
        <f t="shared" si="621"/>
        <v>#N/A</v>
      </c>
      <c r="CB256" s="29" t="e">
        <f t="shared" si="621"/>
        <v>#N/A</v>
      </c>
      <c r="CC256" s="29" t="e">
        <f t="shared" si="621"/>
        <v>#N/A</v>
      </c>
      <c r="CD256" s="29" t="e">
        <f t="shared" si="621"/>
        <v>#N/A</v>
      </c>
      <c r="CE256" s="6" t="str">
        <f t="shared" si="452"/>
        <v/>
      </c>
      <c r="CF256" s="27" t="e">
        <f>IF(AND(CI256,NOT(AD256)),LOOKUP(CF$5,{0,750,1500},H256:J256),"")</f>
        <v>#N/A</v>
      </c>
      <c r="CG256" s="6" t="str">
        <f t="shared" si="453"/>
        <v/>
      </c>
      <c r="CH256" t="e">
        <f t="shared" si="622"/>
        <v>#N/A</v>
      </c>
      <c r="CI256" t="e">
        <f t="shared" si="623"/>
        <v>#N/A</v>
      </c>
      <c r="CJ256" s="6" t="e">
        <f t="shared" si="11"/>
        <v>#N/A</v>
      </c>
      <c r="CK256" s="6">
        <f t="shared" si="12"/>
        <v>1</v>
      </c>
      <c r="CL256" s="6">
        <f t="shared" si="26"/>
        <v>1</v>
      </c>
      <c r="CM256" s="6">
        <f t="shared" si="13"/>
        <v>0</v>
      </c>
      <c r="CN256" s="6">
        <f t="shared" si="14"/>
        <v>0</v>
      </c>
      <c r="CO256" s="6">
        <f t="shared" si="15"/>
        <v>1</v>
      </c>
      <c r="CP256" s="6">
        <f t="shared" si="16"/>
        <v>1</v>
      </c>
      <c r="CQ256" s="6">
        <f t="shared" si="624"/>
        <v>1</v>
      </c>
      <c r="CR256" s="81" t="str">
        <f t="shared" si="17"/>
        <v/>
      </c>
      <c r="CS256">
        <f t="shared" si="625"/>
        <v>198</v>
      </c>
      <c r="CT256">
        <f t="shared" si="19"/>
        <v>0</v>
      </c>
      <c r="CU256" t="str">
        <f t="shared" si="29"/>
        <v/>
      </c>
      <c r="CV256" s="81">
        <f t="shared" si="626"/>
        <v>0</v>
      </c>
      <c r="CW256" s="81">
        <f>(CV256/25)^1.5*(Calculator!$BU$4/10000)*CW$5</f>
        <v>0</v>
      </c>
      <c r="CX256" t="str">
        <f t="shared" si="627"/>
        <v>$0</v>
      </c>
    </row>
    <row r="257" spans="2:102" x14ac:dyDescent="0.25">
      <c r="B257" s="115" t="s">
        <v>233</v>
      </c>
      <c r="C257" s="13">
        <v>46321.660416666666</v>
      </c>
      <c r="D257">
        <v>30183</v>
      </c>
      <c r="E257" s="54" t="s">
        <v>237</v>
      </c>
      <c r="F257" s="54" t="s">
        <v>559</v>
      </c>
      <c r="G257" s="54" t="s">
        <v>566</v>
      </c>
      <c r="H257" s="55">
        <v>11.899999999999999</v>
      </c>
      <c r="I257" s="55">
        <v>11.1</v>
      </c>
      <c r="J257" s="55">
        <v>10.6</v>
      </c>
      <c r="K257" s="54"/>
      <c r="L257" s="56" t="b">
        <v>0</v>
      </c>
      <c r="M257" s="56" t="b">
        <v>0</v>
      </c>
      <c r="N257" s="54">
        <v>0</v>
      </c>
      <c r="O257" s="54" t="s">
        <v>238</v>
      </c>
      <c r="P257" s="54">
        <v>100</v>
      </c>
      <c r="Q257" s="54">
        <v>1</v>
      </c>
      <c r="R257" s="54">
        <v>0</v>
      </c>
      <c r="S257" s="54" t="s">
        <v>561</v>
      </c>
      <c r="T257" s="54" t="s">
        <v>567</v>
      </c>
      <c r="U257" s="54" t="s">
        <v>563</v>
      </c>
      <c r="V257" s="54" t="s">
        <v>564</v>
      </c>
      <c r="W257" s="54" t="b">
        <v>0</v>
      </c>
      <c r="X257" s="54"/>
      <c r="Y257" s="57" t="s">
        <v>2325</v>
      </c>
      <c r="Z257" s="54" t="s">
        <v>2326</v>
      </c>
      <c r="AA257" s="54"/>
      <c r="AB257" s="54" t="s">
        <v>565</v>
      </c>
      <c r="AC257" s="56" t="b">
        <v>1</v>
      </c>
      <c r="AD257" s="56" t="b">
        <v>0</v>
      </c>
      <c r="AE257" s="54"/>
      <c r="AF257" s="58"/>
      <c r="AG257" s="62" t="s">
        <v>293</v>
      </c>
      <c r="AH257" s="54"/>
      <c r="AI257" s="54"/>
      <c r="AJ257" s="54"/>
      <c r="AK257" s="54"/>
      <c r="AL257" s="54"/>
      <c r="AM257" s="54">
        <v>0</v>
      </c>
      <c r="AN257" s="54"/>
      <c r="AO257" s="54"/>
      <c r="AP257" s="54"/>
      <c r="AQ257" s="54"/>
      <c r="AR257" s="54"/>
      <c r="AS257" s="54"/>
      <c r="AT257" s="54"/>
      <c r="AU257" s="54"/>
      <c r="AV257" s="54"/>
      <c r="AW257" s="54"/>
      <c r="AX257" s="59"/>
      <c r="AY257" s="59"/>
      <c r="AZ257" s="59"/>
      <c r="BA257" s="59"/>
      <c r="BB257" s="59"/>
      <c r="BC257" s="60"/>
      <c r="BD257" s="61"/>
      <c r="BE257" s="62"/>
      <c r="BF257" s="35">
        <f t="shared" si="616"/>
        <v>4.0600000000000005</v>
      </c>
      <c r="BG257" s="35">
        <f t="shared" si="616"/>
        <v>6.8672999999999998E-2</v>
      </c>
      <c r="BH257" s="35" t="str">
        <f t="shared" si="617"/>
        <v>?</v>
      </c>
      <c r="BI257" s="110" t="str">
        <f t="shared" si="618"/>
        <v/>
      </c>
      <c r="BJ257" s="83">
        <f>VLOOKUP($F257,REP_Info!$D$6:$H$250,5,FALSE)</f>
        <v>0.123</v>
      </c>
      <c r="BK257" s="30" t="e">
        <f t="shared" si="619"/>
        <v>#N/A</v>
      </c>
      <c r="BL257" s="30" t="e">
        <f t="shared" si="619"/>
        <v>#N/A</v>
      </c>
      <c r="BM257" s="30" t="e">
        <f t="shared" si="619"/>
        <v>#N/A</v>
      </c>
      <c r="BN257" s="29" t="e">
        <f t="shared" si="619"/>
        <v>#N/A</v>
      </c>
      <c r="BO257" s="85" t="str">
        <f t="shared" si="2"/>
        <v>$$$</v>
      </c>
      <c r="BP257" s="88" t="str">
        <f t="shared" si="620"/>
        <v>$$$</v>
      </c>
      <c r="BQ257" s="88" t="str">
        <f t="shared" si="4"/>
        <v>$$$</v>
      </c>
      <c r="BR257" s="88" t="str">
        <f t="shared" si="5"/>
        <v>$$$</v>
      </c>
      <c r="BS257" s="29" t="e">
        <f t="shared" si="621"/>
        <v>#N/A</v>
      </c>
      <c r="BT257" s="29" t="e">
        <f t="shared" si="621"/>
        <v>#N/A</v>
      </c>
      <c r="BU257" s="29" t="e">
        <f t="shared" si="621"/>
        <v>#N/A</v>
      </c>
      <c r="BV257" s="29" t="e">
        <f t="shared" si="621"/>
        <v>#N/A</v>
      </c>
      <c r="BW257" s="29" t="e">
        <f t="shared" si="621"/>
        <v>#N/A</v>
      </c>
      <c r="BX257" s="29" t="e">
        <f t="shared" si="621"/>
        <v>#N/A</v>
      </c>
      <c r="BY257" s="29" t="e">
        <f t="shared" si="621"/>
        <v>#N/A</v>
      </c>
      <c r="BZ257" s="29" t="e">
        <f t="shared" si="621"/>
        <v>#N/A</v>
      </c>
      <c r="CA257" s="29" t="e">
        <f t="shared" si="621"/>
        <v>#N/A</v>
      </c>
      <c r="CB257" s="29" t="e">
        <f t="shared" si="621"/>
        <v>#N/A</v>
      </c>
      <c r="CC257" s="29" t="e">
        <f t="shared" si="621"/>
        <v>#N/A</v>
      </c>
      <c r="CD257" s="29" t="e">
        <f t="shared" si="621"/>
        <v>#N/A</v>
      </c>
      <c r="CE257" s="6" t="str">
        <f t="shared" si="452"/>
        <v/>
      </c>
      <c r="CF257" s="27" t="e">
        <f>IF(AND(CI257,NOT(AD257)),LOOKUP(CF$5,{0,750,1500},H257:J257),"")</f>
        <v>#N/A</v>
      </c>
      <c r="CG257" s="6" t="str">
        <f t="shared" si="453"/>
        <v/>
      </c>
      <c r="CH257" t="e">
        <f t="shared" si="622"/>
        <v>#N/A</v>
      </c>
      <c r="CI257" t="e">
        <f t="shared" si="623"/>
        <v>#N/A</v>
      </c>
      <c r="CJ257" s="6" t="e">
        <f t="shared" si="11"/>
        <v>#N/A</v>
      </c>
      <c r="CK257" s="6">
        <f t="shared" si="12"/>
        <v>1</v>
      </c>
      <c r="CL257" s="6">
        <f t="shared" si="26"/>
        <v>1</v>
      </c>
      <c r="CM257" s="6">
        <f t="shared" si="13"/>
        <v>0</v>
      </c>
      <c r="CN257" s="6">
        <f t="shared" si="14"/>
        <v>0</v>
      </c>
      <c r="CO257" s="6">
        <f t="shared" si="15"/>
        <v>1</v>
      </c>
      <c r="CP257" s="6">
        <f t="shared" si="16"/>
        <v>1</v>
      </c>
      <c r="CQ257" s="6">
        <f t="shared" si="624"/>
        <v>1</v>
      </c>
      <c r="CR257" s="81" t="str">
        <f t="shared" si="17"/>
        <v/>
      </c>
      <c r="CS257">
        <f t="shared" si="625"/>
        <v>198</v>
      </c>
      <c r="CT257">
        <f t="shared" si="19"/>
        <v>0</v>
      </c>
      <c r="CU257" t="str">
        <f t="shared" si="29"/>
        <v/>
      </c>
      <c r="CV257" s="81">
        <f t="shared" si="626"/>
        <v>0</v>
      </c>
      <c r="CW257" s="81">
        <f>(CV257/25)^1.5*(Calculator!$BU$4/10000)*CW$5</f>
        <v>0</v>
      </c>
      <c r="CX257" t="str">
        <f t="shared" si="627"/>
        <v>$0</v>
      </c>
    </row>
    <row r="258" spans="2:102" x14ac:dyDescent="0.25">
      <c r="B258" s="115" t="s">
        <v>233</v>
      </c>
      <c r="C258" s="13">
        <v>46321.660416666666</v>
      </c>
      <c r="D258">
        <v>30349</v>
      </c>
      <c r="E258" s="54" t="s">
        <v>235</v>
      </c>
      <c r="F258" s="54" t="s">
        <v>559</v>
      </c>
      <c r="G258" s="54" t="s">
        <v>568</v>
      </c>
      <c r="H258" s="55">
        <v>13.200000000000001</v>
      </c>
      <c r="I258" s="55">
        <v>12.3</v>
      </c>
      <c r="J258" s="55">
        <v>11.799999999999999</v>
      </c>
      <c r="K258" s="54"/>
      <c r="L258" s="56" t="b">
        <v>0</v>
      </c>
      <c r="M258" s="56" t="b">
        <v>0</v>
      </c>
      <c r="N258" s="54">
        <v>1</v>
      </c>
      <c r="O258" s="54" t="s">
        <v>228</v>
      </c>
      <c r="P258" s="54">
        <v>24</v>
      </c>
      <c r="Q258" s="54">
        <v>9</v>
      </c>
      <c r="R258" s="54">
        <v>175</v>
      </c>
      <c r="S258" s="54" t="s">
        <v>561</v>
      </c>
      <c r="T258" s="54" t="s">
        <v>562</v>
      </c>
      <c r="U258" s="54" t="s">
        <v>563</v>
      </c>
      <c r="V258" s="54" t="s">
        <v>564</v>
      </c>
      <c r="W258" s="54" t="b">
        <v>0</v>
      </c>
      <c r="X258" s="54"/>
      <c r="Y258" s="57" t="s">
        <v>2327</v>
      </c>
      <c r="Z258" s="54" t="s">
        <v>2328</v>
      </c>
      <c r="AA258" s="54"/>
      <c r="AB258" s="54" t="s">
        <v>565</v>
      </c>
      <c r="AC258" s="56" t="b">
        <v>1</v>
      </c>
      <c r="AD258" s="56" t="b">
        <v>0</v>
      </c>
      <c r="AE258" s="54" t="s">
        <v>302</v>
      </c>
      <c r="AF258" s="58">
        <v>46321</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4.8640000000000003E-2</v>
      </c>
      <c r="BC258" s="60">
        <v>4.9000000000000004</v>
      </c>
      <c r="BD258" s="61">
        <v>6.5333000000000002E-2</v>
      </c>
      <c r="BE258" s="62" t="s">
        <v>293</v>
      </c>
      <c r="BF258" s="35">
        <f t="shared" si="616"/>
        <v>4.9000000000000004</v>
      </c>
      <c r="BG258" s="35">
        <f t="shared" si="616"/>
        <v>6.5333000000000002E-2</v>
      </c>
      <c r="BH258" s="35" t="str">
        <f t="shared" si="617"/>
        <v>Med</v>
      </c>
      <c r="BI258" s="110">
        <f t="shared" si="618"/>
        <v>0</v>
      </c>
      <c r="BJ258" s="83">
        <f>VLOOKUP($F258,REP_Info!$D$6:$H$250,5,FALSE)</f>
        <v>0.123</v>
      </c>
      <c r="BK258" s="30">
        <f t="shared" si="619"/>
        <v>13.177299999999999</v>
      </c>
      <c r="BL258" s="30">
        <f t="shared" si="619"/>
        <v>12.2873</v>
      </c>
      <c r="BM258" s="30">
        <f t="shared" si="619"/>
        <v>11.8423</v>
      </c>
      <c r="BN258" s="29">
        <f t="shared" si="619"/>
        <v>11.693966666666666</v>
      </c>
      <c r="BO258" s="85" t="str">
        <f t="shared" si="2"/>
        <v>$$$</v>
      </c>
      <c r="BP258" s="88" t="str">
        <f t="shared" si="620"/>
        <v>$$$</v>
      </c>
      <c r="BQ258" s="88" t="str">
        <f t="shared" si="4"/>
        <v>$$$</v>
      </c>
      <c r="BR258" s="88" t="str">
        <f t="shared" si="5"/>
        <v>$$$</v>
      </c>
      <c r="BS258" s="29" t="e">
        <f t="shared" si="621"/>
        <v>#N/A</v>
      </c>
      <c r="BT258" s="29" t="e">
        <f t="shared" si="621"/>
        <v>#N/A</v>
      </c>
      <c r="BU258" s="29" t="e">
        <f t="shared" si="621"/>
        <v>#N/A</v>
      </c>
      <c r="BV258" s="29" t="e">
        <f t="shared" si="621"/>
        <v>#N/A</v>
      </c>
      <c r="BW258" s="29" t="e">
        <f t="shared" si="621"/>
        <v>#N/A</v>
      </c>
      <c r="BX258" s="29" t="e">
        <f t="shared" si="621"/>
        <v>#N/A</v>
      </c>
      <c r="BY258" s="29" t="e">
        <f t="shared" si="621"/>
        <v>#N/A</v>
      </c>
      <c r="BZ258" s="29" t="e">
        <f t="shared" si="621"/>
        <v>#N/A</v>
      </c>
      <c r="CA258" s="29" t="e">
        <f t="shared" si="621"/>
        <v>#N/A</v>
      </c>
      <c r="CB258" s="29" t="e">
        <f t="shared" si="621"/>
        <v>#N/A</v>
      </c>
      <c r="CC258" s="29" t="e">
        <f t="shared" si="621"/>
        <v>#N/A</v>
      </c>
      <c r="CD258" s="29" t="e">
        <f t="shared" si="621"/>
        <v>#N/A</v>
      </c>
      <c r="CE258" s="6" t="str">
        <f t="shared" si="452"/>
        <v/>
      </c>
      <c r="CF258" s="27" t="e">
        <f>IF(AND(CI258,NOT(AD258)),LOOKUP(CF$5,{0,750,1500},H258:J258),"")</f>
        <v>#N/A</v>
      </c>
      <c r="CG258" s="6" t="str">
        <f t="shared" si="453"/>
        <v/>
      </c>
      <c r="CH258" t="e">
        <f t="shared" si="622"/>
        <v>#N/A</v>
      </c>
      <c r="CI258" t="e">
        <f t="shared" si="623"/>
        <v>#N/A</v>
      </c>
      <c r="CJ258" s="6" t="e">
        <f t="shared" si="11"/>
        <v>#N/A</v>
      </c>
      <c r="CK258" s="6">
        <f t="shared" si="12"/>
        <v>1</v>
      </c>
      <c r="CL258" s="6">
        <f t="shared" si="26"/>
        <v>1</v>
      </c>
      <c r="CM258" s="6">
        <f t="shared" si="13"/>
        <v>1</v>
      </c>
      <c r="CN258" s="6">
        <f t="shared" si="14"/>
        <v>0</v>
      </c>
      <c r="CO258" s="6">
        <f t="shared" si="15"/>
        <v>1</v>
      </c>
      <c r="CP258" s="6">
        <f t="shared" si="16"/>
        <v>1</v>
      </c>
      <c r="CQ258" s="6">
        <f t="shared" si="624"/>
        <v>1</v>
      </c>
      <c r="CR258" s="81" t="str">
        <f t="shared" si="17"/>
        <v/>
      </c>
      <c r="CS258">
        <f t="shared" si="625"/>
        <v>5.9999999999999982</v>
      </c>
      <c r="CT258">
        <f t="shared" si="19"/>
        <v>175</v>
      </c>
      <c r="CU258" t="str">
        <f t="shared" si="29"/>
        <v/>
      </c>
      <c r="CV258" s="81">
        <f t="shared" si="626"/>
        <v>175</v>
      </c>
      <c r="CW258" s="81">
        <f>(CV258/25)^1.5*(Calculator!$BU$4/10000)*CW$5</f>
        <v>9.6315719067890644</v>
      </c>
      <c r="CX258" t="str">
        <f t="shared" si="627"/>
        <v>$175</v>
      </c>
    </row>
    <row r="259" spans="2:102" x14ac:dyDescent="0.25">
      <c r="B259" s="115" t="s">
        <v>233</v>
      </c>
      <c r="C259" s="13">
        <v>46321.660416666666</v>
      </c>
      <c r="D259">
        <v>30350</v>
      </c>
      <c r="E259" s="54" t="s">
        <v>237</v>
      </c>
      <c r="F259" s="54" t="s">
        <v>559</v>
      </c>
      <c r="G259" s="54" t="s">
        <v>568</v>
      </c>
      <c r="H259" s="55">
        <v>13.4</v>
      </c>
      <c r="I259" s="55">
        <v>12.6</v>
      </c>
      <c r="J259" s="55">
        <v>12.2</v>
      </c>
      <c r="K259" s="54"/>
      <c r="L259" s="56" t="b">
        <v>0</v>
      </c>
      <c r="M259" s="56" t="b">
        <v>0</v>
      </c>
      <c r="N259" s="54">
        <v>1</v>
      </c>
      <c r="O259" s="54" t="s">
        <v>228</v>
      </c>
      <c r="P259" s="54">
        <v>24</v>
      </c>
      <c r="Q259" s="54">
        <v>9</v>
      </c>
      <c r="R259" s="54">
        <v>175</v>
      </c>
      <c r="S259" s="54" t="s">
        <v>561</v>
      </c>
      <c r="T259" s="54" t="s">
        <v>562</v>
      </c>
      <c r="U259" s="54" t="s">
        <v>563</v>
      </c>
      <c r="V259" s="54" t="s">
        <v>564</v>
      </c>
      <c r="W259" s="54" t="b">
        <v>0</v>
      </c>
      <c r="X259" s="54"/>
      <c r="Y259" s="57" t="s">
        <v>2329</v>
      </c>
      <c r="Z259" s="54" t="s">
        <v>2330</v>
      </c>
      <c r="AA259" s="54"/>
      <c r="AB259" s="54" t="s">
        <v>565</v>
      </c>
      <c r="AC259" s="56" t="b">
        <v>1</v>
      </c>
      <c r="AD259" s="56" t="b">
        <v>0</v>
      </c>
      <c r="AE259" s="54" t="s">
        <v>302</v>
      </c>
      <c r="AF259" s="58">
        <v>46321</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4.9230000000000003E-2</v>
      </c>
      <c r="BC259" s="60">
        <v>4.0599999999999996</v>
      </c>
      <c r="BD259" s="61">
        <v>6.8672999999999998E-2</v>
      </c>
      <c r="BE259" s="62" t="s">
        <v>293</v>
      </c>
      <c r="BF259" s="35">
        <f t="shared" si="616"/>
        <v>4.0600000000000005</v>
      </c>
      <c r="BG259" s="35">
        <f t="shared" si="616"/>
        <v>6.8672999999999998E-2</v>
      </c>
      <c r="BH259" s="35" t="str">
        <f t="shared" si="617"/>
        <v>Med</v>
      </c>
      <c r="BI259" s="110">
        <f t="shared" si="618"/>
        <v>0</v>
      </c>
      <c r="BJ259" s="83">
        <f>VLOOKUP($F259,REP_Info!$D$6:$H$250,5,FALSE)</f>
        <v>0.123</v>
      </c>
      <c r="BK259" s="30">
        <f t="shared" si="619"/>
        <v>13.402300000000002</v>
      </c>
      <c r="BL259" s="30">
        <f t="shared" si="619"/>
        <v>12.596300000000001</v>
      </c>
      <c r="BM259" s="30">
        <f t="shared" si="619"/>
        <v>12.193300000000001</v>
      </c>
      <c r="BN259" s="29">
        <f t="shared" si="619"/>
        <v>12.058966666666667</v>
      </c>
      <c r="BO259" s="85" t="str">
        <f t="shared" si="2"/>
        <v>$$$</v>
      </c>
      <c r="BP259" s="88" t="str">
        <f t="shared" si="620"/>
        <v>$$$</v>
      </c>
      <c r="BQ259" s="88" t="str">
        <f t="shared" si="4"/>
        <v>$$$</v>
      </c>
      <c r="BR259" s="88" t="str">
        <f t="shared" si="5"/>
        <v>$$$</v>
      </c>
      <c r="BS259" s="29" t="e">
        <f t="shared" si="621"/>
        <v>#N/A</v>
      </c>
      <c r="BT259" s="29" t="e">
        <f t="shared" si="621"/>
        <v>#N/A</v>
      </c>
      <c r="BU259" s="29" t="e">
        <f t="shared" si="621"/>
        <v>#N/A</v>
      </c>
      <c r="BV259" s="29" t="e">
        <f t="shared" si="621"/>
        <v>#N/A</v>
      </c>
      <c r="BW259" s="29" t="e">
        <f t="shared" si="621"/>
        <v>#N/A</v>
      </c>
      <c r="BX259" s="29" t="e">
        <f t="shared" si="621"/>
        <v>#N/A</v>
      </c>
      <c r="BY259" s="29" t="e">
        <f t="shared" si="621"/>
        <v>#N/A</v>
      </c>
      <c r="BZ259" s="29" t="e">
        <f t="shared" si="621"/>
        <v>#N/A</v>
      </c>
      <c r="CA259" s="29" t="e">
        <f t="shared" si="621"/>
        <v>#N/A</v>
      </c>
      <c r="CB259" s="29" t="e">
        <f t="shared" si="621"/>
        <v>#N/A</v>
      </c>
      <c r="CC259" s="29" t="e">
        <f t="shared" si="621"/>
        <v>#N/A</v>
      </c>
      <c r="CD259" s="29" t="e">
        <f t="shared" si="621"/>
        <v>#N/A</v>
      </c>
      <c r="CE259" s="6" t="str">
        <f t="shared" si="452"/>
        <v/>
      </c>
      <c r="CF259" s="27" t="e">
        <f>IF(AND(CI259,NOT(AD259)),LOOKUP(CF$5,{0,750,1500},H259:J259),"")</f>
        <v>#N/A</v>
      </c>
      <c r="CG259" s="6" t="str">
        <f t="shared" si="453"/>
        <v/>
      </c>
      <c r="CH259" t="e">
        <f t="shared" si="622"/>
        <v>#N/A</v>
      </c>
      <c r="CI259" t="e">
        <f t="shared" si="623"/>
        <v>#N/A</v>
      </c>
      <c r="CJ259" s="6" t="e">
        <f t="shared" si="11"/>
        <v>#N/A</v>
      </c>
      <c r="CK259" s="6">
        <f t="shared" si="12"/>
        <v>1</v>
      </c>
      <c r="CL259" s="6">
        <f t="shared" si="26"/>
        <v>1</v>
      </c>
      <c r="CM259" s="6">
        <f t="shared" si="13"/>
        <v>1</v>
      </c>
      <c r="CN259" s="6">
        <f t="shared" si="14"/>
        <v>0</v>
      </c>
      <c r="CO259" s="6">
        <f t="shared" si="15"/>
        <v>1</v>
      </c>
      <c r="CP259" s="6">
        <f t="shared" si="16"/>
        <v>1</v>
      </c>
      <c r="CQ259" s="6">
        <f t="shared" si="624"/>
        <v>1</v>
      </c>
      <c r="CR259" s="81" t="str">
        <f t="shared" si="17"/>
        <v/>
      </c>
      <c r="CS259">
        <f t="shared" si="625"/>
        <v>5.9999999999999982</v>
      </c>
      <c r="CT259">
        <f t="shared" si="19"/>
        <v>175</v>
      </c>
      <c r="CU259" t="str">
        <f t="shared" si="29"/>
        <v/>
      </c>
      <c r="CV259" s="81">
        <f t="shared" si="626"/>
        <v>175</v>
      </c>
      <c r="CW259" s="81">
        <f>(CV259/25)^1.5*(Calculator!$BU$4/10000)*CW$5</f>
        <v>9.6315719067890644</v>
      </c>
      <c r="CX259" t="str">
        <f t="shared" si="627"/>
        <v>$175</v>
      </c>
    </row>
    <row r="260" spans="2:102" x14ac:dyDescent="0.25">
      <c r="B260" s="115" t="s">
        <v>233</v>
      </c>
      <c r="C260" s="13">
        <v>46321.660416666666</v>
      </c>
      <c r="D260">
        <v>30389</v>
      </c>
      <c r="E260" s="54" t="s">
        <v>235</v>
      </c>
      <c r="F260" s="54" t="s">
        <v>559</v>
      </c>
      <c r="G260" s="54" t="s">
        <v>569</v>
      </c>
      <c r="H260" s="55">
        <v>13.700000000000001</v>
      </c>
      <c r="I260" s="55">
        <v>12.8</v>
      </c>
      <c r="J260" s="55">
        <v>12.4</v>
      </c>
      <c r="K260" s="54"/>
      <c r="L260" s="56" t="b">
        <v>0</v>
      </c>
      <c r="M260" s="56" t="b">
        <v>0</v>
      </c>
      <c r="N260" s="54">
        <v>1</v>
      </c>
      <c r="O260" s="54" t="s">
        <v>228</v>
      </c>
      <c r="P260" s="54">
        <v>24</v>
      </c>
      <c r="Q260" s="54">
        <v>12</v>
      </c>
      <c r="R260" s="54">
        <v>200</v>
      </c>
      <c r="S260" s="54" t="s">
        <v>561</v>
      </c>
      <c r="T260" s="54" t="s">
        <v>562</v>
      </c>
      <c r="U260" s="54" t="s">
        <v>563</v>
      </c>
      <c r="V260" s="54" t="s">
        <v>564</v>
      </c>
      <c r="W260" s="54" t="b">
        <v>0</v>
      </c>
      <c r="X260" s="54"/>
      <c r="Y260" s="57" t="s">
        <v>2331</v>
      </c>
      <c r="Z260" s="54" t="s">
        <v>2332</v>
      </c>
      <c r="AA260" s="54"/>
      <c r="AB260" s="54" t="s">
        <v>565</v>
      </c>
      <c r="AC260" s="56" t="b">
        <v>1</v>
      </c>
      <c r="AD260" s="56" t="b">
        <v>0</v>
      </c>
      <c r="AE260" s="54" t="s">
        <v>302</v>
      </c>
      <c r="AF260" s="58">
        <v>46321</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5.4149999999999997E-2</v>
      </c>
      <c r="BC260" s="60">
        <v>4.9000000000000004</v>
      </c>
      <c r="BD260" s="61">
        <v>6.5333000000000002E-2</v>
      </c>
      <c r="BE260" s="62" t="s">
        <v>293</v>
      </c>
      <c r="BF260" s="35">
        <f t="shared" si="616"/>
        <v>4.9000000000000004</v>
      </c>
      <c r="BG260" s="35">
        <f t="shared" si="616"/>
        <v>6.5333000000000002E-2</v>
      </c>
      <c r="BH260" s="35" t="str">
        <f t="shared" si="617"/>
        <v>Med</v>
      </c>
      <c r="BI260" s="110">
        <f t="shared" si="618"/>
        <v>0</v>
      </c>
      <c r="BJ260" s="83">
        <f>VLOOKUP($F260,REP_Info!$D$6:$H$250,5,FALSE)</f>
        <v>0.123</v>
      </c>
      <c r="BK260" s="30">
        <f t="shared" si="619"/>
        <v>13.728300000000001</v>
      </c>
      <c r="BL260" s="30">
        <f t="shared" si="619"/>
        <v>12.838299999999997</v>
      </c>
      <c r="BM260" s="30">
        <f t="shared" si="619"/>
        <v>12.3933</v>
      </c>
      <c r="BN260" s="29">
        <f t="shared" si="619"/>
        <v>12.244966666666667</v>
      </c>
      <c r="BO260" s="85" t="str">
        <f t="shared" si="2"/>
        <v>$$$</v>
      </c>
      <c r="BP260" s="88" t="str">
        <f t="shared" si="620"/>
        <v>$$$</v>
      </c>
      <c r="BQ260" s="88" t="str">
        <f t="shared" si="4"/>
        <v>$$$</v>
      </c>
      <c r="BR260" s="88" t="str">
        <f t="shared" si="5"/>
        <v>$$$</v>
      </c>
      <c r="BS260" s="29" t="e">
        <f t="shared" si="621"/>
        <v>#N/A</v>
      </c>
      <c r="BT260" s="29" t="e">
        <f t="shared" si="621"/>
        <v>#N/A</v>
      </c>
      <c r="BU260" s="29" t="e">
        <f t="shared" si="621"/>
        <v>#N/A</v>
      </c>
      <c r="BV260" s="29" t="e">
        <f t="shared" si="621"/>
        <v>#N/A</v>
      </c>
      <c r="BW260" s="29" t="e">
        <f t="shared" si="621"/>
        <v>#N/A</v>
      </c>
      <c r="BX260" s="29" t="e">
        <f t="shared" si="621"/>
        <v>#N/A</v>
      </c>
      <c r="BY260" s="29" t="e">
        <f t="shared" si="621"/>
        <v>#N/A</v>
      </c>
      <c r="BZ260" s="29" t="e">
        <f t="shared" si="621"/>
        <v>#N/A</v>
      </c>
      <c r="CA260" s="29" t="e">
        <f t="shared" si="621"/>
        <v>#N/A</v>
      </c>
      <c r="CB260" s="29" t="e">
        <f t="shared" si="621"/>
        <v>#N/A</v>
      </c>
      <c r="CC260" s="29" t="e">
        <f t="shared" si="621"/>
        <v>#N/A</v>
      </c>
      <c r="CD260" s="29" t="e">
        <f t="shared" si="621"/>
        <v>#N/A</v>
      </c>
      <c r="CE260" s="6" t="str">
        <f t="shared" si="452"/>
        <v/>
      </c>
      <c r="CF260" s="27" t="e">
        <f>IF(AND(CI260,NOT(AD260)),LOOKUP(CF$5,{0,750,1500},H260:J260),"")</f>
        <v>#N/A</v>
      </c>
      <c r="CG260" s="6" t="str">
        <f t="shared" si="453"/>
        <v/>
      </c>
      <c r="CH260" t="e">
        <f t="shared" si="622"/>
        <v>#N/A</v>
      </c>
      <c r="CI260" t="e">
        <f t="shared" si="623"/>
        <v>#N/A</v>
      </c>
      <c r="CJ260" s="6" t="e">
        <f t="shared" si="11"/>
        <v>#N/A</v>
      </c>
      <c r="CK260" s="6">
        <f t="shared" si="12"/>
        <v>1</v>
      </c>
      <c r="CL260" s="6">
        <f t="shared" si="26"/>
        <v>1</v>
      </c>
      <c r="CM260" s="6">
        <f t="shared" si="13"/>
        <v>1</v>
      </c>
      <c r="CN260" s="6">
        <f t="shared" si="14"/>
        <v>1</v>
      </c>
      <c r="CO260" s="6">
        <f t="shared" si="15"/>
        <v>1</v>
      </c>
      <c r="CP260" s="6">
        <f t="shared" si="16"/>
        <v>1</v>
      </c>
      <c r="CQ260" s="6">
        <f t="shared" si="624"/>
        <v>1</v>
      </c>
      <c r="CR260" s="81" t="str">
        <f t="shared" si="17"/>
        <v/>
      </c>
      <c r="CS260">
        <f t="shared" si="625"/>
        <v>0</v>
      </c>
      <c r="CT260">
        <f t="shared" si="19"/>
        <v>200</v>
      </c>
      <c r="CU260" t="str">
        <f t="shared" si="29"/>
        <v/>
      </c>
      <c r="CV260" s="81">
        <f t="shared" si="626"/>
        <v>200</v>
      </c>
      <c r="CW260" s="81">
        <f>(CV260/25)^1.5*(Calculator!$BU$4/10000)*CW$5</f>
        <v>11.767523974296054</v>
      </c>
      <c r="CX260" t="str">
        <f t="shared" si="627"/>
        <v>$200</v>
      </c>
    </row>
    <row r="261" spans="2:102" x14ac:dyDescent="0.25">
      <c r="B261" s="115" t="s">
        <v>233</v>
      </c>
      <c r="C261" s="13">
        <v>46321.660416666666</v>
      </c>
      <c r="D261">
        <v>30390</v>
      </c>
      <c r="E261" s="54" t="s">
        <v>237</v>
      </c>
      <c r="F261" s="54" t="s">
        <v>559</v>
      </c>
      <c r="G261" s="54" t="s">
        <v>569</v>
      </c>
      <c r="H261" s="55">
        <v>13.900000000000002</v>
      </c>
      <c r="I261" s="55">
        <v>13</v>
      </c>
      <c r="J261" s="55">
        <v>12.6</v>
      </c>
      <c r="K261" s="54"/>
      <c r="L261" s="56" t="b">
        <v>0</v>
      </c>
      <c r="M261" s="56" t="b">
        <v>0</v>
      </c>
      <c r="N261" s="54">
        <v>1</v>
      </c>
      <c r="O261" s="54" t="s">
        <v>228</v>
      </c>
      <c r="P261" s="54">
        <v>24</v>
      </c>
      <c r="Q261" s="54">
        <v>12</v>
      </c>
      <c r="R261" s="54">
        <v>200</v>
      </c>
      <c r="S261" s="54" t="s">
        <v>561</v>
      </c>
      <c r="T261" s="54" t="s">
        <v>562</v>
      </c>
      <c r="U261" s="54" t="s">
        <v>563</v>
      </c>
      <c r="V261" s="54" t="s">
        <v>564</v>
      </c>
      <c r="W261" s="54" t="b">
        <v>0</v>
      </c>
      <c r="X261" s="54"/>
      <c r="Y261" s="57" t="s">
        <v>2333</v>
      </c>
      <c r="Z261" s="54" t="s">
        <v>2334</v>
      </c>
      <c r="AA261" s="54"/>
      <c r="AB261" s="54" t="s">
        <v>565</v>
      </c>
      <c r="AC261" s="56" t="b">
        <v>1</v>
      </c>
      <c r="AD261" s="56" t="b">
        <v>0</v>
      </c>
      <c r="AE261" s="54" t="s">
        <v>302</v>
      </c>
      <c r="AF261" s="58">
        <v>46321</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5.373E-2</v>
      </c>
      <c r="BC261" s="60">
        <v>4.0599999999999996</v>
      </c>
      <c r="BD261" s="61">
        <v>6.8672999999999998E-2</v>
      </c>
      <c r="BE261" s="62" t="s">
        <v>293</v>
      </c>
      <c r="BF261" s="35">
        <f t="shared" si="616"/>
        <v>4.0600000000000005</v>
      </c>
      <c r="BG261" s="35">
        <f t="shared" si="616"/>
        <v>6.8672999999999998E-2</v>
      </c>
      <c r="BH261" s="35" t="str">
        <f t="shared" si="617"/>
        <v>Med</v>
      </c>
      <c r="BI261" s="110">
        <f t="shared" si="618"/>
        <v>0</v>
      </c>
      <c r="BJ261" s="83">
        <f>VLOOKUP($F261,REP_Info!$D$6:$H$250,5,FALSE)</f>
        <v>0.123</v>
      </c>
      <c r="BK261" s="30">
        <f t="shared" si="619"/>
        <v>13.8523</v>
      </c>
      <c r="BL261" s="30">
        <f t="shared" si="619"/>
        <v>13.046299999999999</v>
      </c>
      <c r="BM261" s="30">
        <f t="shared" si="619"/>
        <v>12.6433</v>
      </c>
      <c r="BN261" s="29">
        <f t="shared" si="619"/>
        <v>12.508966666666668</v>
      </c>
      <c r="BO261" s="85" t="str">
        <f t="shared" si="2"/>
        <v>$$$</v>
      </c>
      <c r="BP261" s="88" t="str">
        <f t="shared" si="620"/>
        <v>$$$</v>
      </c>
      <c r="BQ261" s="88" t="str">
        <f t="shared" si="4"/>
        <v>$$$</v>
      </c>
      <c r="BR261" s="88" t="str">
        <f t="shared" si="5"/>
        <v>$$$</v>
      </c>
      <c r="BS261" s="29" t="e">
        <f t="shared" si="621"/>
        <v>#N/A</v>
      </c>
      <c r="BT261" s="29" t="e">
        <f t="shared" si="621"/>
        <v>#N/A</v>
      </c>
      <c r="BU261" s="29" t="e">
        <f t="shared" si="621"/>
        <v>#N/A</v>
      </c>
      <c r="BV261" s="29" t="e">
        <f t="shared" si="621"/>
        <v>#N/A</v>
      </c>
      <c r="BW261" s="29" t="e">
        <f t="shared" si="621"/>
        <v>#N/A</v>
      </c>
      <c r="BX261" s="29" t="e">
        <f t="shared" si="621"/>
        <v>#N/A</v>
      </c>
      <c r="BY261" s="29" t="e">
        <f t="shared" si="621"/>
        <v>#N/A</v>
      </c>
      <c r="BZ261" s="29" t="e">
        <f t="shared" si="621"/>
        <v>#N/A</v>
      </c>
      <c r="CA261" s="29" t="e">
        <f t="shared" si="621"/>
        <v>#N/A</v>
      </c>
      <c r="CB261" s="29" t="e">
        <f t="shared" si="621"/>
        <v>#N/A</v>
      </c>
      <c r="CC261" s="29" t="e">
        <f t="shared" si="621"/>
        <v>#N/A</v>
      </c>
      <c r="CD261" s="29" t="e">
        <f t="shared" si="621"/>
        <v>#N/A</v>
      </c>
      <c r="CE261" s="6" t="str">
        <f t="shared" si="452"/>
        <v/>
      </c>
      <c r="CF261" s="27" t="e">
        <f>IF(AND(CI261,NOT(AD261)),LOOKUP(CF$5,{0,750,1500},H261:J261),"")</f>
        <v>#N/A</v>
      </c>
      <c r="CG261" s="6" t="str">
        <f t="shared" si="453"/>
        <v/>
      </c>
      <c r="CH261" t="e">
        <f t="shared" si="622"/>
        <v>#N/A</v>
      </c>
      <c r="CI261" t="e">
        <f t="shared" si="623"/>
        <v>#N/A</v>
      </c>
      <c r="CJ261" s="6" t="e">
        <f t="shared" si="11"/>
        <v>#N/A</v>
      </c>
      <c r="CK261" s="6">
        <f t="shared" si="12"/>
        <v>1</v>
      </c>
      <c r="CL261" s="6">
        <f t="shared" si="26"/>
        <v>1</v>
      </c>
      <c r="CM261" s="6">
        <f t="shared" si="13"/>
        <v>1</v>
      </c>
      <c r="CN261" s="6">
        <f t="shared" si="14"/>
        <v>1</v>
      </c>
      <c r="CO261" s="6">
        <f t="shared" si="15"/>
        <v>1</v>
      </c>
      <c r="CP261" s="6">
        <f t="shared" si="16"/>
        <v>1</v>
      </c>
      <c r="CQ261" s="6">
        <f t="shared" si="624"/>
        <v>1</v>
      </c>
      <c r="CR261" s="81" t="str">
        <f t="shared" si="17"/>
        <v/>
      </c>
      <c r="CS261">
        <f t="shared" si="625"/>
        <v>0</v>
      </c>
      <c r="CT261">
        <f t="shared" si="19"/>
        <v>200</v>
      </c>
      <c r="CU261" t="str">
        <f t="shared" si="29"/>
        <v/>
      </c>
      <c r="CV261" s="81">
        <f t="shared" si="626"/>
        <v>200</v>
      </c>
      <c r="CW261" s="81">
        <f>(CV261/25)^1.5*(Calculator!$BU$4/10000)*CW$5</f>
        <v>11.767523974296054</v>
      </c>
      <c r="CX261" t="str">
        <f t="shared" si="627"/>
        <v>$200</v>
      </c>
    </row>
    <row r="262" spans="2:102" x14ac:dyDescent="0.25">
      <c r="B262" s="115" t="s">
        <v>233</v>
      </c>
      <c r="C262" s="13">
        <v>46321.660416666666</v>
      </c>
      <c r="D262">
        <v>30429</v>
      </c>
      <c r="E262" s="54" t="s">
        <v>235</v>
      </c>
      <c r="F262" s="54" t="s">
        <v>559</v>
      </c>
      <c r="G262" s="54" t="s">
        <v>570</v>
      </c>
      <c r="H262" s="55">
        <v>14.000000000000002</v>
      </c>
      <c r="I262" s="55">
        <v>13.100000000000001</v>
      </c>
      <c r="J262" s="55">
        <v>12.6</v>
      </c>
      <c r="K262" s="54"/>
      <c r="L262" s="56" t="b">
        <v>0</v>
      </c>
      <c r="M262" s="56" t="b">
        <v>0</v>
      </c>
      <c r="N262" s="54">
        <v>1</v>
      </c>
      <c r="O262" s="54" t="s">
        <v>228</v>
      </c>
      <c r="P262" s="54">
        <v>24</v>
      </c>
      <c r="Q262" s="54">
        <v>18</v>
      </c>
      <c r="R262" s="54">
        <v>250</v>
      </c>
      <c r="S262" s="54" t="s">
        <v>561</v>
      </c>
      <c r="T262" s="54" t="s">
        <v>562</v>
      </c>
      <c r="U262" s="54" t="s">
        <v>563</v>
      </c>
      <c r="V262" s="54" t="s">
        <v>564</v>
      </c>
      <c r="W262" s="54" t="b">
        <v>0</v>
      </c>
      <c r="X262" s="54"/>
      <c r="Y262" s="57" t="s">
        <v>2335</v>
      </c>
      <c r="Z262" s="54" t="s">
        <v>2336</v>
      </c>
      <c r="AA262" s="54"/>
      <c r="AB262" s="54" t="s">
        <v>565</v>
      </c>
      <c r="AC262" s="56" t="b">
        <v>1</v>
      </c>
      <c r="AD262" s="56" t="b">
        <v>0</v>
      </c>
      <c r="AE262" s="54" t="s">
        <v>302</v>
      </c>
      <c r="AF262" s="58">
        <v>46321</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5.6390000000000003E-2</v>
      </c>
      <c r="BC262" s="60">
        <v>4.9000000000000004</v>
      </c>
      <c r="BD262" s="61">
        <v>6.5333000000000002E-2</v>
      </c>
      <c r="BE262" s="62" t="s">
        <v>293</v>
      </c>
      <c r="BF262" s="35">
        <f t="shared" si="616"/>
        <v>4.9000000000000004</v>
      </c>
      <c r="BG262" s="35">
        <f t="shared" si="616"/>
        <v>6.5333000000000002E-2</v>
      </c>
      <c r="BH262" s="35" t="str">
        <f t="shared" si="617"/>
        <v>Med</v>
      </c>
      <c r="BI262" s="110">
        <f t="shared" si="618"/>
        <v>0</v>
      </c>
      <c r="BJ262" s="83">
        <f>VLOOKUP($F262,REP_Info!$D$6:$H$250,5,FALSE)</f>
        <v>0.123</v>
      </c>
      <c r="BK262" s="30">
        <f t="shared" si="619"/>
        <v>13.952299999999999</v>
      </c>
      <c r="BL262" s="30">
        <f t="shared" si="619"/>
        <v>13.062299999999999</v>
      </c>
      <c r="BM262" s="30">
        <f t="shared" si="619"/>
        <v>12.617299999999998</v>
      </c>
      <c r="BN262" s="29">
        <f t="shared" si="619"/>
        <v>12.468966666666667</v>
      </c>
      <c r="BO262" s="85" t="str">
        <f t="shared" ref="BO262:BO265" si="628">IFERROR(SUMPRODUCT($BS$7:$CD$7,$BS262:$CD262)/100,"$$$")</f>
        <v>$$$</v>
      </c>
      <c r="BP262" s="88" t="str">
        <f t="shared" si="620"/>
        <v>$$$</v>
      </c>
      <c r="BQ262" s="88" t="str">
        <f t="shared" ref="BQ262:BQ265" si="629">IFERROR(SUMPRODUCT($BS$7:$CD$7,$BS262:$CD262,--($BS$4:$CD$4&lt;=$Q262))/SUMPRODUCT(--($BS$4:$CD$4&lt;=$Q262),$BS$7:$CD$7),"$$$")</f>
        <v>$$$</v>
      </c>
      <c r="BR262" s="88" t="str">
        <f t="shared" ref="BR262:BR265" si="630">IFERROR($BQ262-$BF262*100*SUMPRODUCT(--($BS$4:$CD$4&lt;=$Q262))/SUMPRODUCT(--($BS$4:$CD$4&lt;=$Q262),$BS$7:$CD$7)-$BG262*100,"$$$")</f>
        <v>$$$</v>
      </c>
      <c r="BS262" s="29" t="e">
        <f t="shared" si="621"/>
        <v>#N/A</v>
      </c>
      <c r="BT262" s="29" t="e">
        <f t="shared" si="621"/>
        <v>#N/A</v>
      </c>
      <c r="BU262" s="29" t="e">
        <f t="shared" si="621"/>
        <v>#N/A</v>
      </c>
      <c r="BV262" s="29" t="e">
        <f t="shared" si="621"/>
        <v>#N/A</v>
      </c>
      <c r="BW262" s="29" t="e">
        <f t="shared" si="621"/>
        <v>#N/A</v>
      </c>
      <c r="BX262" s="29" t="e">
        <f t="shared" si="621"/>
        <v>#N/A</v>
      </c>
      <c r="BY262" s="29" t="e">
        <f t="shared" si="621"/>
        <v>#N/A</v>
      </c>
      <c r="BZ262" s="29" t="e">
        <f t="shared" si="621"/>
        <v>#N/A</v>
      </c>
      <c r="CA262" s="29" t="e">
        <f t="shared" si="621"/>
        <v>#N/A</v>
      </c>
      <c r="CB262" s="29" t="e">
        <f t="shared" si="621"/>
        <v>#N/A</v>
      </c>
      <c r="CC262" s="29" t="e">
        <f t="shared" si="621"/>
        <v>#N/A</v>
      </c>
      <c r="CD262" s="29" t="e">
        <f t="shared" si="621"/>
        <v>#N/A</v>
      </c>
      <c r="CE262" s="6" t="str">
        <f t="shared" si="452"/>
        <v/>
      </c>
      <c r="CF262" s="27" t="e">
        <f>IF(AND(CI262,NOT(AD262)),LOOKUP(CF$5,{0,750,1500},H262:J262),"")</f>
        <v>#N/A</v>
      </c>
      <c r="CG262" s="6" t="str">
        <f t="shared" si="453"/>
        <v/>
      </c>
      <c r="CH262" t="e">
        <f t="shared" si="622"/>
        <v>#N/A</v>
      </c>
      <c r="CI262" t="e">
        <f t="shared" si="623"/>
        <v>#N/A</v>
      </c>
      <c r="CJ262" s="6" t="e">
        <f t="shared" ref="CJ262:CJ265" si="631">IF($E262=CJ$5,1,0)</f>
        <v>#N/A</v>
      </c>
      <c r="CK262" s="6">
        <f t="shared" ref="CK262:CK265" si="632">IF(CK$5="[Any]",1,IF($F262=CK$5,1,0))</f>
        <v>1</v>
      </c>
      <c r="CL262" s="6">
        <f t="shared" si="26"/>
        <v>1</v>
      </c>
      <c r="CM262" s="6">
        <f t="shared" ref="CM262:CM265" si="633">IF($O262="Fixed",1,0)</f>
        <v>1</v>
      </c>
      <c r="CN262" s="6">
        <f t="shared" ref="CN262:CN265" si="634">IF($Q262&gt;=CN$5,1,0)</f>
        <v>1</v>
      </c>
      <c r="CO262" s="6">
        <f t="shared" ref="CO262:CO265" si="635">IF($Q262&lt;=CO$5,1,0)</f>
        <v>0</v>
      </c>
      <c r="CP262" s="6">
        <f t="shared" ref="CP262:CP265" si="636">IF($P262&gt;=CP$5,1,0)</f>
        <v>1</v>
      </c>
      <c r="CQ262" s="6">
        <f t="shared" si="624"/>
        <v>1</v>
      </c>
      <c r="CR262" s="81" t="str">
        <f t="shared" ref="CR262:CR265" si="637">IF(ISNUMBER($CH262),$CH262+$CS262+$CW262,"")</f>
        <v/>
      </c>
      <c r="CS262">
        <f t="shared" si="625"/>
        <v>0</v>
      </c>
      <c r="CT262">
        <f t="shared" si="19"/>
        <v>250</v>
      </c>
      <c r="CU262" t="str">
        <f t="shared" si="29"/>
        <v/>
      </c>
      <c r="CV262" s="81">
        <f t="shared" si="626"/>
        <v>250</v>
      </c>
      <c r="CW262" s="81">
        <f>(CV262/25)^1.5*(Calculator!$BU$4/10000)*CW$5</f>
        <v>16.445614708365305</v>
      </c>
      <c r="CX262" t="str">
        <f t="shared" si="627"/>
        <v>$250</v>
      </c>
    </row>
    <row r="263" spans="2:102" x14ac:dyDescent="0.25">
      <c r="B263" s="115" t="s">
        <v>233</v>
      </c>
      <c r="C263" s="13">
        <v>46321.660416666666</v>
      </c>
      <c r="D263">
        <v>30430</v>
      </c>
      <c r="E263" s="54" t="s">
        <v>237</v>
      </c>
      <c r="F263" s="54" t="s">
        <v>559</v>
      </c>
      <c r="G263" s="54" t="s">
        <v>570</v>
      </c>
      <c r="H263" s="55">
        <v>14.2</v>
      </c>
      <c r="I263" s="55">
        <v>13.4</v>
      </c>
      <c r="J263" s="55">
        <v>13</v>
      </c>
      <c r="K263" s="54"/>
      <c r="L263" s="56" t="b">
        <v>0</v>
      </c>
      <c r="M263" s="56" t="b">
        <v>0</v>
      </c>
      <c r="N263" s="54">
        <v>1</v>
      </c>
      <c r="O263" s="54" t="s">
        <v>228</v>
      </c>
      <c r="P263" s="54">
        <v>24</v>
      </c>
      <c r="Q263" s="54">
        <v>18</v>
      </c>
      <c r="R263" s="54">
        <v>250</v>
      </c>
      <c r="S263" s="54" t="s">
        <v>561</v>
      </c>
      <c r="T263" s="54" t="s">
        <v>562</v>
      </c>
      <c r="U263" s="54" t="s">
        <v>563</v>
      </c>
      <c r="V263" s="54" t="s">
        <v>564</v>
      </c>
      <c r="W263" s="54" t="b">
        <v>0</v>
      </c>
      <c r="X263" s="54"/>
      <c r="Y263" s="57" t="s">
        <v>2337</v>
      </c>
      <c r="Z263" s="54" t="s">
        <v>2338</v>
      </c>
      <c r="AA263" s="54"/>
      <c r="AB263" s="54" t="s">
        <v>565</v>
      </c>
      <c r="AC263" s="56" t="b">
        <v>1</v>
      </c>
      <c r="AD263" s="56" t="b">
        <v>0</v>
      </c>
      <c r="AE263" s="54" t="s">
        <v>302</v>
      </c>
      <c r="AF263" s="58">
        <v>46321</v>
      </c>
      <c r="AG263" s="62" t="s">
        <v>293</v>
      </c>
      <c r="AH263" s="54">
        <v>0</v>
      </c>
      <c r="AI263" s="54"/>
      <c r="AJ263" s="54"/>
      <c r="AK263" s="54"/>
      <c r="AL263" s="54"/>
      <c r="AM263" s="54">
        <v>4</v>
      </c>
      <c r="AN263" s="54"/>
      <c r="AO263" s="54"/>
      <c r="AP263" s="54"/>
      <c r="AQ263" s="54"/>
      <c r="AR263" s="54"/>
      <c r="AS263" s="54"/>
      <c r="AT263" s="54"/>
      <c r="AU263" s="54"/>
      <c r="AV263" s="54"/>
      <c r="AW263" s="54"/>
      <c r="AX263" s="59"/>
      <c r="AY263" s="59"/>
      <c r="AZ263" s="59"/>
      <c r="BA263" s="59"/>
      <c r="BB263" s="59">
        <v>5.6869999999999997E-2</v>
      </c>
      <c r="BC263" s="60">
        <v>4.0599999999999996</v>
      </c>
      <c r="BD263" s="61">
        <v>6.8672999999999998E-2</v>
      </c>
      <c r="BE263" s="62" t="s">
        <v>293</v>
      </c>
      <c r="BF263" s="35">
        <f t="shared" si="616"/>
        <v>4.0600000000000005</v>
      </c>
      <c r="BG263" s="35">
        <f t="shared" si="616"/>
        <v>6.8672999999999998E-2</v>
      </c>
      <c r="BH263" s="35" t="str">
        <f t="shared" si="617"/>
        <v>Med</v>
      </c>
      <c r="BI263" s="110">
        <f t="shared" si="618"/>
        <v>0</v>
      </c>
      <c r="BJ263" s="83">
        <f>VLOOKUP($F263,REP_Info!$D$6:$H$250,5,FALSE)</f>
        <v>0.123</v>
      </c>
      <c r="BK263" s="30">
        <f t="shared" si="619"/>
        <v>14.166300000000001</v>
      </c>
      <c r="BL263" s="30">
        <f t="shared" si="619"/>
        <v>13.360300000000001</v>
      </c>
      <c r="BM263" s="30">
        <f t="shared" si="619"/>
        <v>12.957300000000002</v>
      </c>
      <c r="BN263" s="29">
        <f t="shared" si="619"/>
        <v>12.822966666666664</v>
      </c>
      <c r="BO263" s="85" t="str">
        <f t="shared" si="628"/>
        <v>$$$</v>
      </c>
      <c r="BP263" s="88" t="str">
        <f t="shared" si="620"/>
        <v>$$$</v>
      </c>
      <c r="BQ263" s="88" t="str">
        <f t="shared" si="629"/>
        <v>$$$</v>
      </c>
      <c r="BR263" s="88" t="str">
        <f t="shared" si="630"/>
        <v>$$$</v>
      </c>
      <c r="BS263" s="29" t="e">
        <f t="shared" si="621"/>
        <v>#N/A</v>
      </c>
      <c r="BT263" s="29" t="e">
        <f t="shared" si="621"/>
        <v>#N/A</v>
      </c>
      <c r="BU263" s="29" t="e">
        <f t="shared" si="621"/>
        <v>#N/A</v>
      </c>
      <c r="BV263" s="29" t="e">
        <f t="shared" si="621"/>
        <v>#N/A</v>
      </c>
      <c r="BW263" s="29" t="e">
        <f t="shared" si="621"/>
        <v>#N/A</v>
      </c>
      <c r="BX263" s="29" t="e">
        <f t="shared" si="621"/>
        <v>#N/A</v>
      </c>
      <c r="BY263" s="29" t="e">
        <f t="shared" si="621"/>
        <v>#N/A</v>
      </c>
      <c r="BZ263" s="29" t="e">
        <f t="shared" si="621"/>
        <v>#N/A</v>
      </c>
      <c r="CA263" s="29" t="e">
        <f t="shared" si="621"/>
        <v>#N/A</v>
      </c>
      <c r="CB263" s="29" t="e">
        <f t="shared" si="621"/>
        <v>#N/A</v>
      </c>
      <c r="CC263" s="29" t="e">
        <f t="shared" si="621"/>
        <v>#N/A</v>
      </c>
      <c r="CD263" s="29" t="e">
        <f t="shared" si="621"/>
        <v>#N/A</v>
      </c>
      <c r="CE263" s="6" t="str">
        <f t="shared" si="452"/>
        <v/>
      </c>
      <c r="CF263" s="27" t="e">
        <f>IF(AND(CI263,NOT(AD263)),LOOKUP(CF$5,{0,750,1500},H263:J263),"")</f>
        <v>#N/A</v>
      </c>
      <c r="CG263" s="6" t="str">
        <f t="shared" si="453"/>
        <v/>
      </c>
      <c r="CH263" t="e">
        <f t="shared" si="622"/>
        <v>#N/A</v>
      </c>
      <c r="CI263" t="e">
        <f t="shared" si="623"/>
        <v>#N/A</v>
      </c>
      <c r="CJ263" s="6" t="e">
        <f t="shared" si="631"/>
        <v>#N/A</v>
      </c>
      <c r="CK263" s="6">
        <f t="shared" si="632"/>
        <v>1</v>
      </c>
      <c r="CL263" s="6">
        <f t="shared" si="26"/>
        <v>1</v>
      </c>
      <c r="CM263" s="6">
        <f t="shared" si="633"/>
        <v>1</v>
      </c>
      <c r="CN263" s="6">
        <f t="shared" si="634"/>
        <v>1</v>
      </c>
      <c r="CO263" s="6">
        <f t="shared" si="635"/>
        <v>0</v>
      </c>
      <c r="CP263" s="6">
        <f t="shared" si="636"/>
        <v>1</v>
      </c>
      <c r="CQ263" s="6">
        <f t="shared" si="624"/>
        <v>1</v>
      </c>
      <c r="CR263" s="81" t="str">
        <f t="shared" si="637"/>
        <v/>
      </c>
      <c r="CS263">
        <f t="shared" si="625"/>
        <v>0</v>
      </c>
      <c r="CT263">
        <f t="shared" si="19"/>
        <v>250</v>
      </c>
      <c r="CU263" t="str">
        <f t="shared" si="29"/>
        <v/>
      </c>
      <c r="CV263" s="81">
        <f t="shared" si="626"/>
        <v>250</v>
      </c>
      <c r="CW263" s="81">
        <f>(CV263/25)^1.5*(Calculator!$BU$4/10000)*CW$5</f>
        <v>16.445614708365305</v>
      </c>
      <c r="CX263" t="str">
        <f t="shared" si="627"/>
        <v>$250</v>
      </c>
    </row>
    <row r="264" spans="2:102" x14ac:dyDescent="0.25">
      <c r="B264" s="115" t="s">
        <v>233</v>
      </c>
      <c r="C264" s="13">
        <v>46321.660416666666</v>
      </c>
      <c r="D264">
        <v>30506</v>
      </c>
      <c r="E264" s="54" t="s">
        <v>235</v>
      </c>
      <c r="F264" s="54" t="s">
        <v>559</v>
      </c>
      <c r="G264" s="54" t="s">
        <v>571</v>
      </c>
      <c r="H264" s="55">
        <v>14.099999999999998</v>
      </c>
      <c r="I264" s="55">
        <v>13.200000000000001</v>
      </c>
      <c r="J264" s="55">
        <v>12.8</v>
      </c>
      <c r="K264" s="54"/>
      <c r="L264" s="56" t="b">
        <v>0</v>
      </c>
      <c r="M264" s="56" t="b">
        <v>0</v>
      </c>
      <c r="N264" s="54">
        <v>1</v>
      </c>
      <c r="O264" s="54" t="s">
        <v>228</v>
      </c>
      <c r="P264" s="54">
        <v>24</v>
      </c>
      <c r="Q264" s="54">
        <v>24</v>
      </c>
      <c r="R264" s="54">
        <v>300</v>
      </c>
      <c r="S264" s="54" t="s">
        <v>561</v>
      </c>
      <c r="T264" s="54" t="s">
        <v>562</v>
      </c>
      <c r="U264" s="54" t="s">
        <v>563</v>
      </c>
      <c r="V264" s="54" t="s">
        <v>564</v>
      </c>
      <c r="W264" s="54" t="b">
        <v>0</v>
      </c>
      <c r="X264" s="54"/>
      <c r="Y264" s="57" t="s">
        <v>2339</v>
      </c>
      <c r="Z264" s="54" t="s">
        <v>2340</v>
      </c>
      <c r="AA264" s="54"/>
      <c r="AB264" s="54" t="s">
        <v>565</v>
      </c>
      <c r="AC264" s="56" t="b">
        <v>1</v>
      </c>
      <c r="AD264" s="56" t="b">
        <v>0</v>
      </c>
      <c r="AE264" s="54" t="s">
        <v>302</v>
      </c>
      <c r="AF264" s="58">
        <v>46321</v>
      </c>
      <c r="AG264" s="62" t="s">
        <v>293</v>
      </c>
      <c r="AH264" s="54">
        <v>0</v>
      </c>
      <c r="AI264" s="54"/>
      <c r="AJ264" s="54"/>
      <c r="AK264" s="54"/>
      <c r="AL264" s="54"/>
      <c r="AM264" s="54">
        <v>4</v>
      </c>
      <c r="AN264" s="54"/>
      <c r="AO264" s="54"/>
      <c r="AP264" s="54"/>
      <c r="AQ264" s="54"/>
      <c r="AR264" s="54"/>
      <c r="AS264" s="54"/>
      <c r="AT264" s="54"/>
      <c r="AU264" s="54"/>
      <c r="AV264" s="54"/>
      <c r="AW264" s="54"/>
      <c r="AX264" s="59"/>
      <c r="AY264" s="59"/>
      <c r="AZ264" s="59"/>
      <c r="BA264" s="59"/>
      <c r="BB264" s="59">
        <v>5.7950000000000002E-2</v>
      </c>
      <c r="BC264" s="60">
        <v>4.9000000000000004</v>
      </c>
      <c r="BD264" s="61">
        <v>6.5333000000000002E-2</v>
      </c>
      <c r="BE264" s="62" t="s">
        <v>293</v>
      </c>
      <c r="BF264" s="35">
        <f t="shared" si="616"/>
        <v>4.9000000000000004</v>
      </c>
      <c r="BG264" s="35">
        <f t="shared" si="616"/>
        <v>6.5333000000000002E-2</v>
      </c>
      <c r="BH264" s="35" t="str">
        <f t="shared" si="617"/>
        <v>Med</v>
      </c>
      <c r="BI264" s="110">
        <f t="shared" si="618"/>
        <v>0</v>
      </c>
      <c r="BJ264" s="83">
        <f>VLOOKUP($F264,REP_Info!$D$6:$H$250,5,FALSE)</f>
        <v>0.123</v>
      </c>
      <c r="BK264" s="30">
        <f t="shared" si="619"/>
        <v>14.1083</v>
      </c>
      <c r="BL264" s="30">
        <f t="shared" si="619"/>
        <v>13.218299999999999</v>
      </c>
      <c r="BM264" s="30">
        <f t="shared" si="619"/>
        <v>12.773300000000001</v>
      </c>
      <c r="BN264" s="29">
        <f t="shared" si="619"/>
        <v>12.624966666666667</v>
      </c>
      <c r="BO264" s="85" t="str">
        <f t="shared" si="628"/>
        <v>$$$</v>
      </c>
      <c r="BP264" s="88" t="str">
        <f t="shared" si="620"/>
        <v>$$$</v>
      </c>
      <c r="BQ264" s="88" t="str">
        <f t="shared" si="629"/>
        <v>$$$</v>
      </c>
      <c r="BR264" s="88" t="str">
        <f t="shared" si="630"/>
        <v>$$$</v>
      </c>
      <c r="BS264" s="29" t="e">
        <f t="shared" si="621"/>
        <v>#N/A</v>
      </c>
      <c r="BT264" s="29" t="e">
        <f t="shared" si="621"/>
        <v>#N/A</v>
      </c>
      <c r="BU264" s="29" t="e">
        <f t="shared" si="621"/>
        <v>#N/A</v>
      </c>
      <c r="BV264" s="29" t="e">
        <f t="shared" si="621"/>
        <v>#N/A</v>
      </c>
      <c r="BW264" s="29" t="e">
        <f t="shared" si="621"/>
        <v>#N/A</v>
      </c>
      <c r="BX264" s="29" t="e">
        <f t="shared" si="621"/>
        <v>#N/A</v>
      </c>
      <c r="BY264" s="29" t="e">
        <f t="shared" si="621"/>
        <v>#N/A</v>
      </c>
      <c r="BZ264" s="29" t="e">
        <f t="shared" si="621"/>
        <v>#N/A</v>
      </c>
      <c r="CA264" s="29" t="e">
        <f t="shared" si="621"/>
        <v>#N/A</v>
      </c>
      <c r="CB264" s="29" t="e">
        <f t="shared" si="621"/>
        <v>#N/A</v>
      </c>
      <c r="CC264" s="29" t="e">
        <f t="shared" si="621"/>
        <v>#N/A</v>
      </c>
      <c r="CD264" s="29" t="e">
        <f t="shared" si="621"/>
        <v>#N/A</v>
      </c>
      <c r="CE264" s="6" t="str">
        <f t="shared" si="452"/>
        <v/>
      </c>
      <c r="CF264" s="27" t="e">
        <f>IF(AND(CI264,NOT(AD264)),LOOKUP(CF$5,{0,750,1500},H264:J264),"")</f>
        <v>#N/A</v>
      </c>
      <c r="CG264" s="6" t="str">
        <f t="shared" si="453"/>
        <v/>
      </c>
      <c r="CH264" t="e">
        <f t="shared" si="622"/>
        <v>#N/A</v>
      </c>
      <c r="CI264" t="e">
        <f t="shared" si="623"/>
        <v>#N/A</v>
      </c>
      <c r="CJ264" s="6" t="e">
        <f t="shared" si="631"/>
        <v>#N/A</v>
      </c>
      <c r="CK264" s="6">
        <f t="shared" si="632"/>
        <v>1</v>
      </c>
      <c r="CL264" s="6">
        <f t="shared" si="26"/>
        <v>1</v>
      </c>
      <c r="CM264" s="6">
        <f t="shared" si="633"/>
        <v>1</v>
      </c>
      <c r="CN264" s="6">
        <f t="shared" si="634"/>
        <v>1</v>
      </c>
      <c r="CO264" s="6">
        <f t="shared" si="635"/>
        <v>0</v>
      </c>
      <c r="CP264" s="6">
        <f t="shared" si="636"/>
        <v>1</v>
      </c>
      <c r="CQ264" s="6">
        <f t="shared" si="624"/>
        <v>1</v>
      </c>
      <c r="CR264" s="81" t="str">
        <f t="shared" si="637"/>
        <v/>
      </c>
      <c r="CS264">
        <f t="shared" si="625"/>
        <v>0</v>
      </c>
      <c r="CT264">
        <f t="shared" si="19"/>
        <v>300</v>
      </c>
      <c r="CU264" t="str">
        <f t="shared" si="29"/>
        <v/>
      </c>
      <c r="CV264" s="81">
        <f t="shared" si="626"/>
        <v>300</v>
      </c>
      <c r="CW264" s="81">
        <f>(CV264/25)^1.5*(Calculator!$BU$4/10000)*CW$5</f>
        <v>21.618321954745014</v>
      </c>
      <c r="CX264" t="str">
        <f t="shared" si="627"/>
        <v>$300</v>
      </c>
    </row>
    <row r="265" spans="2:102" x14ac:dyDescent="0.25">
      <c r="B265" s="115" t="s">
        <v>233</v>
      </c>
      <c r="C265" s="13">
        <v>46321.660416666666</v>
      </c>
      <c r="D265">
        <v>30509</v>
      </c>
      <c r="E265" s="54" t="s">
        <v>237</v>
      </c>
      <c r="F265" s="54" t="s">
        <v>559</v>
      </c>
      <c r="G265" s="54" t="s">
        <v>571</v>
      </c>
      <c r="H265" s="55">
        <v>14.2</v>
      </c>
      <c r="I265" s="55">
        <v>13.4</v>
      </c>
      <c r="J265" s="55">
        <v>13</v>
      </c>
      <c r="K265" s="54"/>
      <c r="L265" s="56" t="b">
        <v>0</v>
      </c>
      <c r="M265" s="56" t="b">
        <v>0</v>
      </c>
      <c r="N265" s="54">
        <v>1</v>
      </c>
      <c r="O265" s="54" t="s">
        <v>228</v>
      </c>
      <c r="P265" s="54">
        <v>24</v>
      </c>
      <c r="Q265" s="54">
        <v>24</v>
      </c>
      <c r="R265" s="54">
        <v>300</v>
      </c>
      <c r="S265" s="54" t="s">
        <v>561</v>
      </c>
      <c r="T265" s="54" t="s">
        <v>562</v>
      </c>
      <c r="U265" s="54" t="s">
        <v>563</v>
      </c>
      <c r="V265" s="54" t="s">
        <v>564</v>
      </c>
      <c r="W265" s="54" t="b">
        <v>0</v>
      </c>
      <c r="X265" s="54"/>
      <c r="Y265" s="57" t="s">
        <v>2341</v>
      </c>
      <c r="Z265" s="54" t="s">
        <v>2342</v>
      </c>
      <c r="AA265" s="54"/>
      <c r="AB265" s="54" t="s">
        <v>565</v>
      </c>
      <c r="AC265" s="56" t="b">
        <v>1</v>
      </c>
      <c r="AD265" s="56" t="b">
        <v>0</v>
      </c>
      <c r="AE265" s="54" t="s">
        <v>302</v>
      </c>
      <c r="AF265" s="58">
        <v>46321</v>
      </c>
      <c r="AG265" s="62" t="s">
        <v>293</v>
      </c>
      <c r="AH265" s="54">
        <v>0</v>
      </c>
      <c r="AI265" s="54"/>
      <c r="AJ265" s="54"/>
      <c r="AK265" s="54"/>
      <c r="AL265" s="54"/>
      <c r="AM265" s="54">
        <v>4</v>
      </c>
      <c r="AN265" s="54"/>
      <c r="AO265" s="54"/>
      <c r="AP265" s="54"/>
      <c r="AQ265" s="54"/>
      <c r="AR265" s="54"/>
      <c r="AS265" s="54"/>
      <c r="AT265" s="54"/>
      <c r="AU265" s="54"/>
      <c r="AV265" s="54"/>
      <c r="AW265" s="54"/>
      <c r="AX265" s="59"/>
      <c r="AY265" s="59"/>
      <c r="AZ265" s="59"/>
      <c r="BA265" s="59"/>
      <c r="BB265" s="59">
        <v>5.7500000000000002E-2</v>
      </c>
      <c r="BC265" s="60">
        <v>4.0599999999999996</v>
      </c>
      <c r="BD265" s="61">
        <v>6.8672999999999998E-2</v>
      </c>
      <c r="BE265" s="62" t="s">
        <v>293</v>
      </c>
      <c r="BF265" s="35">
        <f t="shared" si="616"/>
        <v>4.0600000000000005</v>
      </c>
      <c r="BG265" s="35">
        <f t="shared" si="616"/>
        <v>6.8672999999999998E-2</v>
      </c>
      <c r="BH265" s="35" t="str">
        <f t="shared" si="617"/>
        <v>Med</v>
      </c>
      <c r="BI265" s="110">
        <f t="shared" si="618"/>
        <v>0</v>
      </c>
      <c r="BJ265" s="83">
        <f>VLOOKUP($F265,REP_Info!$D$6:$H$250,5,FALSE)</f>
        <v>0.123</v>
      </c>
      <c r="BK265" s="30">
        <f t="shared" si="619"/>
        <v>14.2293</v>
      </c>
      <c r="BL265" s="30">
        <f t="shared" si="619"/>
        <v>13.423300000000001</v>
      </c>
      <c r="BM265" s="30">
        <f t="shared" si="619"/>
        <v>13.020300000000001</v>
      </c>
      <c r="BN265" s="29">
        <f t="shared" si="619"/>
        <v>12.885966666666667</v>
      </c>
      <c r="BO265" s="85" t="str">
        <f t="shared" si="628"/>
        <v>$$$</v>
      </c>
      <c r="BP265" s="88" t="str">
        <f t="shared" si="620"/>
        <v>$$$</v>
      </c>
      <c r="BQ265" s="88" t="str">
        <f t="shared" si="629"/>
        <v>$$$</v>
      </c>
      <c r="BR265" s="88" t="str">
        <f t="shared" si="630"/>
        <v>$$$</v>
      </c>
      <c r="BS265" s="29" t="e">
        <f t="shared" si="621"/>
        <v>#N/A</v>
      </c>
      <c r="BT265" s="29" t="e">
        <f t="shared" si="621"/>
        <v>#N/A</v>
      </c>
      <c r="BU265" s="29" t="e">
        <f t="shared" si="621"/>
        <v>#N/A</v>
      </c>
      <c r="BV265" s="29" t="e">
        <f t="shared" si="621"/>
        <v>#N/A</v>
      </c>
      <c r="BW265" s="29" t="e">
        <f t="shared" si="621"/>
        <v>#N/A</v>
      </c>
      <c r="BX265" s="29" t="e">
        <f t="shared" si="621"/>
        <v>#N/A</v>
      </c>
      <c r="BY265" s="29" t="e">
        <f t="shared" si="621"/>
        <v>#N/A</v>
      </c>
      <c r="BZ265" s="29" t="e">
        <f t="shared" si="621"/>
        <v>#N/A</v>
      </c>
      <c r="CA265" s="29" t="e">
        <f t="shared" si="621"/>
        <v>#N/A</v>
      </c>
      <c r="CB265" s="29" t="e">
        <f t="shared" si="621"/>
        <v>#N/A</v>
      </c>
      <c r="CC265" s="29" t="e">
        <f t="shared" si="621"/>
        <v>#N/A</v>
      </c>
      <c r="CD265" s="29" t="e">
        <f t="shared" si="621"/>
        <v>#N/A</v>
      </c>
      <c r="CE265" s="6" t="str">
        <f t="shared" si="452"/>
        <v/>
      </c>
      <c r="CF265" s="27" t="e">
        <f>IF(AND(CI265,NOT(AD265)),LOOKUP(CF$5,{0,750,1500},H265:J265),"")</f>
        <v>#N/A</v>
      </c>
      <c r="CG265" s="6" t="str">
        <f t="shared" si="453"/>
        <v/>
      </c>
      <c r="CH265" t="e">
        <f t="shared" si="622"/>
        <v>#N/A</v>
      </c>
      <c r="CI265" t="e">
        <f t="shared" si="623"/>
        <v>#N/A</v>
      </c>
      <c r="CJ265" s="6" t="e">
        <f t="shared" si="631"/>
        <v>#N/A</v>
      </c>
      <c r="CK265" s="6">
        <f t="shared" si="632"/>
        <v>1</v>
      </c>
      <c r="CL265" s="6">
        <f t="shared" si="26"/>
        <v>1</v>
      </c>
      <c r="CM265" s="6">
        <f t="shared" si="633"/>
        <v>1</v>
      </c>
      <c r="CN265" s="6">
        <f t="shared" si="634"/>
        <v>1</v>
      </c>
      <c r="CO265" s="6">
        <f t="shared" si="635"/>
        <v>0</v>
      </c>
      <c r="CP265" s="6">
        <f t="shared" si="636"/>
        <v>1</v>
      </c>
      <c r="CQ265" s="6">
        <f t="shared" si="624"/>
        <v>1</v>
      </c>
      <c r="CR265" s="81" t="str">
        <f t="shared" si="637"/>
        <v/>
      </c>
      <c r="CS265">
        <f t="shared" si="625"/>
        <v>0</v>
      </c>
      <c r="CT265">
        <f t="shared" si="19"/>
        <v>300</v>
      </c>
      <c r="CU265" t="str">
        <f t="shared" si="29"/>
        <v/>
      </c>
      <c r="CV265" s="81">
        <f t="shared" si="626"/>
        <v>300</v>
      </c>
      <c r="CW265" s="81">
        <f>(CV265/25)^1.5*(Calculator!$BU$4/10000)*CW$5</f>
        <v>21.618321954745014</v>
      </c>
      <c r="CX265" t="str">
        <f t="shared" si="627"/>
        <v>$300</v>
      </c>
    </row>
    <row r="266" spans="2:102" x14ac:dyDescent="0.25">
      <c r="B266" s="115" t="s">
        <v>233</v>
      </c>
      <c r="C266" s="13">
        <v>46321.660416666666</v>
      </c>
      <c r="D266">
        <v>30598</v>
      </c>
      <c r="E266" s="54" t="s">
        <v>235</v>
      </c>
      <c r="F266" s="54" t="s">
        <v>559</v>
      </c>
      <c r="G266" s="54" t="s">
        <v>572</v>
      </c>
      <c r="H266" s="55">
        <v>14.399999999999999</v>
      </c>
      <c r="I266" s="55">
        <v>13.5</v>
      </c>
      <c r="J266" s="55">
        <v>13</v>
      </c>
      <c r="K266" s="54"/>
      <c r="L266" s="56" t="b">
        <v>0</v>
      </c>
      <c r="M266" s="56" t="b">
        <v>0</v>
      </c>
      <c r="N266" s="54">
        <v>1</v>
      </c>
      <c r="O266" s="54" t="s">
        <v>228</v>
      </c>
      <c r="P266" s="54">
        <v>24</v>
      </c>
      <c r="Q266" s="54">
        <v>36</v>
      </c>
      <c r="R266" s="54">
        <v>375</v>
      </c>
      <c r="S266" s="54" t="s">
        <v>561</v>
      </c>
      <c r="T266" s="54" t="s">
        <v>562</v>
      </c>
      <c r="U266" s="54" t="s">
        <v>563</v>
      </c>
      <c r="V266" s="54" t="s">
        <v>564</v>
      </c>
      <c r="W266" s="54" t="b">
        <v>0</v>
      </c>
      <c r="X266" s="54"/>
      <c r="Y266" s="57" t="s">
        <v>2343</v>
      </c>
      <c r="Z266" s="54" t="s">
        <v>2344</v>
      </c>
      <c r="AA266" s="54"/>
      <c r="AB266" s="54" t="s">
        <v>565</v>
      </c>
      <c r="AC266" s="56" t="b">
        <v>1</v>
      </c>
      <c r="AD266" s="56" t="b">
        <v>0</v>
      </c>
      <c r="AE266" s="54" t="s">
        <v>302</v>
      </c>
      <c r="AF266" s="58">
        <v>46321</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6.0519999999999997E-2</v>
      </c>
      <c r="BC266" s="60">
        <v>4.9000000000000004</v>
      </c>
      <c r="BD266" s="61">
        <v>6.5333000000000002E-2</v>
      </c>
      <c r="BE266" s="62" t="s">
        <v>293</v>
      </c>
      <c r="BF266" s="35">
        <f t="shared" ref="BF266:BG275" si="638">IF($E266=$E$4,BF$4,IF($E266=$E$5,BF$5,""))</f>
        <v>4.9000000000000004</v>
      </c>
      <c r="BG266" s="35">
        <f t="shared" si="638"/>
        <v>6.5333000000000002E-2</v>
      </c>
      <c r="BH266" s="35" t="str">
        <f t="shared" ref="BH266:BH275" si="639">IF(ISTEXT(BE266),IF(AND(AV266=0,SUM(AN266:AQ266)=0),IF(AM266&lt;=0,IF(BE266="Y","Low","Flat"),"Med"),"High"),"?")</f>
        <v>Med</v>
      </c>
      <c r="BI266" s="110">
        <f t="shared" ref="BI266:BI275" si="640">IF(ISNUMBER(AH266),0*BI$5*SIN((EDATE($A$3,$Q266)-DATE(YEAR(EDATE($A$3,$Q266)),1,0)-BI$4)*2*PI()/365),"")</f>
        <v>0</v>
      </c>
      <c r="BJ266" s="83">
        <f>VLOOKUP($F266,REP_Info!$D$6:$H$250,5,FALSE)</f>
        <v>0.123</v>
      </c>
      <c r="BK266" s="30">
        <f t="shared" ref="BK266:BN275" si="641">IF(BK$7&gt;0,(LOOKUP(BK$7,$AH266:$AL266,$AM266:$AQ266)+IF($AG266="Y",SUMPRODUCT($AX266:$BB266-$AW266:$BA266,BK$7-$AR266:$AV266,N(BK$7&gt;$AR266:$AV266)),BK$7*LOOKUP(BK$7,$AR266:$AV266,$AX266:$BB266))+IF($BE266="Y",$BF266,$BC266)+BK$7*IF($BE266="Y",$BG266,$BD266))*100/BK$7,"")</f>
        <v>14.3653</v>
      </c>
      <c r="BL266" s="30">
        <f t="shared" si="641"/>
        <v>13.475299999999999</v>
      </c>
      <c r="BM266" s="30">
        <f t="shared" si="641"/>
        <v>13.030299999999999</v>
      </c>
      <c r="BN266" s="29">
        <f t="shared" si="641"/>
        <v>12.881966666666667</v>
      </c>
      <c r="BO266" s="85" t="str">
        <f t="shared" si="2"/>
        <v>$$$</v>
      </c>
      <c r="BP266" s="88" t="str">
        <f t="shared" ref="BP266:BP275" si="642">IFERROR(BO266*100/BO$5,"$$$")</f>
        <v>$$$</v>
      </c>
      <c r="BQ266" s="88" t="str">
        <f t="shared" si="4"/>
        <v>$$$</v>
      </c>
      <c r="BR266" s="88" t="str">
        <f t="shared" si="5"/>
        <v>$$$</v>
      </c>
      <c r="BS266" s="29" t="e">
        <f t="shared" ref="BS266:CD275" si="643">IF($CI266,IF(BS$7&gt;0,IF(BS$4&gt;$Q266,$BF266+BS$7*(BS$5+$BG266+$BI266),LOOKUP(BS$7,$AH266:$AL266,$AM266:$AQ266)+IF($AG266="Y",SUMPRODUCT($AX266:$BB266-$AW266:$BA266,BS$7-$AR266:$AV266,N(BS$7&gt;$AR266:$AV266)),BS$7*LOOKUP(BS$7,$AR266:$AV266,$AX266:$BB266))+IF($BE266="Y",$BF266,$BC266)+BS$7*IF($BE266="Y",$BG266,$BD266))*100/BS$7,""),NA())</f>
        <v>#N/A</v>
      </c>
      <c r="BT266" s="29" t="e">
        <f t="shared" si="643"/>
        <v>#N/A</v>
      </c>
      <c r="BU266" s="29" t="e">
        <f t="shared" si="643"/>
        <v>#N/A</v>
      </c>
      <c r="BV266" s="29" t="e">
        <f t="shared" si="643"/>
        <v>#N/A</v>
      </c>
      <c r="BW266" s="29" t="e">
        <f t="shared" si="643"/>
        <v>#N/A</v>
      </c>
      <c r="BX266" s="29" t="e">
        <f t="shared" si="643"/>
        <v>#N/A</v>
      </c>
      <c r="BY266" s="29" t="e">
        <f t="shared" si="643"/>
        <v>#N/A</v>
      </c>
      <c r="BZ266" s="29" t="e">
        <f t="shared" si="643"/>
        <v>#N/A</v>
      </c>
      <c r="CA266" s="29" t="e">
        <f t="shared" si="643"/>
        <v>#N/A</v>
      </c>
      <c r="CB266" s="29" t="e">
        <f t="shared" si="643"/>
        <v>#N/A</v>
      </c>
      <c r="CC266" s="29" t="e">
        <f t="shared" si="643"/>
        <v>#N/A</v>
      </c>
      <c r="CD266" s="29" t="e">
        <f t="shared" si="643"/>
        <v>#N/A</v>
      </c>
      <c r="CE266" s="6" t="str">
        <f t="shared" si="452"/>
        <v/>
      </c>
      <c r="CF266" s="27" t="e">
        <f>IF(AND(CI266,NOT(AD266)),LOOKUP(CF$5,{0,750,1500},H266:J266),"")</f>
        <v>#N/A</v>
      </c>
      <c r="CG266" s="6" t="str">
        <f t="shared" si="453"/>
        <v/>
      </c>
      <c r="CH266" t="e">
        <f t="shared" ref="CH266:CH275" si="644">IF(CI266,IF(ISNUMBER(BO266),BO266,100000)+CV266/10000+IF(ISNUMBER(BJ266),BJ266,2)/10000-P266/100000+ROW()/10000000,"")</f>
        <v>#N/A</v>
      </c>
      <c r="CI266" t="e">
        <f t="shared" ref="CI266:CI275" si="645">PRODUCT(CJ266:CQ266)</f>
        <v>#N/A</v>
      </c>
      <c r="CJ266" s="6" t="e">
        <f t="shared" si="11"/>
        <v>#N/A</v>
      </c>
      <c r="CK266" s="6">
        <f t="shared" si="12"/>
        <v>1</v>
      </c>
      <c r="CL266" s="6">
        <f t="shared" si="26"/>
        <v>1</v>
      </c>
      <c r="CM266" s="6">
        <f t="shared" si="13"/>
        <v>1</v>
      </c>
      <c r="CN266" s="6">
        <f t="shared" si="14"/>
        <v>1</v>
      </c>
      <c r="CO266" s="6">
        <f t="shared" si="15"/>
        <v>0</v>
      </c>
      <c r="CP266" s="6">
        <f t="shared" si="16"/>
        <v>1</v>
      </c>
      <c r="CQ266" s="6">
        <f t="shared" ref="CQ266:CQ275" si="646">IF(CQ$5="Any",1,IF(AND(CQ$5="Med",AV266=0,SUM(AN266:AQ266)=0),1,IF(AND(CQ$5="Low",AV266=0,SUM(AN266:AQ266)=0,AM266=0),1,IF(AND(CQ$5="Flat",AV266=0,SUM(AN266:AQ266)=0,AM266=0,IFERROR(NOT(BE266="Y"),0)),1,0))))</f>
        <v>1</v>
      </c>
      <c r="CR266" s="81" t="str">
        <f t="shared" si="17"/>
        <v/>
      </c>
      <c r="CS266">
        <f t="shared" ref="CS266:CS275" si="647">CS$5*(12/(MIN(12,Q266))-1)</f>
        <v>0</v>
      </c>
      <c r="CT266">
        <f t="shared" si="19"/>
        <v>375</v>
      </c>
      <c r="CU266" t="str">
        <f t="shared" si="29"/>
        <v/>
      </c>
      <c r="CV266" s="81">
        <f t="shared" ref="CV266:CV275" si="648">CT266*IF(CU266="",1,Q266)</f>
        <v>375</v>
      </c>
      <c r="CW266" s="81">
        <f>(CV266/25)^1.5*(Calculator!$BU$4/10000)*CW$5</f>
        <v>30.212523406428716</v>
      </c>
      <c r="CX266" t="str">
        <f t="shared" ref="CX266:CX275" si="649">"$"&amp;IF(LEFT(CU266,1)="r",CT266&amp;"/"&amp;CU266,CV266)</f>
        <v>$375</v>
      </c>
    </row>
    <row r="267" spans="2:102" x14ac:dyDescent="0.25">
      <c r="B267" s="115" t="s">
        <v>233</v>
      </c>
      <c r="C267" s="13">
        <v>46321.660416666666</v>
      </c>
      <c r="D267">
        <v>30600</v>
      </c>
      <c r="E267" s="54" t="s">
        <v>237</v>
      </c>
      <c r="F267" s="54" t="s">
        <v>559</v>
      </c>
      <c r="G267" s="54" t="s">
        <v>572</v>
      </c>
      <c r="H267" s="55">
        <v>14.499999999999998</v>
      </c>
      <c r="I267" s="55">
        <v>13.700000000000001</v>
      </c>
      <c r="J267" s="55">
        <v>13.3</v>
      </c>
      <c r="K267" s="54"/>
      <c r="L267" s="56" t="b">
        <v>0</v>
      </c>
      <c r="M267" s="56" t="b">
        <v>0</v>
      </c>
      <c r="N267" s="54">
        <v>1</v>
      </c>
      <c r="O267" s="54" t="s">
        <v>228</v>
      </c>
      <c r="P267" s="54">
        <v>24</v>
      </c>
      <c r="Q267" s="54">
        <v>36</v>
      </c>
      <c r="R267" s="54">
        <v>375</v>
      </c>
      <c r="S267" s="54" t="s">
        <v>561</v>
      </c>
      <c r="T267" s="54" t="s">
        <v>562</v>
      </c>
      <c r="U267" s="54" t="s">
        <v>563</v>
      </c>
      <c r="V267" s="54" t="s">
        <v>564</v>
      </c>
      <c r="W267" s="54" t="b">
        <v>0</v>
      </c>
      <c r="X267" s="54"/>
      <c r="Y267" s="57" t="s">
        <v>2345</v>
      </c>
      <c r="Z267" s="54" t="s">
        <v>2346</v>
      </c>
      <c r="AA267" s="54"/>
      <c r="AB267" s="54" t="s">
        <v>565</v>
      </c>
      <c r="AC267" s="56" t="b">
        <v>1</v>
      </c>
      <c r="AD267" s="56" t="b">
        <v>0</v>
      </c>
      <c r="AE267" s="54" t="s">
        <v>302</v>
      </c>
      <c r="AF267" s="58">
        <v>46321</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6.0109999999999997E-2</v>
      </c>
      <c r="BC267" s="60">
        <v>4.0599999999999996</v>
      </c>
      <c r="BD267" s="61">
        <v>6.8672999999999998E-2</v>
      </c>
      <c r="BE267" s="62" t="s">
        <v>293</v>
      </c>
      <c r="BF267" s="35">
        <f t="shared" si="638"/>
        <v>4.0600000000000005</v>
      </c>
      <c r="BG267" s="35">
        <f t="shared" si="638"/>
        <v>6.8672999999999998E-2</v>
      </c>
      <c r="BH267" s="35" t="str">
        <f t="shared" si="639"/>
        <v>Med</v>
      </c>
      <c r="BI267" s="110">
        <f t="shared" si="640"/>
        <v>0</v>
      </c>
      <c r="BJ267" s="83">
        <f>VLOOKUP($F267,REP_Info!$D$6:$H$250,5,FALSE)</f>
        <v>0.123</v>
      </c>
      <c r="BK267" s="30">
        <f t="shared" si="641"/>
        <v>14.490300000000003</v>
      </c>
      <c r="BL267" s="30">
        <f t="shared" si="641"/>
        <v>13.6843</v>
      </c>
      <c r="BM267" s="30">
        <f t="shared" si="641"/>
        <v>13.2813</v>
      </c>
      <c r="BN267" s="29">
        <f t="shared" si="641"/>
        <v>13.146966666666668</v>
      </c>
      <c r="BO267" s="85" t="str">
        <f t="shared" si="2"/>
        <v>$$$</v>
      </c>
      <c r="BP267" s="88" t="str">
        <f t="shared" si="642"/>
        <v>$$$</v>
      </c>
      <c r="BQ267" s="88" t="str">
        <f t="shared" si="4"/>
        <v>$$$</v>
      </c>
      <c r="BR267" s="88" t="str">
        <f t="shared" si="5"/>
        <v>$$$</v>
      </c>
      <c r="BS267" s="29" t="e">
        <f t="shared" si="643"/>
        <v>#N/A</v>
      </c>
      <c r="BT267" s="29" t="e">
        <f t="shared" si="643"/>
        <v>#N/A</v>
      </c>
      <c r="BU267" s="29" t="e">
        <f t="shared" si="643"/>
        <v>#N/A</v>
      </c>
      <c r="BV267" s="29" t="e">
        <f t="shared" si="643"/>
        <v>#N/A</v>
      </c>
      <c r="BW267" s="29" t="e">
        <f t="shared" si="643"/>
        <v>#N/A</v>
      </c>
      <c r="BX267" s="29" t="e">
        <f t="shared" si="643"/>
        <v>#N/A</v>
      </c>
      <c r="BY267" s="29" t="e">
        <f t="shared" si="643"/>
        <v>#N/A</v>
      </c>
      <c r="BZ267" s="29" t="e">
        <f t="shared" si="643"/>
        <v>#N/A</v>
      </c>
      <c r="CA267" s="29" t="e">
        <f t="shared" si="643"/>
        <v>#N/A</v>
      </c>
      <c r="CB267" s="29" t="e">
        <f t="shared" si="643"/>
        <v>#N/A</v>
      </c>
      <c r="CC267" s="29" t="e">
        <f t="shared" si="643"/>
        <v>#N/A</v>
      </c>
      <c r="CD267" s="29" t="e">
        <f t="shared" si="643"/>
        <v>#N/A</v>
      </c>
      <c r="CE267" s="6" t="str">
        <f t="shared" si="452"/>
        <v/>
      </c>
      <c r="CF267" s="27" t="e">
        <f>IF(AND(CI267,NOT(AD267)),LOOKUP(CF$5,{0,750,1500},H267:J267),"")</f>
        <v>#N/A</v>
      </c>
      <c r="CG267" s="6" t="str">
        <f t="shared" si="453"/>
        <v/>
      </c>
      <c r="CH267" t="e">
        <f t="shared" si="644"/>
        <v>#N/A</v>
      </c>
      <c r="CI267" t="e">
        <f t="shared" si="645"/>
        <v>#N/A</v>
      </c>
      <c r="CJ267" s="6" t="e">
        <f t="shared" si="11"/>
        <v>#N/A</v>
      </c>
      <c r="CK267" s="6">
        <f t="shared" si="12"/>
        <v>1</v>
      </c>
      <c r="CL267" s="6">
        <f t="shared" si="26"/>
        <v>1</v>
      </c>
      <c r="CM267" s="6">
        <f t="shared" si="13"/>
        <v>1</v>
      </c>
      <c r="CN267" s="6">
        <f t="shared" si="14"/>
        <v>1</v>
      </c>
      <c r="CO267" s="6">
        <f t="shared" si="15"/>
        <v>0</v>
      </c>
      <c r="CP267" s="6">
        <f t="shared" si="16"/>
        <v>1</v>
      </c>
      <c r="CQ267" s="6">
        <f t="shared" si="646"/>
        <v>1</v>
      </c>
      <c r="CR267" s="81" t="str">
        <f t="shared" si="17"/>
        <v/>
      </c>
      <c r="CS267">
        <f t="shared" si="647"/>
        <v>0</v>
      </c>
      <c r="CT267">
        <f t="shared" si="19"/>
        <v>375</v>
      </c>
      <c r="CU267" t="str">
        <f t="shared" si="29"/>
        <v/>
      </c>
      <c r="CV267" s="81">
        <f t="shared" si="648"/>
        <v>375</v>
      </c>
      <c r="CW267" s="81">
        <f>(CV267/25)^1.5*(Calculator!$BU$4/10000)*CW$5</f>
        <v>30.212523406428716</v>
      </c>
      <c r="CX267" t="str">
        <f t="shared" si="649"/>
        <v>$375</v>
      </c>
    </row>
    <row r="268" spans="2:102" x14ac:dyDescent="0.25">
      <c r="B268" s="115" t="s">
        <v>233</v>
      </c>
      <c r="C268" s="13">
        <v>46321.660416666666</v>
      </c>
      <c r="D268">
        <v>31143</v>
      </c>
      <c r="E268" s="54" t="s">
        <v>235</v>
      </c>
      <c r="F268" s="54" t="s">
        <v>559</v>
      </c>
      <c r="G268" s="54" t="s">
        <v>573</v>
      </c>
      <c r="H268" s="55">
        <v>11.899999999999999</v>
      </c>
      <c r="I268" s="55">
        <v>11.1</v>
      </c>
      <c r="J268" s="55">
        <v>10.7</v>
      </c>
      <c r="K268" s="54"/>
      <c r="L268" s="56" t="b">
        <v>0</v>
      </c>
      <c r="M268" s="56" t="b">
        <v>0</v>
      </c>
      <c r="N268" s="54">
        <v>0</v>
      </c>
      <c r="O268" s="54" t="s">
        <v>238</v>
      </c>
      <c r="P268" s="54">
        <v>24</v>
      </c>
      <c r="Q268" s="54">
        <v>1</v>
      </c>
      <c r="R268" s="54">
        <v>0</v>
      </c>
      <c r="S268" s="54" t="s">
        <v>561</v>
      </c>
      <c r="T268" s="54" t="s">
        <v>562</v>
      </c>
      <c r="U268" s="54" t="s">
        <v>563</v>
      </c>
      <c r="V268" s="54" t="s">
        <v>564</v>
      </c>
      <c r="W268" s="54" t="b">
        <v>0</v>
      </c>
      <c r="X268" s="54"/>
      <c r="Y268" s="57" t="s">
        <v>2347</v>
      </c>
      <c r="Z268" s="54" t="s">
        <v>2348</v>
      </c>
      <c r="AA268" s="54"/>
      <c r="AB268" s="54" t="s">
        <v>565</v>
      </c>
      <c r="AC268" s="56" t="b">
        <v>1</v>
      </c>
      <c r="AD268" s="56" t="b">
        <v>0</v>
      </c>
      <c r="AE268" s="54"/>
      <c r="AF268" s="58"/>
      <c r="AG268" s="62" t="s">
        <v>293</v>
      </c>
      <c r="AH268" s="54"/>
      <c r="AI268" s="54"/>
      <c r="AJ268" s="54"/>
      <c r="AK268" s="54"/>
      <c r="AL268" s="54"/>
      <c r="AM268" s="54">
        <v>0</v>
      </c>
      <c r="AN268" s="54"/>
      <c r="AO268" s="54"/>
      <c r="AP268" s="54"/>
      <c r="AQ268" s="54"/>
      <c r="AR268" s="54"/>
      <c r="AS268" s="54"/>
      <c r="AT268" s="54"/>
      <c r="AU268" s="54"/>
      <c r="AV268" s="54"/>
      <c r="AW268" s="54"/>
      <c r="AX268" s="59"/>
      <c r="AY268" s="59"/>
      <c r="AZ268" s="59"/>
      <c r="BA268" s="59"/>
      <c r="BB268" s="59"/>
      <c r="BC268" s="60"/>
      <c r="BD268" s="61"/>
      <c r="BE268" s="62"/>
      <c r="BF268" s="35">
        <f t="shared" si="638"/>
        <v>4.9000000000000004</v>
      </c>
      <c r="BG268" s="35">
        <f t="shared" si="638"/>
        <v>6.5333000000000002E-2</v>
      </c>
      <c r="BH268" s="35" t="str">
        <f t="shared" si="639"/>
        <v>?</v>
      </c>
      <c r="BI268" s="110" t="str">
        <f t="shared" si="640"/>
        <v/>
      </c>
      <c r="BJ268" s="83">
        <f>VLOOKUP($F268,REP_Info!$D$6:$H$250,5,FALSE)</f>
        <v>0.123</v>
      </c>
      <c r="BK268" s="30" t="e">
        <f t="shared" si="641"/>
        <v>#N/A</v>
      </c>
      <c r="BL268" s="30" t="e">
        <f t="shared" si="641"/>
        <v>#N/A</v>
      </c>
      <c r="BM268" s="30" t="e">
        <f t="shared" si="641"/>
        <v>#N/A</v>
      </c>
      <c r="BN268" s="29" t="e">
        <f t="shared" si="641"/>
        <v>#N/A</v>
      </c>
      <c r="BO268" s="85" t="str">
        <f t="shared" si="2"/>
        <v>$$$</v>
      </c>
      <c r="BP268" s="88" t="str">
        <f t="shared" si="642"/>
        <v>$$$</v>
      </c>
      <c r="BQ268" s="88" t="str">
        <f t="shared" si="4"/>
        <v>$$$</v>
      </c>
      <c r="BR268" s="88" t="str">
        <f t="shared" si="5"/>
        <v>$$$</v>
      </c>
      <c r="BS268" s="29" t="e">
        <f t="shared" si="643"/>
        <v>#N/A</v>
      </c>
      <c r="BT268" s="29" t="e">
        <f t="shared" si="643"/>
        <v>#N/A</v>
      </c>
      <c r="BU268" s="29" t="e">
        <f t="shared" si="643"/>
        <v>#N/A</v>
      </c>
      <c r="BV268" s="29" t="e">
        <f t="shared" si="643"/>
        <v>#N/A</v>
      </c>
      <c r="BW268" s="29" t="e">
        <f t="shared" si="643"/>
        <v>#N/A</v>
      </c>
      <c r="BX268" s="29" t="e">
        <f t="shared" si="643"/>
        <v>#N/A</v>
      </c>
      <c r="BY268" s="29" t="e">
        <f t="shared" si="643"/>
        <v>#N/A</v>
      </c>
      <c r="BZ268" s="29" t="e">
        <f t="shared" si="643"/>
        <v>#N/A</v>
      </c>
      <c r="CA268" s="29" t="e">
        <f t="shared" si="643"/>
        <v>#N/A</v>
      </c>
      <c r="CB268" s="29" t="e">
        <f t="shared" si="643"/>
        <v>#N/A</v>
      </c>
      <c r="CC268" s="29" t="e">
        <f t="shared" si="643"/>
        <v>#N/A</v>
      </c>
      <c r="CD268" s="29" t="e">
        <f t="shared" si="643"/>
        <v>#N/A</v>
      </c>
      <c r="CE268" s="6" t="str">
        <f t="shared" si="452"/>
        <v/>
      </c>
      <c r="CF268" s="27" t="e">
        <f>IF(AND(CI268,NOT(AD268)),LOOKUP(CF$5,{0,750,1500},H268:J268),"")</f>
        <v>#N/A</v>
      </c>
      <c r="CG268" s="6" t="str">
        <f t="shared" si="453"/>
        <v/>
      </c>
      <c r="CH268" t="e">
        <f t="shared" si="644"/>
        <v>#N/A</v>
      </c>
      <c r="CI268" t="e">
        <f t="shared" si="645"/>
        <v>#N/A</v>
      </c>
      <c r="CJ268" s="6" t="e">
        <f t="shared" si="11"/>
        <v>#N/A</v>
      </c>
      <c r="CK268" s="6">
        <f t="shared" si="12"/>
        <v>1</v>
      </c>
      <c r="CL268" s="6">
        <f t="shared" si="26"/>
        <v>1</v>
      </c>
      <c r="CM268" s="6">
        <f t="shared" si="13"/>
        <v>0</v>
      </c>
      <c r="CN268" s="6">
        <f t="shared" si="14"/>
        <v>0</v>
      </c>
      <c r="CO268" s="6">
        <f t="shared" si="15"/>
        <v>1</v>
      </c>
      <c r="CP268" s="6">
        <f t="shared" si="16"/>
        <v>1</v>
      </c>
      <c r="CQ268" s="6">
        <f t="shared" si="646"/>
        <v>1</v>
      </c>
      <c r="CR268" s="81" t="str">
        <f t="shared" si="17"/>
        <v/>
      </c>
      <c r="CS268">
        <f t="shared" si="647"/>
        <v>198</v>
      </c>
      <c r="CT268">
        <f t="shared" si="19"/>
        <v>0</v>
      </c>
      <c r="CU268" t="str">
        <f t="shared" si="29"/>
        <v/>
      </c>
      <c r="CV268" s="81">
        <f t="shared" si="648"/>
        <v>0</v>
      </c>
      <c r="CW268" s="81">
        <f>(CV268/25)^1.5*(Calculator!$BU$4/10000)*CW$5</f>
        <v>0</v>
      </c>
      <c r="CX268" t="str">
        <f t="shared" si="649"/>
        <v>$0</v>
      </c>
    </row>
    <row r="269" spans="2:102" x14ac:dyDescent="0.25">
      <c r="B269" s="115" t="s">
        <v>233</v>
      </c>
      <c r="C269" s="13">
        <v>46321.660416666666</v>
      </c>
      <c r="D269">
        <v>31144</v>
      </c>
      <c r="E269" s="54" t="s">
        <v>237</v>
      </c>
      <c r="F269" s="54" t="s">
        <v>559</v>
      </c>
      <c r="G269" s="54" t="s">
        <v>573</v>
      </c>
      <c r="H269" s="55">
        <v>11.700000000000001</v>
      </c>
      <c r="I269" s="55">
        <v>11</v>
      </c>
      <c r="J269" s="55">
        <v>10.6</v>
      </c>
      <c r="K269" s="54"/>
      <c r="L269" s="56" t="b">
        <v>0</v>
      </c>
      <c r="M269" s="56" t="b">
        <v>0</v>
      </c>
      <c r="N269" s="54">
        <v>0</v>
      </c>
      <c r="O269" s="54" t="s">
        <v>238</v>
      </c>
      <c r="P269" s="54">
        <v>24</v>
      </c>
      <c r="Q269" s="54">
        <v>1</v>
      </c>
      <c r="R269" s="54">
        <v>0</v>
      </c>
      <c r="S269" s="54" t="s">
        <v>561</v>
      </c>
      <c r="T269" s="54" t="s">
        <v>562</v>
      </c>
      <c r="U269" s="54" t="s">
        <v>563</v>
      </c>
      <c r="V269" s="54" t="s">
        <v>564</v>
      </c>
      <c r="W269" s="54" t="b">
        <v>0</v>
      </c>
      <c r="X269" s="54"/>
      <c r="Y269" s="57" t="s">
        <v>2349</v>
      </c>
      <c r="Z269" s="54" t="s">
        <v>2350</v>
      </c>
      <c r="AA269" s="54"/>
      <c r="AB269" s="54" t="s">
        <v>565</v>
      </c>
      <c r="AC269" s="56" t="b">
        <v>1</v>
      </c>
      <c r="AD269" s="56" t="b">
        <v>0</v>
      </c>
      <c r="AE269" s="54"/>
      <c r="AF269" s="58"/>
      <c r="AG269" s="62" t="s">
        <v>293</v>
      </c>
      <c r="AH269" s="54"/>
      <c r="AI269" s="54"/>
      <c r="AJ269" s="54"/>
      <c r="AK269" s="54"/>
      <c r="AL269" s="54"/>
      <c r="AM269" s="54">
        <v>0</v>
      </c>
      <c r="AN269" s="54"/>
      <c r="AO269" s="54"/>
      <c r="AP269" s="54"/>
      <c r="AQ269" s="54"/>
      <c r="AR269" s="54"/>
      <c r="AS269" s="54"/>
      <c r="AT269" s="54"/>
      <c r="AU269" s="54"/>
      <c r="AV269" s="54"/>
      <c r="AW269" s="54"/>
      <c r="AX269" s="59"/>
      <c r="AY269" s="59"/>
      <c r="AZ269" s="59"/>
      <c r="BA269" s="59"/>
      <c r="BB269" s="59"/>
      <c r="BC269" s="60"/>
      <c r="BD269" s="61"/>
      <c r="BE269" s="62"/>
      <c r="BF269" s="35">
        <f t="shared" si="638"/>
        <v>4.0600000000000005</v>
      </c>
      <c r="BG269" s="35">
        <f t="shared" si="638"/>
        <v>6.8672999999999998E-2</v>
      </c>
      <c r="BH269" s="35" t="str">
        <f t="shared" si="639"/>
        <v>?</v>
      </c>
      <c r="BI269" s="110" t="str">
        <f t="shared" si="640"/>
        <v/>
      </c>
      <c r="BJ269" s="83">
        <f>VLOOKUP($F269,REP_Info!$D$6:$H$250,5,FALSE)</f>
        <v>0.123</v>
      </c>
      <c r="BK269" s="30" t="e">
        <f t="shared" si="641"/>
        <v>#N/A</v>
      </c>
      <c r="BL269" s="30" t="e">
        <f t="shared" si="641"/>
        <v>#N/A</v>
      </c>
      <c r="BM269" s="30" t="e">
        <f t="shared" si="641"/>
        <v>#N/A</v>
      </c>
      <c r="BN269" s="29" t="e">
        <f t="shared" si="641"/>
        <v>#N/A</v>
      </c>
      <c r="BO269" s="85" t="str">
        <f t="shared" si="2"/>
        <v>$$$</v>
      </c>
      <c r="BP269" s="88" t="str">
        <f t="shared" si="642"/>
        <v>$$$</v>
      </c>
      <c r="BQ269" s="88" t="str">
        <f t="shared" si="4"/>
        <v>$$$</v>
      </c>
      <c r="BR269" s="88" t="str">
        <f t="shared" si="5"/>
        <v>$$$</v>
      </c>
      <c r="BS269" s="29" t="e">
        <f t="shared" si="643"/>
        <v>#N/A</v>
      </c>
      <c r="BT269" s="29" t="e">
        <f t="shared" si="643"/>
        <v>#N/A</v>
      </c>
      <c r="BU269" s="29" t="e">
        <f t="shared" si="643"/>
        <v>#N/A</v>
      </c>
      <c r="BV269" s="29" t="e">
        <f t="shared" si="643"/>
        <v>#N/A</v>
      </c>
      <c r="BW269" s="29" t="e">
        <f t="shared" si="643"/>
        <v>#N/A</v>
      </c>
      <c r="BX269" s="29" t="e">
        <f t="shared" si="643"/>
        <v>#N/A</v>
      </c>
      <c r="BY269" s="29" t="e">
        <f t="shared" si="643"/>
        <v>#N/A</v>
      </c>
      <c r="BZ269" s="29" t="e">
        <f t="shared" si="643"/>
        <v>#N/A</v>
      </c>
      <c r="CA269" s="29" t="e">
        <f t="shared" si="643"/>
        <v>#N/A</v>
      </c>
      <c r="CB269" s="29" t="e">
        <f t="shared" si="643"/>
        <v>#N/A</v>
      </c>
      <c r="CC269" s="29" t="e">
        <f t="shared" si="643"/>
        <v>#N/A</v>
      </c>
      <c r="CD269" s="29" t="e">
        <f t="shared" si="643"/>
        <v>#N/A</v>
      </c>
      <c r="CE269" s="6" t="str">
        <f t="shared" si="452"/>
        <v/>
      </c>
      <c r="CF269" s="27" t="e">
        <f>IF(AND(CI269,NOT(AD269)),LOOKUP(CF$5,{0,750,1500},H269:J269),"")</f>
        <v>#N/A</v>
      </c>
      <c r="CG269" s="6" t="str">
        <f t="shared" si="453"/>
        <v/>
      </c>
      <c r="CH269" t="e">
        <f t="shared" si="644"/>
        <v>#N/A</v>
      </c>
      <c r="CI269" t="e">
        <f t="shared" si="645"/>
        <v>#N/A</v>
      </c>
      <c r="CJ269" s="6" t="e">
        <f t="shared" si="11"/>
        <v>#N/A</v>
      </c>
      <c r="CK269" s="6">
        <f t="shared" si="12"/>
        <v>1</v>
      </c>
      <c r="CL269" s="6">
        <f t="shared" si="26"/>
        <v>1</v>
      </c>
      <c r="CM269" s="6">
        <f t="shared" si="13"/>
        <v>0</v>
      </c>
      <c r="CN269" s="6">
        <f t="shared" si="14"/>
        <v>0</v>
      </c>
      <c r="CO269" s="6">
        <f t="shared" si="15"/>
        <v>1</v>
      </c>
      <c r="CP269" s="6">
        <f t="shared" si="16"/>
        <v>1</v>
      </c>
      <c r="CQ269" s="6">
        <f t="shared" si="646"/>
        <v>1</v>
      </c>
      <c r="CR269" s="81" t="str">
        <f t="shared" si="17"/>
        <v/>
      </c>
      <c r="CS269">
        <f t="shared" si="647"/>
        <v>198</v>
      </c>
      <c r="CT269">
        <f t="shared" si="19"/>
        <v>0</v>
      </c>
      <c r="CU269" t="str">
        <f t="shared" si="29"/>
        <v/>
      </c>
      <c r="CV269" s="81">
        <f t="shared" si="648"/>
        <v>0</v>
      </c>
      <c r="CW269" s="81">
        <f>(CV269/25)^1.5*(Calculator!$BU$4/10000)*CW$5</f>
        <v>0</v>
      </c>
      <c r="CX269" t="str">
        <f t="shared" si="649"/>
        <v>$0</v>
      </c>
    </row>
    <row r="270" spans="2:102" x14ac:dyDescent="0.25">
      <c r="B270" s="115" t="s">
        <v>233</v>
      </c>
      <c r="C270" s="13">
        <v>46321.660416666666</v>
      </c>
      <c r="D270">
        <v>31151</v>
      </c>
      <c r="E270" s="54" t="s">
        <v>235</v>
      </c>
      <c r="F270" s="54" t="s">
        <v>559</v>
      </c>
      <c r="G270" s="54" t="s">
        <v>574</v>
      </c>
      <c r="H270" s="55">
        <v>12</v>
      </c>
      <c r="I270" s="55">
        <v>11.200000000000001</v>
      </c>
      <c r="J270" s="55">
        <v>10.8</v>
      </c>
      <c r="K270" s="54"/>
      <c r="L270" s="56" t="b">
        <v>0</v>
      </c>
      <c r="M270" s="56" t="b">
        <v>0</v>
      </c>
      <c r="N270" s="54">
        <v>0</v>
      </c>
      <c r="O270" s="54" t="s">
        <v>238</v>
      </c>
      <c r="P270" s="54">
        <v>100</v>
      </c>
      <c r="Q270" s="54">
        <v>1</v>
      </c>
      <c r="R270" s="54">
        <v>0</v>
      </c>
      <c r="S270" s="54" t="s">
        <v>561</v>
      </c>
      <c r="T270" s="54" t="s">
        <v>567</v>
      </c>
      <c r="U270" s="54" t="s">
        <v>563</v>
      </c>
      <c r="V270" s="54" t="s">
        <v>564</v>
      </c>
      <c r="W270" s="54" t="b">
        <v>0</v>
      </c>
      <c r="X270" s="54"/>
      <c r="Y270" s="57" t="s">
        <v>2351</v>
      </c>
      <c r="Z270" s="54" t="s">
        <v>2352</v>
      </c>
      <c r="AA270" s="54"/>
      <c r="AB270" s="54" t="s">
        <v>565</v>
      </c>
      <c r="AC270" s="56" t="b">
        <v>1</v>
      </c>
      <c r="AD270" s="56" t="b">
        <v>0</v>
      </c>
      <c r="AE270" s="54"/>
      <c r="AF270" s="58"/>
      <c r="AG270" s="62" t="s">
        <v>293</v>
      </c>
      <c r="AH270" s="54"/>
      <c r="AI270" s="54"/>
      <c r="AJ270" s="54"/>
      <c r="AK270" s="54"/>
      <c r="AL270" s="54"/>
      <c r="AM270" s="54">
        <v>0</v>
      </c>
      <c r="AN270" s="54"/>
      <c r="AO270" s="54"/>
      <c r="AP270" s="54"/>
      <c r="AQ270" s="54"/>
      <c r="AR270" s="54"/>
      <c r="AS270" s="54"/>
      <c r="AT270" s="54"/>
      <c r="AU270" s="54"/>
      <c r="AV270" s="54"/>
      <c r="AW270" s="54"/>
      <c r="AX270" s="59"/>
      <c r="AY270" s="59"/>
      <c r="AZ270" s="59"/>
      <c r="BA270" s="59"/>
      <c r="BB270" s="59"/>
      <c r="BC270" s="60"/>
      <c r="BD270" s="61"/>
      <c r="BE270" s="62"/>
      <c r="BF270" s="35">
        <f t="shared" si="638"/>
        <v>4.9000000000000004</v>
      </c>
      <c r="BG270" s="35">
        <f t="shared" si="638"/>
        <v>6.5333000000000002E-2</v>
      </c>
      <c r="BH270" s="35" t="str">
        <f t="shared" si="639"/>
        <v>?</v>
      </c>
      <c r="BI270" s="110" t="str">
        <f t="shared" si="640"/>
        <v/>
      </c>
      <c r="BJ270" s="83">
        <f>VLOOKUP($F270,REP_Info!$D$6:$H$250,5,FALSE)</f>
        <v>0.123</v>
      </c>
      <c r="BK270" s="30" t="e">
        <f t="shared" si="641"/>
        <v>#N/A</v>
      </c>
      <c r="BL270" s="30" t="e">
        <f t="shared" si="641"/>
        <v>#N/A</v>
      </c>
      <c r="BM270" s="30" t="e">
        <f t="shared" si="641"/>
        <v>#N/A</v>
      </c>
      <c r="BN270" s="29" t="e">
        <f t="shared" si="641"/>
        <v>#N/A</v>
      </c>
      <c r="BO270" s="85" t="str">
        <f t="shared" si="2"/>
        <v>$$$</v>
      </c>
      <c r="BP270" s="88" t="str">
        <f t="shared" si="642"/>
        <v>$$$</v>
      </c>
      <c r="BQ270" s="88" t="str">
        <f t="shared" si="4"/>
        <v>$$$</v>
      </c>
      <c r="BR270" s="88" t="str">
        <f t="shared" si="5"/>
        <v>$$$</v>
      </c>
      <c r="BS270" s="29" t="e">
        <f t="shared" si="643"/>
        <v>#N/A</v>
      </c>
      <c r="BT270" s="29" t="e">
        <f t="shared" si="643"/>
        <v>#N/A</v>
      </c>
      <c r="BU270" s="29" t="e">
        <f t="shared" si="643"/>
        <v>#N/A</v>
      </c>
      <c r="BV270" s="29" t="e">
        <f t="shared" si="643"/>
        <v>#N/A</v>
      </c>
      <c r="BW270" s="29" t="e">
        <f t="shared" si="643"/>
        <v>#N/A</v>
      </c>
      <c r="BX270" s="29" t="e">
        <f t="shared" si="643"/>
        <v>#N/A</v>
      </c>
      <c r="BY270" s="29" t="e">
        <f t="shared" si="643"/>
        <v>#N/A</v>
      </c>
      <c r="BZ270" s="29" t="e">
        <f t="shared" si="643"/>
        <v>#N/A</v>
      </c>
      <c r="CA270" s="29" t="e">
        <f t="shared" si="643"/>
        <v>#N/A</v>
      </c>
      <c r="CB270" s="29" t="e">
        <f t="shared" si="643"/>
        <v>#N/A</v>
      </c>
      <c r="CC270" s="29" t="e">
        <f t="shared" si="643"/>
        <v>#N/A</v>
      </c>
      <c r="CD270" s="29" t="e">
        <f t="shared" si="643"/>
        <v>#N/A</v>
      </c>
      <c r="CE270" s="6" t="str">
        <f t="shared" si="452"/>
        <v/>
      </c>
      <c r="CF270" s="27" t="e">
        <f>IF(AND(CI270,NOT(AD270)),LOOKUP(CF$5,{0,750,1500},H270:J270),"")</f>
        <v>#N/A</v>
      </c>
      <c r="CG270" s="6" t="str">
        <f t="shared" si="453"/>
        <v/>
      </c>
      <c r="CH270" t="e">
        <f t="shared" si="644"/>
        <v>#N/A</v>
      </c>
      <c r="CI270" t="e">
        <f t="shared" si="645"/>
        <v>#N/A</v>
      </c>
      <c r="CJ270" s="6" t="e">
        <f t="shared" si="11"/>
        <v>#N/A</v>
      </c>
      <c r="CK270" s="6">
        <f t="shared" si="12"/>
        <v>1</v>
      </c>
      <c r="CL270" s="6">
        <f t="shared" si="26"/>
        <v>1</v>
      </c>
      <c r="CM270" s="6">
        <f t="shared" si="13"/>
        <v>0</v>
      </c>
      <c r="CN270" s="6">
        <f t="shared" si="14"/>
        <v>0</v>
      </c>
      <c r="CO270" s="6">
        <f t="shared" si="15"/>
        <v>1</v>
      </c>
      <c r="CP270" s="6">
        <f t="shared" si="16"/>
        <v>1</v>
      </c>
      <c r="CQ270" s="6">
        <f t="shared" si="646"/>
        <v>1</v>
      </c>
      <c r="CR270" s="81" t="str">
        <f t="shared" si="17"/>
        <v/>
      </c>
      <c r="CS270">
        <f t="shared" si="647"/>
        <v>198</v>
      </c>
      <c r="CT270">
        <f t="shared" si="19"/>
        <v>0</v>
      </c>
      <c r="CU270" t="str">
        <f t="shared" si="29"/>
        <v/>
      </c>
      <c r="CV270" s="81">
        <f t="shared" si="648"/>
        <v>0</v>
      </c>
      <c r="CW270" s="81">
        <f>(CV270/25)^1.5*(Calculator!$BU$4/10000)*CW$5</f>
        <v>0</v>
      </c>
      <c r="CX270" t="str">
        <f t="shared" si="649"/>
        <v>$0</v>
      </c>
    </row>
    <row r="271" spans="2:102" x14ac:dyDescent="0.25">
      <c r="B271" s="115" t="s">
        <v>233</v>
      </c>
      <c r="C271" s="13">
        <v>46321.660416666666</v>
      </c>
      <c r="D271">
        <v>31153</v>
      </c>
      <c r="E271" s="54" t="s">
        <v>237</v>
      </c>
      <c r="F271" s="54" t="s">
        <v>559</v>
      </c>
      <c r="G271" s="54" t="s">
        <v>574</v>
      </c>
      <c r="H271" s="55">
        <v>11.700000000000001</v>
      </c>
      <c r="I271" s="55">
        <v>11</v>
      </c>
      <c r="J271" s="55">
        <v>10.7</v>
      </c>
      <c r="K271" s="54"/>
      <c r="L271" s="56" t="b">
        <v>0</v>
      </c>
      <c r="M271" s="56" t="b">
        <v>0</v>
      </c>
      <c r="N271" s="54">
        <v>0</v>
      </c>
      <c r="O271" s="54" t="s">
        <v>238</v>
      </c>
      <c r="P271" s="54">
        <v>100</v>
      </c>
      <c r="Q271" s="54">
        <v>1</v>
      </c>
      <c r="R271" s="54">
        <v>0</v>
      </c>
      <c r="S271" s="54" t="s">
        <v>561</v>
      </c>
      <c r="T271" s="54" t="s">
        <v>567</v>
      </c>
      <c r="U271" s="54" t="s">
        <v>563</v>
      </c>
      <c r="V271" s="54" t="s">
        <v>564</v>
      </c>
      <c r="W271" s="54" t="b">
        <v>0</v>
      </c>
      <c r="X271" s="54"/>
      <c r="Y271" s="57" t="s">
        <v>2353</v>
      </c>
      <c r="Z271" s="54" t="s">
        <v>2354</v>
      </c>
      <c r="AA271" s="54"/>
      <c r="AB271" s="54" t="s">
        <v>565</v>
      </c>
      <c r="AC271" s="56" t="b">
        <v>1</v>
      </c>
      <c r="AD271" s="56" t="b">
        <v>0</v>
      </c>
      <c r="AE271" s="54"/>
      <c r="AF271" s="58"/>
      <c r="AG271" s="62" t="s">
        <v>293</v>
      </c>
      <c r="AH271" s="54"/>
      <c r="AI271" s="54"/>
      <c r="AJ271" s="54"/>
      <c r="AK271" s="54"/>
      <c r="AL271" s="54"/>
      <c r="AM271" s="54">
        <v>0</v>
      </c>
      <c r="AN271" s="54"/>
      <c r="AO271" s="54"/>
      <c r="AP271" s="54"/>
      <c r="AQ271" s="54"/>
      <c r="AR271" s="54"/>
      <c r="AS271" s="54"/>
      <c r="AT271" s="54"/>
      <c r="AU271" s="54"/>
      <c r="AV271" s="54"/>
      <c r="AW271" s="54"/>
      <c r="AX271" s="59"/>
      <c r="AY271" s="59"/>
      <c r="AZ271" s="59"/>
      <c r="BA271" s="59"/>
      <c r="BB271" s="59"/>
      <c r="BC271" s="60"/>
      <c r="BD271" s="61"/>
      <c r="BE271" s="62"/>
      <c r="BF271" s="35">
        <f t="shared" si="638"/>
        <v>4.0600000000000005</v>
      </c>
      <c r="BG271" s="35">
        <f t="shared" si="638"/>
        <v>6.8672999999999998E-2</v>
      </c>
      <c r="BH271" s="35" t="str">
        <f t="shared" si="639"/>
        <v>?</v>
      </c>
      <c r="BI271" s="110" t="str">
        <f t="shared" si="640"/>
        <v/>
      </c>
      <c r="BJ271" s="83">
        <f>VLOOKUP($F271,REP_Info!$D$6:$H$250,5,FALSE)</f>
        <v>0.123</v>
      </c>
      <c r="BK271" s="30" t="e">
        <f t="shared" si="641"/>
        <v>#N/A</v>
      </c>
      <c r="BL271" s="30" t="e">
        <f t="shared" si="641"/>
        <v>#N/A</v>
      </c>
      <c r="BM271" s="30" t="e">
        <f t="shared" si="641"/>
        <v>#N/A</v>
      </c>
      <c r="BN271" s="29" t="e">
        <f t="shared" si="641"/>
        <v>#N/A</v>
      </c>
      <c r="BO271" s="85" t="str">
        <f t="shared" si="2"/>
        <v>$$$</v>
      </c>
      <c r="BP271" s="88" t="str">
        <f t="shared" si="642"/>
        <v>$$$</v>
      </c>
      <c r="BQ271" s="88" t="str">
        <f t="shared" si="4"/>
        <v>$$$</v>
      </c>
      <c r="BR271" s="88" t="str">
        <f t="shared" si="5"/>
        <v>$$$</v>
      </c>
      <c r="BS271" s="29" t="e">
        <f t="shared" si="643"/>
        <v>#N/A</v>
      </c>
      <c r="BT271" s="29" t="e">
        <f t="shared" si="643"/>
        <v>#N/A</v>
      </c>
      <c r="BU271" s="29" t="e">
        <f t="shared" si="643"/>
        <v>#N/A</v>
      </c>
      <c r="BV271" s="29" t="e">
        <f t="shared" si="643"/>
        <v>#N/A</v>
      </c>
      <c r="BW271" s="29" t="e">
        <f t="shared" si="643"/>
        <v>#N/A</v>
      </c>
      <c r="BX271" s="29" t="e">
        <f t="shared" si="643"/>
        <v>#N/A</v>
      </c>
      <c r="BY271" s="29" t="e">
        <f t="shared" si="643"/>
        <v>#N/A</v>
      </c>
      <c r="BZ271" s="29" t="e">
        <f t="shared" si="643"/>
        <v>#N/A</v>
      </c>
      <c r="CA271" s="29" t="e">
        <f t="shared" si="643"/>
        <v>#N/A</v>
      </c>
      <c r="CB271" s="29" t="e">
        <f t="shared" si="643"/>
        <v>#N/A</v>
      </c>
      <c r="CC271" s="29" t="e">
        <f t="shared" si="643"/>
        <v>#N/A</v>
      </c>
      <c r="CD271" s="29" t="e">
        <f t="shared" si="643"/>
        <v>#N/A</v>
      </c>
      <c r="CE271" s="6" t="str">
        <f t="shared" si="452"/>
        <v/>
      </c>
      <c r="CF271" s="27" t="e">
        <f>IF(AND(CI271,NOT(AD271)),LOOKUP(CF$5,{0,750,1500},H271:J271),"")</f>
        <v>#N/A</v>
      </c>
      <c r="CG271" s="6" t="str">
        <f t="shared" si="453"/>
        <v/>
      </c>
      <c r="CH271" t="e">
        <f t="shared" si="644"/>
        <v>#N/A</v>
      </c>
      <c r="CI271" t="e">
        <f t="shared" si="645"/>
        <v>#N/A</v>
      </c>
      <c r="CJ271" s="6" t="e">
        <f t="shared" si="11"/>
        <v>#N/A</v>
      </c>
      <c r="CK271" s="6">
        <f t="shared" si="12"/>
        <v>1</v>
      </c>
      <c r="CL271" s="6">
        <f t="shared" si="26"/>
        <v>1</v>
      </c>
      <c r="CM271" s="6">
        <f t="shared" si="13"/>
        <v>0</v>
      </c>
      <c r="CN271" s="6">
        <f t="shared" si="14"/>
        <v>0</v>
      </c>
      <c r="CO271" s="6">
        <f t="shared" si="15"/>
        <v>1</v>
      </c>
      <c r="CP271" s="6">
        <f t="shared" si="16"/>
        <v>1</v>
      </c>
      <c r="CQ271" s="6">
        <f t="shared" si="646"/>
        <v>1</v>
      </c>
      <c r="CR271" s="81" t="str">
        <f t="shared" si="17"/>
        <v/>
      </c>
      <c r="CS271">
        <f t="shared" si="647"/>
        <v>198</v>
      </c>
      <c r="CT271">
        <f t="shared" si="19"/>
        <v>0</v>
      </c>
      <c r="CU271" t="str">
        <f t="shared" si="29"/>
        <v/>
      </c>
      <c r="CV271" s="81">
        <f t="shared" si="648"/>
        <v>0</v>
      </c>
      <c r="CW271" s="81">
        <f>(CV271/25)^1.5*(Calculator!$BU$4/10000)*CW$5</f>
        <v>0</v>
      </c>
      <c r="CX271" t="str">
        <f t="shared" si="649"/>
        <v>$0</v>
      </c>
    </row>
    <row r="272" spans="2:102" x14ac:dyDescent="0.25">
      <c r="B272" s="115" t="s">
        <v>233</v>
      </c>
      <c r="C272" s="13">
        <v>46321.660416666666</v>
      </c>
      <c r="D272">
        <v>35059</v>
      </c>
      <c r="E272" s="54" t="s">
        <v>235</v>
      </c>
      <c r="F272" s="54" t="s">
        <v>575</v>
      </c>
      <c r="G272" s="54" t="s">
        <v>576</v>
      </c>
      <c r="H272" s="55">
        <v>11.899999999999999</v>
      </c>
      <c r="I272" s="55">
        <v>11.899999999999999</v>
      </c>
      <c r="J272" s="55">
        <v>12</v>
      </c>
      <c r="K272" s="54"/>
      <c r="L272" s="56" t="b">
        <v>0</v>
      </c>
      <c r="M272" s="56" t="b">
        <v>0</v>
      </c>
      <c r="N272" s="54">
        <v>1</v>
      </c>
      <c r="O272" s="54" t="s">
        <v>228</v>
      </c>
      <c r="P272" s="54">
        <v>100</v>
      </c>
      <c r="Q272" s="54">
        <v>12</v>
      </c>
      <c r="R272" s="54" t="s">
        <v>438</v>
      </c>
      <c r="S272" s="54" t="s">
        <v>1493</v>
      </c>
      <c r="T272" s="54" t="s">
        <v>577</v>
      </c>
      <c r="U272" s="54" t="s">
        <v>578</v>
      </c>
      <c r="V272" s="54" t="s">
        <v>579</v>
      </c>
      <c r="W272" s="54" t="b">
        <v>0</v>
      </c>
      <c r="X272" s="54"/>
      <c r="Y272" s="57" t="s">
        <v>580</v>
      </c>
      <c r="Z272" s="54" t="s">
        <v>1494</v>
      </c>
      <c r="AA272" s="54"/>
      <c r="AB272" s="54" t="s">
        <v>581</v>
      </c>
      <c r="AC272" s="56" t="b">
        <v>1</v>
      </c>
      <c r="AD272" s="56" t="b">
        <v>0</v>
      </c>
      <c r="AE272" s="54" t="s">
        <v>302</v>
      </c>
      <c r="AF272" s="58">
        <v>46321</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5.4260000000000003E-2</v>
      </c>
      <c r="BC272" s="60">
        <v>4.9000000000000004</v>
      </c>
      <c r="BD272" s="61">
        <v>6.5333000000000002E-2</v>
      </c>
      <c r="BE272" s="62" t="s">
        <v>293</v>
      </c>
      <c r="BF272" s="35">
        <f t="shared" si="638"/>
        <v>4.9000000000000004</v>
      </c>
      <c r="BG272" s="35">
        <f t="shared" si="638"/>
        <v>6.5333000000000002E-2</v>
      </c>
      <c r="BH272" s="35" t="str">
        <f t="shared" si="639"/>
        <v>Low</v>
      </c>
      <c r="BI272" s="110">
        <f t="shared" si="640"/>
        <v>0</v>
      </c>
      <c r="BJ272" s="83">
        <f>VLOOKUP($F272,REP_Info!$D$6:$H$250,5,FALSE)</f>
        <v>1.5649999999999999</v>
      </c>
      <c r="BK272" s="30">
        <f t="shared" si="641"/>
        <v>11.939299999999999</v>
      </c>
      <c r="BL272" s="30">
        <f t="shared" si="641"/>
        <v>11.949299999999999</v>
      </c>
      <c r="BM272" s="30">
        <f t="shared" si="641"/>
        <v>11.954300000000002</v>
      </c>
      <c r="BN272" s="29">
        <f t="shared" si="641"/>
        <v>11.955966666666665</v>
      </c>
      <c r="BO272" s="85" t="str">
        <f t="shared" si="2"/>
        <v>$$$</v>
      </c>
      <c r="BP272" s="88" t="str">
        <f t="shared" si="642"/>
        <v>$$$</v>
      </c>
      <c r="BQ272" s="88" t="str">
        <f t="shared" si="4"/>
        <v>$$$</v>
      </c>
      <c r="BR272" s="88" t="str">
        <f t="shared" si="5"/>
        <v>$$$</v>
      </c>
      <c r="BS272" s="29" t="e">
        <f t="shared" si="643"/>
        <v>#N/A</v>
      </c>
      <c r="BT272" s="29" t="e">
        <f t="shared" si="643"/>
        <v>#N/A</v>
      </c>
      <c r="BU272" s="29" t="e">
        <f t="shared" si="643"/>
        <v>#N/A</v>
      </c>
      <c r="BV272" s="29" t="e">
        <f t="shared" si="643"/>
        <v>#N/A</v>
      </c>
      <c r="BW272" s="29" t="e">
        <f t="shared" si="643"/>
        <v>#N/A</v>
      </c>
      <c r="BX272" s="29" t="e">
        <f t="shared" si="643"/>
        <v>#N/A</v>
      </c>
      <c r="BY272" s="29" t="e">
        <f t="shared" si="643"/>
        <v>#N/A</v>
      </c>
      <c r="BZ272" s="29" t="e">
        <f t="shared" si="643"/>
        <v>#N/A</v>
      </c>
      <c r="CA272" s="29" t="e">
        <f t="shared" si="643"/>
        <v>#N/A</v>
      </c>
      <c r="CB272" s="29" t="e">
        <f t="shared" si="643"/>
        <v>#N/A</v>
      </c>
      <c r="CC272" s="29" t="e">
        <f t="shared" si="643"/>
        <v>#N/A</v>
      </c>
      <c r="CD272" s="29" t="e">
        <f t="shared" si="643"/>
        <v>#N/A</v>
      </c>
      <c r="CE272" s="6" t="str">
        <f t="shared" si="452"/>
        <v/>
      </c>
      <c r="CF272" s="27" t="e">
        <f>IF(AND(CI272,NOT(AD272)),LOOKUP(CF$5,{0,750,1500},H272:J272),"")</f>
        <v>#N/A</v>
      </c>
      <c r="CG272" s="6" t="str">
        <f t="shared" si="453"/>
        <v/>
      </c>
      <c r="CH272" t="e">
        <f t="shared" si="644"/>
        <v>#N/A</v>
      </c>
      <c r="CI272" t="e">
        <f t="shared" si="645"/>
        <v>#N/A</v>
      </c>
      <c r="CJ272" s="6" t="e">
        <f t="shared" si="11"/>
        <v>#N/A</v>
      </c>
      <c r="CK272" s="6">
        <f t="shared" si="12"/>
        <v>1</v>
      </c>
      <c r="CL272" s="6">
        <f t="shared" si="26"/>
        <v>1</v>
      </c>
      <c r="CM272" s="6">
        <f t="shared" si="13"/>
        <v>1</v>
      </c>
      <c r="CN272" s="6">
        <f t="shared" si="14"/>
        <v>1</v>
      </c>
      <c r="CO272" s="6">
        <f t="shared" si="15"/>
        <v>1</v>
      </c>
      <c r="CP272" s="6">
        <f t="shared" si="16"/>
        <v>1</v>
      </c>
      <c r="CQ272" s="6">
        <f t="shared" si="646"/>
        <v>1</v>
      </c>
      <c r="CR272" s="81" t="str">
        <f t="shared" si="17"/>
        <v/>
      </c>
      <c r="CS272">
        <f t="shared" si="647"/>
        <v>0</v>
      </c>
      <c r="CT272">
        <f t="shared" si="19"/>
        <v>20</v>
      </c>
      <c r="CU272" t="str">
        <f t="shared" si="29"/>
        <v>rm</v>
      </c>
      <c r="CV272" s="81">
        <f t="shared" si="648"/>
        <v>240</v>
      </c>
      <c r="CW272" s="81">
        <f>(CV272/25)^1.5*(Calculator!$BU$4/10000)*CW$5</f>
        <v>15.468811984091507</v>
      </c>
      <c r="CX272" t="str">
        <f t="shared" si="649"/>
        <v>$20/rm</v>
      </c>
    </row>
    <row r="273" spans="2:102" x14ac:dyDescent="0.25">
      <c r="B273" s="115" t="s">
        <v>233</v>
      </c>
      <c r="C273" s="13">
        <v>46321.660416666666</v>
      </c>
      <c r="D273">
        <v>35061</v>
      </c>
      <c r="E273" s="54" t="s">
        <v>237</v>
      </c>
      <c r="F273" s="54" t="s">
        <v>575</v>
      </c>
      <c r="G273" s="54" t="s">
        <v>576</v>
      </c>
      <c r="H273" s="55">
        <v>12</v>
      </c>
      <c r="I273" s="55">
        <v>12</v>
      </c>
      <c r="J273" s="55">
        <v>12.1</v>
      </c>
      <c r="K273" s="54"/>
      <c r="L273" s="56" t="b">
        <v>0</v>
      </c>
      <c r="M273" s="56" t="b">
        <v>0</v>
      </c>
      <c r="N273" s="54">
        <v>1</v>
      </c>
      <c r="O273" s="54" t="s">
        <v>228</v>
      </c>
      <c r="P273" s="54">
        <v>100</v>
      </c>
      <c r="Q273" s="54">
        <v>12</v>
      </c>
      <c r="R273" s="54" t="s">
        <v>438</v>
      </c>
      <c r="S273" s="54" t="s">
        <v>1493</v>
      </c>
      <c r="T273" s="54" t="s">
        <v>577</v>
      </c>
      <c r="U273" s="54" t="s">
        <v>578</v>
      </c>
      <c r="V273" s="54" t="s">
        <v>579</v>
      </c>
      <c r="W273" s="54" t="b">
        <v>0</v>
      </c>
      <c r="X273" s="54"/>
      <c r="Y273" s="57" t="s">
        <v>582</v>
      </c>
      <c r="Z273" s="54" t="s">
        <v>1495</v>
      </c>
      <c r="AA273" s="54"/>
      <c r="AB273" s="54" t="s">
        <v>581</v>
      </c>
      <c r="AC273" s="56" t="b">
        <v>1</v>
      </c>
      <c r="AD273" s="56" t="b">
        <v>0</v>
      </c>
      <c r="AE273" s="54" t="s">
        <v>302</v>
      </c>
      <c r="AF273" s="58">
        <v>46321</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5.2760000000000001E-2</v>
      </c>
      <c r="BC273" s="60">
        <v>4.0599999999999996</v>
      </c>
      <c r="BD273" s="61">
        <v>6.8672999999999998E-2</v>
      </c>
      <c r="BE273" s="62" t="s">
        <v>293</v>
      </c>
      <c r="BF273" s="35">
        <f t="shared" si="638"/>
        <v>4.0600000000000005</v>
      </c>
      <c r="BG273" s="35">
        <f t="shared" si="638"/>
        <v>6.8672999999999998E-2</v>
      </c>
      <c r="BH273" s="35" t="str">
        <f t="shared" si="639"/>
        <v>Low</v>
      </c>
      <c r="BI273" s="110">
        <f t="shared" si="640"/>
        <v>0</v>
      </c>
      <c r="BJ273" s="83">
        <f>VLOOKUP($F273,REP_Info!$D$6:$H$250,5,FALSE)</f>
        <v>1.5649999999999999</v>
      </c>
      <c r="BK273" s="30">
        <f t="shared" si="641"/>
        <v>11.955299999999999</v>
      </c>
      <c r="BL273" s="30">
        <f t="shared" si="641"/>
        <v>12.049299999999999</v>
      </c>
      <c r="BM273" s="30">
        <f t="shared" si="641"/>
        <v>12.096299999999999</v>
      </c>
      <c r="BN273" s="29">
        <f t="shared" si="641"/>
        <v>12.111966666666667</v>
      </c>
      <c r="BO273" s="85" t="str">
        <f t="shared" si="2"/>
        <v>$$$</v>
      </c>
      <c r="BP273" s="88" t="str">
        <f t="shared" si="642"/>
        <v>$$$</v>
      </c>
      <c r="BQ273" s="88" t="str">
        <f t="shared" si="4"/>
        <v>$$$</v>
      </c>
      <c r="BR273" s="88" t="str">
        <f t="shared" si="5"/>
        <v>$$$</v>
      </c>
      <c r="BS273" s="29" t="e">
        <f t="shared" si="643"/>
        <v>#N/A</v>
      </c>
      <c r="BT273" s="29" t="e">
        <f t="shared" si="643"/>
        <v>#N/A</v>
      </c>
      <c r="BU273" s="29" t="e">
        <f t="shared" si="643"/>
        <v>#N/A</v>
      </c>
      <c r="BV273" s="29" t="e">
        <f t="shared" si="643"/>
        <v>#N/A</v>
      </c>
      <c r="BW273" s="29" t="e">
        <f t="shared" si="643"/>
        <v>#N/A</v>
      </c>
      <c r="BX273" s="29" t="e">
        <f t="shared" si="643"/>
        <v>#N/A</v>
      </c>
      <c r="BY273" s="29" t="e">
        <f t="shared" si="643"/>
        <v>#N/A</v>
      </c>
      <c r="BZ273" s="29" t="e">
        <f t="shared" si="643"/>
        <v>#N/A</v>
      </c>
      <c r="CA273" s="29" t="e">
        <f t="shared" si="643"/>
        <v>#N/A</v>
      </c>
      <c r="CB273" s="29" t="e">
        <f t="shared" si="643"/>
        <v>#N/A</v>
      </c>
      <c r="CC273" s="29" t="e">
        <f t="shared" si="643"/>
        <v>#N/A</v>
      </c>
      <c r="CD273" s="29" t="e">
        <f t="shared" si="643"/>
        <v>#N/A</v>
      </c>
      <c r="CE273" s="6" t="str">
        <f t="shared" ref="CE273:CE336" si="650">IF(ISNUMBER(CF273),RANK($CF273,$CF$8:$CF$360,1),"")</f>
        <v/>
      </c>
      <c r="CF273" s="27" t="e">
        <f>IF(AND(CI273,NOT(AD273)),LOOKUP(CF$5,{0,750,1500},H273:J273),"")</f>
        <v>#N/A</v>
      </c>
      <c r="CG273" s="6" t="str">
        <f t="shared" ref="CG273:CG336" si="651">IF(ISNUMBER(CH273),RANK($CH273,$CH$8:$CH$360,1),"")</f>
        <v/>
      </c>
      <c r="CH273" t="e">
        <f t="shared" si="644"/>
        <v>#N/A</v>
      </c>
      <c r="CI273" t="e">
        <f t="shared" si="645"/>
        <v>#N/A</v>
      </c>
      <c r="CJ273" s="6" t="e">
        <f t="shared" si="11"/>
        <v>#N/A</v>
      </c>
      <c r="CK273" s="6">
        <f t="shared" si="12"/>
        <v>1</v>
      </c>
      <c r="CL273" s="6">
        <f t="shared" si="26"/>
        <v>1</v>
      </c>
      <c r="CM273" s="6">
        <f t="shared" si="13"/>
        <v>1</v>
      </c>
      <c r="CN273" s="6">
        <f t="shared" si="14"/>
        <v>1</v>
      </c>
      <c r="CO273" s="6">
        <f t="shared" si="15"/>
        <v>1</v>
      </c>
      <c r="CP273" s="6">
        <f t="shared" si="16"/>
        <v>1</v>
      </c>
      <c r="CQ273" s="6">
        <f t="shared" si="646"/>
        <v>1</v>
      </c>
      <c r="CR273" s="81" t="str">
        <f t="shared" si="17"/>
        <v/>
      </c>
      <c r="CS273">
        <f t="shared" si="647"/>
        <v>0</v>
      </c>
      <c r="CT273">
        <f t="shared" si="19"/>
        <v>20</v>
      </c>
      <c r="CU273" t="str">
        <f t="shared" si="29"/>
        <v>rm</v>
      </c>
      <c r="CV273" s="81">
        <f t="shared" si="648"/>
        <v>240</v>
      </c>
      <c r="CW273" s="81">
        <f>(CV273/25)^1.5*(Calculator!$BU$4/10000)*CW$5</f>
        <v>15.468811984091507</v>
      </c>
      <c r="CX273" t="str">
        <f t="shared" si="649"/>
        <v>$20/rm</v>
      </c>
    </row>
    <row r="274" spans="2:102" x14ac:dyDescent="0.25">
      <c r="B274" s="115" t="s">
        <v>233</v>
      </c>
      <c r="C274" s="13">
        <v>46321.660416666666</v>
      </c>
      <c r="D274">
        <v>35813</v>
      </c>
      <c r="E274" s="54" t="s">
        <v>235</v>
      </c>
      <c r="F274" s="54" t="s">
        <v>575</v>
      </c>
      <c r="G274" s="54" t="s">
        <v>583</v>
      </c>
      <c r="H274" s="55">
        <v>13.3</v>
      </c>
      <c r="I274" s="55">
        <v>13.3</v>
      </c>
      <c r="J274" s="55">
        <v>13.4</v>
      </c>
      <c r="K274" s="54"/>
      <c r="L274" s="56" t="b">
        <v>0</v>
      </c>
      <c r="M274" s="56" t="b">
        <v>0</v>
      </c>
      <c r="N274" s="54">
        <v>1</v>
      </c>
      <c r="O274" s="54" t="s">
        <v>228</v>
      </c>
      <c r="P274" s="54">
        <v>100</v>
      </c>
      <c r="Q274" s="54">
        <v>24</v>
      </c>
      <c r="R274" s="54" t="s">
        <v>438</v>
      </c>
      <c r="S274" s="54" t="s">
        <v>1493</v>
      </c>
      <c r="T274" s="54" t="s">
        <v>577</v>
      </c>
      <c r="U274" s="54" t="s">
        <v>578</v>
      </c>
      <c r="V274" s="54" t="s">
        <v>579</v>
      </c>
      <c r="W274" s="54" t="b">
        <v>0</v>
      </c>
      <c r="X274" s="54"/>
      <c r="Y274" s="57" t="s">
        <v>1759</v>
      </c>
      <c r="Z274" s="54" t="s">
        <v>1496</v>
      </c>
      <c r="AA274" s="54"/>
      <c r="AB274" s="54" t="s">
        <v>581</v>
      </c>
      <c r="AC274" s="56" t="b">
        <v>1</v>
      </c>
      <c r="AD274" s="56" t="b">
        <v>0</v>
      </c>
      <c r="AE274" s="54" t="s">
        <v>302</v>
      </c>
      <c r="AF274" s="58">
        <v>46321</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6.8260000000000001E-2</v>
      </c>
      <c r="BC274" s="60">
        <v>4.9000000000000004</v>
      </c>
      <c r="BD274" s="61">
        <v>6.5333000000000002E-2</v>
      </c>
      <c r="BE274" s="62" t="s">
        <v>293</v>
      </c>
      <c r="BF274" s="35">
        <f t="shared" si="638"/>
        <v>4.9000000000000004</v>
      </c>
      <c r="BG274" s="35">
        <f t="shared" si="638"/>
        <v>6.5333000000000002E-2</v>
      </c>
      <c r="BH274" s="35" t="str">
        <f t="shared" si="639"/>
        <v>Low</v>
      </c>
      <c r="BI274" s="110">
        <f t="shared" si="640"/>
        <v>0</v>
      </c>
      <c r="BJ274" s="83">
        <f>VLOOKUP($F274,REP_Info!$D$6:$H$250,5,FALSE)</f>
        <v>1.5649999999999999</v>
      </c>
      <c r="BK274" s="30">
        <f t="shared" si="641"/>
        <v>13.3393</v>
      </c>
      <c r="BL274" s="30">
        <f t="shared" si="641"/>
        <v>13.349299999999999</v>
      </c>
      <c r="BM274" s="30">
        <f t="shared" si="641"/>
        <v>13.3543</v>
      </c>
      <c r="BN274" s="29">
        <f t="shared" si="641"/>
        <v>13.355966666666665</v>
      </c>
      <c r="BO274" s="85" t="str">
        <f t="shared" si="2"/>
        <v>$$$</v>
      </c>
      <c r="BP274" s="88" t="str">
        <f t="shared" si="642"/>
        <v>$$$</v>
      </c>
      <c r="BQ274" s="88" t="str">
        <f t="shared" si="4"/>
        <v>$$$</v>
      </c>
      <c r="BR274" s="88" t="str">
        <f t="shared" si="5"/>
        <v>$$$</v>
      </c>
      <c r="BS274" s="29" t="e">
        <f t="shared" si="643"/>
        <v>#N/A</v>
      </c>
      <c r="BT274" s="29" t="e">
        <f t="shared" si="643"/>
        <v>#N/A</v>
      </c>
      <c r="BU274" s="29" t="e">
        <f t="shared" si="643"/>
        <v>#N/A</v>
      </c>
      <c r="BV274" s="29" t="e">
        <f t="shared" si="643"/>
        <v>#N/A</v>
      </c>
      <c r="BW274" s="29" t="e">
        <f t="shared" si="643"/>
        <v>#N/A</v>
      </c>
      <c r="BX274" s="29" t="e">
        <f t="shared" si="643"/>
        <v>#N/A</v>
      </c>
      <c r="BY274" s="29" t="e">
        <f t="shared" si="643"/>
        <v>#N/A</v>
      </c>
      <c r="BZ274" s="29" t="e">
        <f t="shared" si="643"/>
        <v>#N/A</v>
      </c>
      <c r="CA274" s="29" t="e">
        <f t="shared" si="643"/>
        <v>#N/A</v>
      </c>
      <c r="CB274" s="29" t="e">
        <f t="shared" si="643"/>
        <v>#N/A</v>
      </c>
      <c r="CC274" s="29" t="e">
        <f t="shared" si="643"/>
        <v>#N/A</v>
      </c>
      <c r="CD274" s="29" t="e">
        <f t="shared" si="643"/>
        <v>#N/A</v>
      </c>
      <c r="CE274" s="6" t="str">
        <f t="shared" si="650"/>
        <v/>
      </c>
      <c r="CF274" s="27" t="e">
        <f>IF(AND(CI274,NOT(AD274)),LOOKUP(CF$5,{0,750,1500},H274:J274),"")</f>
        <v>#N/A</v>
      </c>
      <c r="CG274" s="6" t="str">
        <f t="shared" si="651"/>
        <v/>
      </c>
      <c r="CH274" t="e">
        <f t="shared" si="644"/>
        <v>#N/A</v>
      </c>
      <c r="CI274" t="e">
        <f t="shared" si="645"/>
        <v>#N/A</v>
      </c>
      <c r="CJ274" s="6" t="e">
        <f t="shared" si="11"/>
        <v>#N/A</v>
      </c>
      <c r="CK274" s="6">
        <f t="shared" si="12"/>
        <v>1</v>
      </c>
      <c r="CL274" s="6">
        <f t="shared" si="26"/>
        <v>1</v>
      </c>
      <c r="CM274" s="6">
        <f t="shared" si="13"/>
        <v>1</v>
      </c>
      <c r="CN274" s="6">
        <f t="shared" si="14"/>
        <v>1</v>
      </c>
      <c r="CO274" s="6">
        <f t="shared" si="15"/>
        <v>0</v>
      </c>
      <c r="CP274" s="6">
        <f t="shared" si="16"/>
        <v>1</v>
      </c>
      <c r="CQ274" s="6">
        <f t="shared" si="646"/>
        <v>1</v>
      </c>
      <c r="CR274" s="81" t="str">
        <f t="shared" si="17"/>
        <v/>
      </c>
      <c r="CS274">
        <f t="shared" si="647"/>
        <v>0</v>
      </c>
      <c r="CT274">
        <f t="shared" si="19"/>
        <v>20</v>
      </c>
      <c r="CU274" t="str">
        <f t="shared" si="29"/>
        <v>rm</v>
      </c>
      <c r="CV274" s="81">
        <f t="shared" si="648"/>
        <v>480</v>
      </c>
      <c r="CW274" s="81">
        <f>(CV274/25)^1.5*(Calculator!$BU$4/10000)*CW$5</f>
        <v>43.752407403403353</v>
      </c>
      <c r="CX274" t="str">
        <f t="shared" si="649"/>
        <v>$20/rm</v>
      </c>
    </row>
    <row r="275" spans="2:102" x14ac:dyDescent="0.25">
      <c r="B275" s="115" t="s">
        <v>233</v>
      </c>
      <c r="C275" s="13">
        <v>46321.660416666666</v>
      </c>
      <c r="D275">
        <v>35815</v>
      </c>
      <c r="E275" s="54" t="s">
        <v>237</v>
      </c>
      <c r="F275" s="54" t="s">
        <v>575</v>
      </c>
      <c r="G275" s="54" t="s">
        <v>583</v>
      </c>
      <c r="H275" s="55">
        <v>13.5</v>
      </c>
      <c r="I275" s="55">
        <v>13.5</v>
      </c>
      <c r="J275" s="55">
        <v>13.600000000000001</v>
      </c>
      <c r="K275" s="54"/>
      <c r="L275" s="56" t="b">
        <v>0</v>
      </c>
      <c r="M275" s="56" t="b">
        <v>0</v>
      </c>
      <c r="N275" s="54">
        <v>1</v>
      </c>
      <c r="O275" s="54" t="s">
        <v>228</v>
      </c>
      <c r="P275" s="54">
        <v>100</v>
      </c>
      <c r="Q275" s="54">
        <v>24</v>
      </c>
      <c r="R275" s="54" t="s">
        <v>438</v>
      </c>
      <c r="S275" s="54" t="s">
        <v>1493</v>
      </c>
      <c r="T275" s="54" t="s">
        <v>577</v>
      </c>
      <c r="U275" s="54" t="s">
        <v>578</v>
      </c>
      <c r="V275" s="54" t="s">
        <v>579</v>
      </c>
      <c r="W275" s="54" t="b">
        <v>0</v>
      </c>
      <c r="X275" s="54"/>
      <c r="Y275" s="57" t="s">
        <v>1760</v>
      </c>
      <c r="Z275" s="54" t="s">
        <v>1497</v>
      </c>
      <c r="AA275" s="54"/>
      <c r="AB275" s="54" t="s">
        <v>581</v>
      </c>
      <c r="AC275" s="56" t="b">
        <v>1</v>
      </c>
      <c r="AD275" s="56" t="b">
        <v>0</v>
      </c>
      <c r="AE275" s="54" t="s">
        <v>302</v>
      </c>
      <c r="AF275" s="58">
        <v>46321</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6.7760000000000001E-2</v>
      </c>
      <c r="BC275" s="60">
        <v>4.0599999999999996</v>
      </c>
      <c r="BD275" s="61">
        <v>6.8672999999999998E-2</v>
      </c>
      <c r="BE275" s="62" t="s">
        <v>293</v>
      </c>
      <c r="BF275" s="35">
        <f t="shared" si="638"/>
        <v>4.0600000000000005</v>
      </c>
      <c r="BG275" s="35">
        <f t="shared" si="638"/>
        <v>6.8672999999999998E-2</v>
      </c>
      <c r="BH275" s="35" t="str">
        <f t="shared" si="639"/>
        <v>Low</v>
      </c>
      <c r="BI275" s="110">
        <f t="shared" si="640"/>
        <v>0</v>
      </c>
      <c r="BJ275" s="83">
        <f>VLOOKUP($F275,REP_Info!$D$6:$H$250,5,FALSE)</f>
        <v>1.5649999999999999</v>
      </c>
      <c r="BK275" s="30">
        <f t="shared" si="641"/>
        <v>13.455299999999999</v>
      </c>
      <c r="BL275" s="30">
        <f t="shared" si="641"/>
        <v>13.549299999999999</v>
      </c>
      <c r="BM275" s="30">
        <f t="shared" si="641"/>
        <v>13.596300000000003</v>
      </c>
      <c r="BN275" s="29">
        <f t="shared" si="641"/>
        <v>13.611966666666667</v>
      </c>
      <c r="BO275" s="85" t="str">
        <f t="shared" si="2"/>
        <v>$$$</v>
      </c>
      <c r="BP275" s="88" t="str">
        <f t="shared" si="642"/>
        <v>$$$</v>
      </c>
      <c r="BQ275" s="88" t="str">
        <f t="shared" si="4"/>
        <v>$$$</v>
      </c>
      <c r="BR275" s="88" t="str">
        <f t="shared" si="5"/>
        <v>$$$</v>
      </c>
      <c r="BS275" s="29" t="e">
        <f t="shared" si="643"/>
        <v>#N/A</v>
      </c>
      <c r="BT275" s="29" t="e">
        <f t="shared" si="643"/>
        <v>#N/A</v>
      </c>
      <c r="BU275" s="29" t="e">
        <f t="shared" si="643"/>
        <v>#N/A</v>
      </c>
      <c r="BV275" s="29" t="e">
        <f t="shared" si="643"/>
        <v>#N/A</v>
      </c>
      <c r="BW275" s="29" t="e">
        <f t="shared" si="643"/>
        <v>#N/A</v>
      </c>
      <c r="BX275" s="29" t="e">
        <f t="shared" si="643"/>
        <v>#N/A</v>
      </c>
      <c r="BY275" s="29" t="e">
        <f t="shared" si="643"/>
        <v>#N/A</v>
      </c>
      <c r="BZ275" s="29" t="e">
        <f t="shared" si="643"/>
        <v>#N/A</v>
      </c>
      <c r="CA275" s="29" t="e">
        <f t="shared" si="643"/>
        <v>#N/A</v>
      </c>
      <c r="CB275" s="29" t="e">
        <f t="shared" si="643"/>
        <v>#N/A</v>
      </c>
      <c r="CC275" s="29" t="e">
        <f t="shared" si="643"/>
        <v>#N/A</v>
      </c>
      <c r="CD275" s="29" t="e">
        <f t="shared" si="643"/>
        <v>#N/A</v>
      </c>
      <c r="CE275" s="6" t="str">
        <f t="shared" si="650"/>
        <v/>
      </c>
      <c r="CF275" s="27" t="e">
        <f>IF(AND(CI275,NOT(AD275)),LOOKUP(CF$5,{0,750,1500},H275:J275),"")</f>
        <v>#N/A</v>
      </c>
      <c r="CG275" s="6" t="str">
        <f t="shared" si="651"/>
        <v/>
      </c>
      <c r="CH275" t="e">
        <f t="shared" si="644"/>
        <v>#N/A</v>
      </c>
      <c r="CI275" t="e">
        <f t="shared" si="645"/>
        <v>#N/A</v>
      </c>
      <c r="CJ275" s="6" t="e">
        <f t="shared" si="11"/>
        <v>#N/A</v>
      </c>
      <c r="CK275" s="6">
        <f t="shared" si="12"/>
        <v>1</v>
      </c>
      <c r="CL275" s="6">
        <f t="shared" si="26"/>
        <v>1</v>
      </c>
      <c r="CM275" s="6">
        <f t="shared" si="13"/>
        <v>1</v>
      </c>
      <c r="CN275" s="6">
        <f t="shared" si="14"/>
        <v>1</v>
      </c>
      <c r="CO275" s="6">
        <f t="shared" si="15"/>
        <v>0</v>
      </c>
      <c r="CP275" s="6">
        <f t="shared" si="16"/>
        <v>1</v>
      </c>
      <c r="CQ275" s="6">
        <f t="shared" si="646"/>
        <v>1</v>
      </c>
      <c r="CR275" s="81" t="str">
        <f t="shared" si="17"/>
        <v/>
      </c>
      <c r="CS275">
        <f t="shared" si="647"/>
        <v>0</v>
      </c>
      <c r="CT275">
        <f t="shared" si="19"/>
        <v>20</v>
      </c>
      <c r="CU275" t="str">
        <f t="shared" si="29"/>
        <v>rm</v>
      </c>
      <c r="CV275" s="81">
        <f t="shared" si="648"/>
        <v>480</v>
      </c>
      <c r="CW275" s="81">
        <f>(CV275/25)^1.5*(Calculator!$BU$4/10000)*CW$5</f>
        <v>43.752407403403353</v>
      </c>
      <c r="CX275" t="str">
        <f t="shared" si="649"/>
        <v>$20/rm</v>
      </c>
    </row>
    <row r="276" spans="2:102" x14ac:dyDescent="0.25">
      <c r="B276" s="115" t="s">
        <v>233</v>
      </c>
      <c r="C276" s="13">
        <v>46309.581944444442</v>
      </c>
      <c r="D276">
        <v>35818</v>
      </c>
      <c r="E276" s="54" t="s">
        <v>235</v>
      </c>
      <c r="F276" s="54" t="s">
        <v>575</v>
      </c>
      <c r="G276" s="54" t="s">
        <v>584</v>
      </c>
      <c r="H276" s="55">
        <v>14.099999999999998</v>
      </c>
      <c r="I276" s="55">
        <v>14.099999999999998</v>
      </c>
      <c r="J276" s="55">
        <v>14.099999999999998</v>
      </c>
      <c r="K276" s="54"/>
      <c r="L276" s="56" t="b">
        <v>0</v>
      </c>
      <c r="M276" s="56" t="b">
        <v>0</v>
      </c>
      <c r="N276" s="54">
        <v>1</v>
      </c>
      <c r="O276" s="54" t="s">
        <v>228</v>
      </c>
      <c r="P276" s="54">
        <v>100</v>
      </c>
      <c r="Q276" s="54">
        <v>36</v>
      </c>
      <c r="R276" s="54" t="s">
        <v>438</v>
      </c>
      <c r="S276" s="54" t="s">
        <v>1493</v>
      </c>
      <c r="T276" s="54" t="s">
        <v>577</v>
      </c>
      <c r="U276" s="54" t="s">
        <v>578</v>
      </c>
      <c r="V276" s="54" t="s">
        <v>579</v>
      </c>
      <c r="W276" s="54" t="b">
        <v>0</v>
      </c>
      <c r="X276" s="54"/>
      <c r="Y276" s="57" t="s">
        <v>1761</v>
      </c>
      <c r="Z276" s="54" t="s">
        <v>1498</v>
      </c>
      <c r="AA276" s="54"/>
      <c r="AB276" s="54" t="s">
        <v>581</v>
      </c>
      <c r="AC276" s="56" t="b">
        <v>1</v>
      </c>
      <c r="AD276" s="56" t="b">
        <v>0</v>
      </c>
      <c r="AE276" s="54" t="s">
        <v>302</v>
      </c>
      <c r="AF276" s="58">
        <v>46309</v>
      </c>
      <c r="AG276" s="62" t="s">
        <v>293</v>
      </c>
      <c r="AH276" s="54">
        <v>0</v>
      </c>
      <c r="AI276" s="54"/>
      <c r="AJ276" s="54"/>
      <c r="AK276" s="54"/>
      <c r="AL276" s="54"/>
      <c r="AM276" s="54">
        <v>-5</v>
      </c>
      <c r="AN276" s="54"/>
      <c r="AO276" s="54"/>
      <c r="AP276" s="54"/>
      <c r="AQ276" s="54"/>
      <c r="AR276" s="54"/>
      <c r="AS276" s="54"/>
      <c r="AT276" s="54"/>
      <c r="AU276" s="54"/>
      <c r="AV276" s="54"/>
      <c r="AW276" s="54"/>
      <c r="AX276" s="59"/>
      <c r="AY276" s="59"/>
      <c r="AZ276" s="59"/>
      <c r="BA276" s="59"/>
      <c r="BB276" s="59">
        <v>7.6130000000000003E-2</v>
      </c>
      <c r="BC276" s="60">
        <v>4.9000000000000004</v>
      </c>
      <c r="BD276" s="61">
        <v>6.5333000000000002E-2</v>
      </c>
      <c r="BE276" s="62" t="s">
        <v>293</v>
      </c>
      <c r="BF276" s="35">
        <f t="shared" ref="BF276:BG278" si="652">IF($E276=$E$4,BF$4,IF($E276=$E$5,BF$5,""))</f>
        <v>4.9000000000000004</v>
      </c>
      <c r="BG276" s="35">
        <f t="shared" si="652"/>
        <v>6.5333000000000002E-2</v>
      </c>
      <c r="BH276" s="35" t="str">
        <f t="shared" ref="BH276:BH278" si="653">IF(ISTEXT(BE276),IF(AND(AV276=0,SUM(AN276:AQ276)=0),IF(AM276&lt;=0,IF(BE276="Y","Low","Flat"),"Med"),"High"),"?")</f>
        <v>Low</v>
      </c>
      <c r="BI276" s="110">
        <f t="shared" ref="BI276:BI278" si="654">IF(ISNUMBER(AH276),0*BI$5*SIN((EDATE($A$3,$Q276)-DATE(YEAR(EDATE($A$3,$Q276)),1,0)-BI$4)*2*PI()/365),"")</f>
        <v>0</v>
      </c>
      <c r="BJ276" s="83">
        <f>VLOOKUP($F276,REP_Info!$D$6:$H$250,5,FALSE)</f>
        <v>1.5649999999999999</v>
      </c>
      <c r="BK276" s="30">
        <f t="shared" ref="BK276:BN278" si="655">IF(BK$7&gt;0,(LOOKUP(BK$7,$AH276:$AL276,$AM276:$AQ276)+IF($AG276="Y",SUMPRODUCT($AX276:$BB276-$AW276:$BA276,BK$7-$AR276:$AV276,N(BK$7&gt;$AR276:$AV276)),BK$7*LOOKUP(BK$7,$AR276:$AV276,$AX276:$BB276))+IF($BE276="Y",$BF276,$BC276)+BK$7*IF($BE276="Y",$BG276,$BD276))*100/BK$7,"")</f>
        <v>14.126300000000001</v>
      </c>
      <c r="BL276" s="30">
        <f t="shared" si="655"/>
        <v>14.136299999999999</v>
      </c>
      <c r="BM276" s="30">
        <f t="shared" si="655"/>
        <v>14.141300000000001</v>
      </c>
      <c r="BN276" s="29">
        <f t="shared" si="655"/>
        <v>14.142966666666668</v>
      </c>
      <c r="BO276" s="85" t="str">
        <f t="shared" ref="BO276:BO278" si="656">IFERROR(SUMPRODUCT($BS$7:$CD$7,$BS276:$CD276)/100,"$$$")</f>
        <v>$$$</v>
      </c>
      <c r="BP276" s="88" t="str">
        <f t="shared" ref="BP276:BP278" si="657">IFERROR(BO276*100/BO$5,"$$$")</f>
        <v>$$$</v>
      </c>
      <c r="BQ276" s="88" t="str">
        <f t="shared" ref="BQ276:BQ278" si="658">IFERROR(SUMPRODUCT($BS$7:$CD$7,$BS276:$CD276,--($BS$4:$CD$4&lt;=$Q276))/SUMPRODUCT(--($BS$4:$CD$4&lt;=$Q276),$BS$7:$CD$7),"$$$")</f>
        <v>$$$</v>
      </c>
      <c r="BR276" s="88" t="str">
        <f t="shared" ref="BR276:BR278" si="659">IFERROR($BQ276-$BF276*100*SUMPRODUCT(--($BS$4:$CD$4&lt;=$Q276))/SUMPRODUCT(--($BS$4:$CD$4&lt;=$Q276),$BS$7:$CD$7)-$BG276*100,"$$$")</f>
        <v>$$$</v>
      </c>
      <c r="BS276" s="29" t="e">
        <f t="shared" ref="BS276:CD278" si="660">IF($CI276,IF(BS$7&gt;0,IF(BS$4&gt;$Q276,$BF276+BS$7*(BS$5+$BG276+$BI276),LOOKUP(BS$7,$AH276:$AL276,$AM276:$AQ276)+IF($AG276="Y",SUMPRODUCT($AX276:$BB276-$AW276:$BA276,BS$7-$AR276:$AV276,N(BS$7&gt;$AR276:$AV276)),BS$7*LOOKUP(BS$7,$AR276:$AV276,$AX276:$BB276))+IF($BE276="Y",$BF276,$BC276)+BS$7*IF($BE276="Y",$BG276,$BD276))*100/BS$7,""),NA())</f>
        <v>#N/A</v>
      </c>
      <c r="BT276" s="29" t="e">
        <f t="shared" si="660"/>
        <v>#N/A</v>
      </c>
      <c r="BU276" s="29" t="e">
        <f t="shared" si="660"/>
        <v>#N/A</v>
      </c>
      <c r="BV276" s="29" t="e">
        <f t="shared" si="660"/>
        <v>#N/A</v>
      </c>
      <c r="BW276" s="29" t="e">
        <f t="shared" si="660"/>
        <v>#N/A</v>
      </c>
      <c r="BX276" s="29" t="e">
        <f t="shared" si="660"/>
        <v>#N/A</v>
      </c>
      <c r="BY276" s="29" t="e">
        <f t="shared" si="660"/>
        <v>#N/A</v>
      </c>
      <c r="BZ276" s="29" t="e">
        <f t="shared" si="660"/>
        <v>#N/A</v>
      </c>
      <c r="CA276" s="29" t="e">
        <f t="shared" si="660"/>
        <v>#N/A</v>
      </c>
      <c r="CB276" s="29" t="e">
        <f t="shared" si="660"/>
        <v>#N/A</v>
      </c>
      <c r="CC276" s="29" t="e">
        <f t="shared" si="660"/>
        <v>#N/A</v>
      </c>
      <c r="CD276" s="29" t="e">
        <f t="shared" si="660"/>
        <v>#N/A</v>
      </c>
      <c r="CE276" s="6" t="str">
        <f t="shared" si="650"/>
        <v/>
      </c>
      <c r="CF276" s="27" t="e">
        <f>IF(AND(CI276,NOT(AD276)),LOOKUP(CF$5,{0,750,1500},H276:J276),"")</f>
        <v>#N/A</v>
      </c>
      <c r="CG276" s="6" t="str">
        <f t="shared" si="651"/>
        <v/>
      </c>
      <c r="CH276" t="e">
        <f t="shared" ref="CH276:CH278" si="661">IF(CI276,IF(ISNUMBER(BO276),BO276,100000)+CV276/10000+IF(ISNUMBER(BJ276),BJ276,2)/10000-P276/100000+ROW()/10000000,"")</f>
        <v>#N/A</v>
      </c>
      <c r="CI276" t="e">
        <f t="shared" ref="CI276:CI278" si="662">PRODUCT(CJ276:CQ276)</f>
        <v>#N/A</v>
      </c>
      <c r="CJ276" s="6" t="e">
        <f t="shared" ref="CJ276:CJ278" si="663">IF($E276=CJ$5,1,0)</f>
        <v>#N/A</v>
      </c>
      <c r="CK276" s="6">
        <f t="shared" ref="CK276:CK278" si="664">IF(CK$5="[Any]",1,IF($F276=CK$5,1,0))</f>
        <v>1</v>
      </c>
      <c r="CL276" s="6">
        <f t="shared" si="26"/>
        <v>1</v>
      </c>
      <c r="CM276" s="6">
        <f t="shared" ref="CM276:CM278" si="665">IF($O276="Fixed",1,0)</f>
        <v>1</v>
      </c>
      <c r="CN276" s="6">
        <f t="shared" ref="CN276:CN278" si="666">IF($Q276&gt;=CN$5,1,0)</f>
        <v>1</v>
      </c>
      <c r="CO276" s="6">
        <f t="shared" ref="CO276:CO278" si="667">IF($Q276&lt;=CO$5,1,0)</f>
        <v>0</v>
      </c>
      <c r="CP276" s="6">
        <f t="shared" ref="CP276:CP278" si="668">IF($P276&gt;=CP$5,1,0)</f>
        <v>1</v>
      </c>
      <c r="CQ276" s="6">
        <f t="shared" ref="CQ276:CQ278" si="669">IF(CQ$5="Any",1,IF(AND(CQ$5="Med",AV276=0,SUM(AN276:AQ276)=0),1,IF(AND(CQ$5="Low",AV276=0,SUM(AN276:AQ276)=0,AM276=0),1,IF(AND(CQ$5="Flat",AV276=0,SUM(AN276:AQ276)=0,AM276=0,IFERROR(NOT(BE276="Y"),0)),1,0))))</f>
        <v>1</v>
      </c>
      <c r="CR276" s="81" t="str">
        <f t="shared" ref="CR276:CR278" si="670">IF(ISNUMBER($CH276),$CH276+$CS276+$CW276,"")</f>
        <v/>
      </c>
      <c r="CS276">
        <f t="shared" ref="CS276:CS278" si="671">CS$5*(12/(MIN(12,Q276))-1)</f>
        <v>0</v>
      </c>
      <c r="CT276">
        <f t="shared" si="19"/>
        <v>20</v>
      </c>
      <c r="CU276" t="str">
        <f t="shared" si="29"/>
        <v>rm</v>
      </c>
      <c r="CV276" s="81">
        <f t="shared" ref="CV276:CV278" si="672">CT276*IF(CU276="",1,Q276)</f>
        <v>720</v>
      </c>
      <c r="CW276" s="81">
        <f>(CV276/25)^1.5*(Calculator!$BU$4/10000)*CW$5</f>
        <v>80.37830486753046</v>
      </c>
      <c r="CX276" t="str">
        <f t="shared" ref="CX276:CX278" si="673">"$"&amp;IF(LEFT(CU276,1)="r",CT276&amp;"/"&amp;CU276,CV276)</f>
        <v>$20/rm</v>
      </c>
    </row>
    <row r="277" spans="2:102" x14ac:dyDescent="0.25">
      <c r="B277" s="115" t="s">
        <v>233</v>
      </c>
      <c r="C277" s="13">
        <v>46321.660416666666</v>
      </c>
      <c r="D277">
        <v>35820</v>
      </c>
      <c r="E277" s="54" t="s">
        <v>237</v>
      </c>
      <c r="F277" s="54" t="s">
        <v>575</v>
      </c>
      <c r="G277" s="54" t="s">
        <v>584</v>
      </c>
      <c r="H277" s="55">
        <v>13.8</v>
      </c>
      <c r="I277" s="55">
        <v>13.8</v>
      </c>
      <c r="J277" s="55">
        <v>13.900000000000002</v>
      </c>
      <c r="K277" s="54"/>
      <c r="L277" s="56" t="b">
        <v>0</v>
      </c>
      <c r="M277" s="56" t="b">
        <v>0</v>
      </c>
      <c r="N277" s="54">
        <v>1</v>
      </c>
      <c r="O277" s="54" t="s">
        <v>228</v>
      </c>
      <c r="P277" s="54">
        <v>100</v>
      </c>
      <c r="Q277" s="54">
        <v>36</v>
      </c>
      <c r="R277" s="54" t="s">
        <v>438</v>
      </c>
      <c r="S277" s="54" t="s">
        <v>1493</v>
      </c>
      <c r="T277" s="54" t="s">
        <v>577</v>
      </c>
      <c r="U277" s="54" t="s">
        <v>578</v>
      </c>
      <c r="V277" s="54" t="s">
        <v>579</v>
      </c>
      <c r="W277" s="54" t="b">
        <v>0</v>
      </c>
      <c r="X277" s="54"/>
      <c r="Y277" s="57" t="s">
        <v>1762</v>
      </c>
      <c r="Z277" s="54" t="s">
        <v>1499</v>
      </c>
      <c r="AA277" s="54"/>
      <c r="AB277" s="54" t="s">
        <v>581</v>
      </c>
      <c r="AC277" s="56" t="b">
        <v>1</v>
      </c>
      <c r="AD277" s="56" t="b">
        <v>0</v>
      </c>
      <c r="AE277" s="54" t="s">
        <v>302</v>
      </c>
      <c r="AF277" s="58">
        <v>46321</v>
      </c>
      <c r="AG277" s="62" t="s">
        <v>293</v>
      </c>
      <c r="AH277" s="54">
        <v>0</v>
      </c>
      <c r="AI277" s="54"/>
      <c r="AJ277" s="54"/>
      <c r="AK277" s="54"/>
      <c r="AL277" s="54"/>
      <c r="AM277" s="54">
        <v>-5</v>
      </c>
      <c r="AN277" s="54"/>
      <c r="AO277" s="54"/>
      <c r="AP277" s="54"/>
      <c r="AQ277" s="54"/>
      <c r="AR277" s="54"/>
      <c r="AS277" s="54"/>
      <c r="AT277" s="54"/>
      <c r="AU277" s="54"/>
      <c r="AV277" s="54"/>
      <c r="AW277" s="54"/>
      <c r="AX277" s="59"/>
      <c r="AY277" s="59"/>
      <c r="AZ277" s="59"/>
      <c r="BA277" s="59"/>
      <c r="BB277" s="59">
        <v>7.0760000000000003E-2</v>
      </c>
      <c r="BC277" s="60">
        <v>4.0599999999999996</v>
      </c>
      <c r="BD277" s="61">
        <v>6.8672999999999998E-2</v>
      </c>
      <c r="BE277" s="62" t="s">
        <v>293</v>
      </c>
      <c r="BF277" s="35">
        <f t="shared" si="652"/>
        <v>4.0600000000000005</v>
      </c>
      <c r="BG277" s="35">
        <f t="shared" si="652"/>
        <v>6.8672999999999998E-2</v>
      </c>
      <c r="BH277" s="35" t="str">
        <f t="shared" si="653"/>
        <v>Low</v>
      </c>
      <c r="BI277" s="110">
        <f t="shared" si="654"/>
        <v>0</v>
      </c>
      <c r="BJ277" s="83">
        <f>VLOOKUP($F277,REP_Info!$D$6:$H$250,5,FALSE)</f>
        <v>1.5649999999999999</v>
      </c>
      <c r="BK277" s="30">
        <f t="shared" si="655"/>
        <v>13.7553</v>
      </c>
      <c r="BL277" s="30">
        <f t="shared" si="655"/>
        <v>13.849299999999999</v>
      </c>
      <c r="BM277" s="30">
        <f t="shared" si="655"/>
        <v>13.896300000000004</v>
      </c>
      <c r="BN277" s="29">
        <f t="shared" si="655"/>
        <v>13.911966666666666</v>
      </c>
      <c r="BO277" s="85" t="str">
        <f t="shared" si="656"/>
        <v>$$$</v>
      </c>
      <c r="BP277" s="88" t="str">
        <f t="shared" si="657"/>
        <v>$$$</v>
      </c>
      <c r="BQ277" s="88" t="str">
        <f t="shared" si="658"/>
        <v>$$$</v>
      </c>
      <c r="BR277" s="88" t="str">
        <f t="shared" si="659"/>
        <v>$$$</v>
      </c>
      <c r="BS277" s="29" t="e">
        <f t="shared" si="660"/>
        <v>#N/A</v>
      </c>
      <c r="BT277" s="29" t="e">
        <f t="shared" si="660"/>
        <v>#N/A</v>
      </c>
      <c r="BU277" s="29" t="e">
        <f t="shared" si="660"/>
        <v>#N/A</v>
      </c>
      <c r="BV277" s="29" t="e">
        <f t="shared" si="660"/>
        <v>#N/A</v>
      </c>
      <c r="BW277" s="29" t="e">
        <f t="shared" si="660"/>
        <v>#N/A</v>
      </c>
      <c r="BX277" s="29" t="e">
        <f t="shared" si="660"/>
        <v>#N/A</v>
      </c>
      <c r="BY277" s="29" t="e">
        <f t="shared" si="660"/>
        <v>#N/A</v>
      </c>
      <c r="BZ277" s="29" t="e">
        <f t="shared" si="660"/>
        <v>#N/A</v>
      </c>
      <c r="CA277" s="29" t="e">
        <f t="shared" si="660"/>
        <v>#N/A</v>
      </c>
      <c r="CB277" s="29" t="e">
        <f t="shared" si="660"/>
        <v>#N/A</v>
      </c>
      <c r="CC277" s="29" t="e">
        <f t="shared" si="660"/>
        <v>#N/A</v>
      </c>
      <c r="CD277" s="29" t="e">
        <f t="shared" si="660"/>
        <v>#N/A</v>
      </c>
      <c r="CE277" s="6" t="str">
        <f t="shared" si="650"/>
        <v/>
      </c>
      <c r="CF277" s="27" t="e">
        <f>IF(AND(CI277,NOT(AD277)),LOOKUP(CF$5,{0,750,1500},H277:J277),"")</f>
        <v>#N/A</v>
      </c>
      <c r="CG277" s="6" t="str">
        <f t="shared" si="651"/>
        <v/>
      </c>
      <c r="CH277" t="e">
        <f t="shared" si="661"/>
        <v>#N/A</v>
      </c>
      <c r="CI277" t="e">
        <f t="shared" si="662"/>
        <v>#N/A</v>
      </c>
      <c r="CJ277" s="6" t="e">
        <f t="shared" si="663"/>
        <v>#N/A</v>
      </c>
      <c r="CK277" s="6">
        <f t="shared" si="664"/>
        <v>1</v>
      </c>
      <c r="CL277" s="6">
        <f t="shared" si="26"/>
        <v>1</v>
      </c>
      <c r="CM277" s="6">
        <f t="shared" si="665"/>
        <v>1</v>
      </c>
      <c r="CN277" s="6">
        <f t="shared" si="666"/>
        <v>1</v>
      </c>
      <c r="CO277" s="6">
        <f t="shared" si="667"/>
        <v>0</v>
      </c>
      <c r="CP277" s="6">
        <f t="shared" si="668"/>
        <v>1</v>
      </c>
      <c r="CQ277" s="6">
        <f t="shared" si="669"/>
        <v>1</v>
      </c>
      <c r="CR277" s="81" t="str">
        <f t="shared" si="670"/>
        <v/>
      </c>
      <c r="CS277">
        <f t="shared" si="671"/>
        <v>0</v>
      </c>
      <c r="CT277">
        <f t="shared" si="19"/>
        <v>20</v>
      </c>
      <c r="CU277" t="str">
        <f t="shared" si="29"/>
        <v>rm</v>
      </c>
      <c r="CV277" s="81">
        <f t="shared" si="672"/>
        <v>720</v>
      </c>
      <c r="CW277" s="81">
        <f>(CV277/25)^1.5*(Calculator!$BU$4/10000)*CW$5</f>
        <v>80.37830486753046</v>
      </c>
      <c r="CX277" t="str">
        <f t="shared" si="673"/>
        <v>$20/rm</v>
      </c>
    </row>
    <row r="278" spans="2:102" x14ac:dyDescent="0.25">
      <c r="B278" s="115" t="s">
        <v>233</v>
      </c>
      <c r="C278" s="13">
        <v>46317.620833333334</v>
      </c>
      <c r="D278">
        <v>38311</v>
      </c>
      <c r="E278" s="54" t="s">
        <v>235</v>
      </c>
      <c r="F278" s="54" t="s">
        <v>575</v>
      </c>
      <c r="G278" s="54" t="s">
        <v>1973</v>
      </c>
      <c r="H278" s="55">
        <v>10.5</v>
      </c>
      <c r="I278" s="55">
        <v>10.5</v>
      </c>
      <c r="J278" s="55">
        <v>10.6</v>
      </c>
      <c r="K278" s="54"/>
      <c r="L278" s="56" t="b">
        <v>0</v>
      </c>
      <c r="M278" s="56" t="b">
        <v>0</v>
      </c>
      <c r="N278" s="54">
        <v>1</v>
      </c>
      <c r="O278" s="54" t="s">
        <v>228</v>
      </c>
      <c r="P278" s="54">
        <v>100</v>
      </c>
      <c r="Q278" s="54">
        <v>3</v>
      </c>
      <c r="R278" s="54" t="s">
        <v>438</v>
      </c>
      <c r="S278" s="54" t="s">
        <v>1493</v>
      </c>
      <c r="T278" s="54" t="s">
        <v>1974</v>
      </c>
      <c r="U278" s="54" t="s">
        <v>578</v>
      </c>
      <c r="V278" s="54" t="s">
        <v>579</v>
      </c>
      <c r="W278" s="54" t="b">
        <v>0</v>
      </c>
      <c r="X278" s="54"/>
      <c r="Y278" s="57" t="s">
        <v>1975</v>
      </c>
      <c r="Z278" s="54" t="s">
        <v>1976</v>
      </c>
      <c r="AA278" s="54"/>
      <c r="AB278" s="54" t="s">
        <v>581</v>
      </c>
      <c r="AC278" s="56" t="b">
        <v>1</v>
      </c>
      <c r="AD278" s="56" t="b">
        <v>0</v>
      </c>
      <c r="AE278" s="54" t="s">
        <v>302</v>
      </c>
      <c r="AF278" s="58">
        <v>46317</v>
      </c>
      <c r="AG278" s="62" t="s">
        <v>293</v>
      </c>
      <c r="AH278" s="54">
        <v>0</v>
      </c>
      <c r="AI278" s="54"/>
      <c r="AJ278" s="54"/>
      <c r="AK278" s="54"/>
      <c r="AL278" s="54"/>
      <c r="AM278" s="54">
        <v>-5</v>
      </c>
      <c r="AN278" s="54"/>
      <c r="AO278" s="54"/>
      <c r="AP278" s="54"/>
      <c r="AQ278" s="54"/>
      <c r="AR278" s="54"/>
      <c r="AS278" s="54"/>
      <c r="AT278" s="54"/>
      <c r="AU278" s="54"/>
      <c r="AV278" s="54"/>
      <c r="AW278" s="54"/>
      <c r="AX278" s="59"/>
      <c r="AY278" s="59"/>
      <c r="AZ278" s="59"/>
      <c r="BA278" s="59"/>
      <c r="BB278" s="59">
        <v>4.0259999999999997E-2</v>
      </c>
      <c r="BC278" s="60">
        <v>4.9000000000000004</v>
      </c>
      <c r="BD278" s="61">
        <v>6.5333000000000002E-2</v>
      </c>
      <c r="BE278" s="62" t="s">
        <v>293</v>
      </c>
      <c r="BF278" s="35">
        <f t="shared" si="652"/>
        <v>4.9000000000000004</v>
      </c>
      <c r="BG278" s="35">
        <f t="shared" si="652"/>
        <v>6.5333000000000002E-2</v>
      </c>
      <c r="BH278" s="35" t="str">
        <f t="shared" si="653"/>
        <v>Low</v>
      </c>
      <c r="BI278" s="110">
        <f t="shared" si="654"/>
        <v>0</v>
      </c>
      <c r="BJ278" s="83">
        <f>VLOOKUP($F278,REP_Info!$D$6:$H$250,5,FALSE)</f>
        <v>1.5649999999999999</v>
      </c>
      <c r="BK278" s="30">
        <f t="shared" si="655"/>
        <v>10.539299999999999</v>
      </c>
      <c r="BL278" s="30">
        <f t="shared" si="655"/>
        <v>10.549299999999999</v>
      </c>
      <c r="BM278" s="30">
        <f t="shared" si="655"/>
        <v>10.554300000000001</v>
      </c>
      <c r="BN278" s="29">
        <f t="shared" si="655"/>
        <v>10.555966666666666</v>
      </c>
      <c r="BO278" s="85" t="str">
        <f t="shared" si="656"/>
        <v>$$$</v>
      </c>
      <c r="BP278" s="88" t="str">
        <f t="shared" si="657"/>
        <v>$$$</v>
      </c>
      <c r="BQ278" s="88" t="str">
        <f t="shared" si="658"/>
        <v>$$$</v>
      </c>
      <c r="BR278" s="88" t="str">
        <f t="shared" si="659"/>
        <v>$$$</v>
      </c>
      <c r="BS278" s="29" t="e">
        <f t="shared" si="660"/>
        <v>#N/A</v>
      </c>
      <c r="BT278" s="29" t="e">
        <f t="shared" si="660"/>
        <v>#N/A</v>
      </c>
      <c r="BU278" s="29" t="e">
        <f t="shared" si="660"/>
        <v>#N/A</v>
      </c>
      <c r="BV278" s="29" t="e">
        <f t="shared" si="660"/>
        <v>#N/A</v>
      </c>
      <c r="BW278" s="29" t="e">
        <f t="shared" si="660"/>
        <v>#N/A</v>
      </c>
      <c r="BX278" s="29" t="e">
        <f t="shared" si="660"/>
        <v>#N/A</v>
      </c>
      <c r="BY278" s="29" t="e">
        <f t="shared" si="660"/>
        <v>#N/A</v>
      </c>
      <c r="BZ278" s="29" t="e">
        <f t="shared" si="660"/>
        <v>#N/A</v>
      </c>
      <c r="CA278" s="29" t="e">
        <f t="shared" si="660"/>
        <v>#N/A</v>
      </c>
      <c r="CB278" s="29" t="e">
        <f t="shared" si="660"/>
        <v>#N/A</v>
      </c>
      <c r="CC278" s="29" t="e">
        <f t="shared" si="660"/>
        <v>#N/A</v>
      </c>
      <c r="CD278" s="29" t="e">
        <f t="shared" si="660"/>
        <v>#N/A</v>
      </c>
      <c r="CE278" s="6" t="str">
        <f t="shared" si="650"/>
        <v/>
      </c>
      <c r="CF278" s="27" t="e">
        <f>IF(AND(CI278,NOT(AD278)),LOOKUP(CF$5,{0,750,1500},H278:J278),"")</f>
        <v>#N/A</v>
      </c>
      <c r="CG278" s="6" t="str">
        <f t="shared" si="651"/>
        <v/>
      </c>
      <c r="CH278" t="e">
        <f t="shared" si="661"/>
        <v>#N/A</v>
      </c>
      <c r="CI278" t="e">
        <f t="shared" si="662"/>
        <v>#N/A</v>
      </c>
      <c r="CJ278" s="6" t="e">
        <f t="shared" si="663"/>
        <v>#N/A</v>
      </c>
      <c r="CK278" s="6">
        <f t="shared" si="664"/>
        <v>1</v>
      </c>
      <c r="CL278" s="6">
        <f t="shared" si="26"/>
        <v>1</v>
      </c>
      <c r="CM278" s="6">
        <f t="shared" si="665"/>
        <v>1</v>
      </c>
      <c r="CN278" s="6">
        <f t="shared" si="666"/>
        <v>0</v>
      </c>
      <c r="CO278" s="6">
        <f t="shared" si="667"/>
        <v>1</v>
      </c>
      <c r="CP278" s="6">
        <f t="shared" si="668"/>
        <v>1</v>
      </c>
      <c r="CQ278" s="6">
        <f t="shared" si="669"/>
        <v>1</v>
      </c>
      <c r="CR278" s="81" t="str">
        <f t="shared" si="670"/>
        <v/>
      </c>
      <c r="CS278">
        <f t="shared" si="671"/>
        <v>54</v>
      </c>
      <c r="CT278">
        <f t="shared" si="19"/>
        <v>20</v>
      </c>
      <c r="CU278" t="str">
        <f t="shared" si="29"/>
        <v>rm</v>
      </c>
      <c r="CV278" s="81">
        <f t="shared" si="672"/>
        <v>60</v>
      </c>
      <c r="CW278" s="81">
        <f>(CV278/25)^1.5*(Calculator!$BU$4/10000)*CW$5</f>
        <v>1.933601498011438</v>
      </c>
      <c r="CX278" t="str">
        <f t="shared" si="673"/>
        <v>$20/rm</v>
      </c>
    </row>
    <row r="279" spans="2:102" x14ac:dyDescent="0.25">
      <c r="B279" s="115" t="s">
        <v>233</v>
      </c>
      <c r="C279" s="13">
        <v>46317.620833333334</v>
      </c>
      <c r="D279">
        <v>38313</v>
      </c>
      <c r="E279" s="54" t="s">
        <v>237</v>
      </c>
      <c r="F279" s="54" t="s">
        <v>575</v>
      </c>
      <c r="G279" s="54" t="s">
        <v>1973</v>
      </c>
      <c r="H279" s="55">
        <v>11</v>
      </c>
      <c r="I279" s="55">
        <v>11</v>
      </c>
      <c r="J279" s="55">
        <v>11.1</v>
      </c>
      <c r="K279" s="54"/>
      <c r="L279" s="56" t="b">
        <v>0</v>
      </c>
      <c r="M279" s="56" t="b">
        <v>0</v>
      </c>
      <c r="N279" s="54">
        <v>1</v>
      </c>
      <c r="O279" s="54" t="s">
        <v>228</v>
      </c>
      <c r="P279" s="54">
        <v>100</v>
      </c>
      <c r="Q279" s="54">
        <v>3</v>
      </c>
      <c r="R279" s="54" t="s">
        <v>438</v>
      </c>
      <c r="S279" s="54" t="s">
        <v>1493</v>
      </c>
      <c r="T279" s="54" t="s">
        <v>1974</v>
      </c>
      <c r="U279" s="54" t="s">
        <v>578</v>
      </c>
      <c r="V279" s="54" t="s">
        <v>579</v>
      </c>
      <c r="W279" s="54" t="b">
        <v>0</v>
      </c>
      <c r="X279" s="54"/>
      <c r="Y279" s="57" t="s">
        <v>1977</v>
      </c>
      <c r="Z279" s="54" t="s">
        <v>1978</v>
      </c>
      <c r="AA279" s="54"/>
      <c r="AB279" s="54" t="s">
        <v>581</v>
      </c>
      <c r="AC279" s="56" t="b">
        <v>1</v>
      </c>
      <c r="AD279" s="56" t="b">
        <v>0</v>
      </c>
      <c r="AE279" s="54" t="s">
        <v>302</v>
      </c>
      <c r="AF279" s="58">
        <v>46317</v>
      </c>
      <c r="AG279" s="62" t="s">
        <v>293</v>
      </c>
      <c r="AH279" s="54">
        <v>0</v>
      </c>
      <c r="AI279" s="54"/>
      <c r="AJ279" s="54"/>
      <c r="AK279" s="54"/>
      <c r="AL279" s="54"/>
      <c r="AM279" s="54">
        <v>-5</v>
      </c>
      <c r="AN279" s="54"/>
      <c r="AO279" s="54"/>
      <c r="AP279" s="54"/>
      <c r="AQ279" s="54"/>
      <c r="AR279" s="54"/>
      <c r="AS279" s="54"/>
      <c r="AT279" s="54"/>
      <c r="AU279" s="54"/>
      <c r="AV279" s="54"/>
      <c r="AW279" s="54"/>
      <c r="AX279" s="59"/>
      <c r="AY279" s="59"/>
      <c r="AZ279" s="59"/>
      <c r="BA279" s="59"/>
      <c r="BB279" s="59">
        <v>4.2759999999999999E-2</v>
      </c>
      <c r="BC279" s="60">
        <v>4.0599999999999996</v>
      </c>
      <c r="BD279" s="61">
        <v>6.8672999999999998E-2</v>
      </c>
      <c r="BE279" s="62" t="s">
        <v>293</v>
      </c>
      <c r="BF279" s="35">
        <f t="shared" ref="BF279:BG280" si="674">IF($E279=$E$4,BF$4,IF($E279=$E$5,BF$5,""))</f>
        <v>4.0600000000000005</v>
      </c>
      <c r="BG279" s="35">
        <f t="shared" si="674"/>
        <v>6.8672999999999998E-2</v>
      </c>
      <c r="BH279" s="35" t="str">
        <f t="shared" ref="BH279:BH280" si="675">IF(ISTEXT(BE279),IF(AND(AV279=0,SUM(AN279:AQ279)=0),IF(AM279&lt;=0,IF(BE279="Y","Low","Flat"),"Med"),"High"),"?")</f>
        <v>Low</v>
      </c>
      <c r="BI279" s="110">
        <f t="shared" ref="BI279:BI280" si="676">IF(ISNUMBER(AH279),0*BI$5*SIN((EDATE($A$3,$Q279)-DATE(YEAR(EDATE($A$3,$Q279)),1,0)-BI$4)*2*PI()/365),"")</f>
        <v>0</v>
      </c>
      <c r="BJ279" s="83">
        <f>VLOOKUP($F279,REP_Info!$D$6:$H$250,5,FALSE)</f>
        <v>1.5649999999999999</v>
      </c>
      <c r="BK279" s="30">
        <f t="shared" ref="BK279:BN280" si="677">IF(BK$7&gt;0,(LOOKUP(BK$7,$AH279:$AL279,$AM279:$AQ279)+IF($AG279="Y",SUMPRODUCT($AX279:$BB279-$AW279:$BA279,BK$7-$AR279:$AV279,N(BK$7&gt;$AR279:$AV279)),BK$7*LOOKUP(BK$7,$AR279:$AV279,$AX279:$BB279))+IF($BE279="Y",$BF279,$BC279)+BK$7*IF($BE279="Y",$BG279,$BD279))*100/BK$7,"")</f>
        <v>10.955299999999999</v>
      </c>
      <c r="BL279" s="30">
        <f t="shared" si="677"/>
        <v>11.049299999999999</v>
      </c>
      <c r="BM279" s="30">
        <f t="shared" si="677"/>
        <v>11.096299999999999</v>
      </c>
      <c r="BN279" s="29">
        <f t="shared" si="677"/>
        <v>11.111966666666667</v>
      </c>
      <c r="BO279" s="85" t="str">
        <f t="shared" si="2"/>
        <v>$$$</v>
      </c>
      <c r="BP279" s="88" t="str">
        <f t="shared" ref="BP279:BP280" si="678">IFERROR(BO279*100/BO$5,"$$$")</f>
        <v>$$$</v>
      </c>
      <c r="BQ279" s="88" t="str">
        <f t="shared" si="4"/>
        <v>$$$</v>
      </c>
      <c r="BR279" s="88" t="str">
        <f t="shared" si="5"/>
        <v>$$$</v>
      </c>
      <c r="BS279" s="29" t="e">
        <f t="shared" ref="BS279:CD280" si="679">IF($CI279,IF(BS$7&gt;0,IF(BS$4&gt;$Q279,$BF279+BS$7*(BS$5+$BG279+$BI279),LOOKUP(BS$7,$AH279:$AL279,$AM279:$AQ279)+IF($AG279="Y",SUMPRODUCT($AX279:$BB279-$AW279:$BA279,BS$7-$AR279:$AV279,N(BS$7&gt;$AR279:$AV279)),BS$7*LOOKUP(BS$7,$AR279:$AV279,$AX279:$BB279))+IF($BE279="Y",$BF279,$BC279)+BS$7*IF($BE279="Y",$BG279,$BD279))*100/BS$7,""),NA())</f>
        <v>#N/A</v>
      </c>
      <c r="BT279" s="29" t="e">
        <f t="shared" si="679"/>
        <v>#N/A</v>
      </c>
      <c r="BU279" s="29" t="e">
        <f t="shared" si="679"/>
        <v>#N/A</v>
      </c>
      <c r="BV279" s="29" t="e">
        <f t="shared" si="679"/>
        <v>#N/A</v>
      </c>
      <c r="BW279" s="29" t="e">
        <f t="shared" si="679"/>
        <v>#N/A</v>
      </c>
      <c r="BX279" s="29" t="e">
        <f t="shared" si="679"/>
        <v>#N/A</v>
      </c>
      <c r="BY279" s="29" t="e">
        <f t="shared" si="679"/>
        <v>#N/A</v>
      </c>
      <c r="BZ279" s="29" t="e">
        <f t="shared" si="679"/>
        <v>#N/A</v>
      </c>
      <c r="CA279" s="29" t="e">
        <f t="shared" si="679"/>
        <v>#N/A</v>
      </c>
      <c r="CB279" s="29" t="e">
        <f t="shared" si="679"/>
        <v>#N/A</v>
      </c>
      <c r="CC279" s="29" t="e">
        <f t="shared" si="679"/>
        <v>#N/A</v>
      </c>
      <c r="CD279" s="29" t="e">
        <f t="shared" si="679"/>
        <v>#N/A</v>
      </c>
      <c r="CE279" s="6" t="str">
        <f t="shared" si="650"/>
        <v/>
      </c>
      <c r="CF279" s="27" t="e">
        <f>IF(AND(CI279,NOT(AD279)),LOOKUP(CF$5,{0,750,1500},H279:J279),"")</f>
        <v>#N/A</v>
      </c>
      <c r="CG279" s="6" t="str">
        <f t="shared" si="651"/>
        <v/>
      </c>
      <c r="CH279" t="e">
        <f t="shared" ref="CH279:CH280" si="680">IF(CI279,IF(ISNUMBER(BO279),BO279,100000)+CV279/10000+IF(ISNUMBER(BJ279),BJ279,2)/10000-P279/100000+ROW()/10000000,"")</f>
        <v>#N/A</v>
      </c>
      <c r="CI279" t="e">
        <f t="shared" ref="CI279:CI280" si="681">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0" si="682">IF(CQ$5="Any",1,IF(AND(CQ$5="Med",AV279=0,SUM(AN279:AQ279)=0),1,IF(AND(CQ$5="Low",AV279=0,SUM(AN279:AQ279)=0,AM279=0),1,IF(AND(CQ$5="Flat",AV279=0,SUM(AN279:AQ279)=0,AM279=0,IFERROR(NOT(BE279="Y"),0)),1,0))))</f>
        <v>1</v>
      </c>
      <c r="CR279" s="81" t="str">
        <f t="shared" si="17"/>
        <v/>
      </c>
      <c r="CS279">
        <f t="shared" ref="CS279:CS280" si="683">CS$5*(12/(MIN(12,Q279))-1)</f>
        <v>54</v>
      </c>
      <c r="CT279">
        <f t="shared" si="19"/>
        <v>20</v>
      </c>
      <c r="CU279" t="str">
        <f t="shared" si="29"/>
        <v>rm</v>
      </c>
      <c r="CV279" s="81">
        <f t="shared" ref="CV279:CV280" si="684">CT279*IF(CU279="",1,Q279)</f>
        <v>60</v>
      </c>
      <c r="CW279" s="81">
        <f>(CV279/25)^1.5*(Calculator!$BU$4/10000)*CW$5</f>
        <v>1.933601498011438</v>
      </c>
      <c r="CX279" t="str">
        <f t="shared" ref="CX279:CX280" si="685">"$"&amp;IF(LEFT(CU279,1)="r",CT279&amp;"/"&amp;CU279,CV279)</f>
        <v>$20/rm</v>
      </c>
    </row>
    <row r="280" spans="2:102" x14ac:dyDescent="0.25">
      <c r="B280" s="115" t="s">
        <v>233</v>
      </c>
      <c r="C280" s="13">
        <v>46317.620833333334</v>
      </c>
      <c r="D280">
        <v>38321</v>
      </c>
      <c r="E280" s="54" t="s">
        <v>235</v>
      </c>
      <c r="F280" s="54" t="s">
        <v>575</v>
      </c>
      <c r="G280" s="54" t="s">
        <v>1979</v>
      </c>
      <c r="H280" s="55">
        <v>11</v>
      </c>
      <c r="I280" s="55">
        <v>11</v>
      </c>
      <c r="J280" s="55">
        <v>11.1</v>
      </c>
      <c r="K280" s="54"/>
      <c r="L280" s="56" t="b">
        <v>0</v>
      </c>
      <c r="M280" s="56" t="b">
        <v>0</v>
      </c>
      <c r="N280" s="54">
        <v>1</v>
      </c>
      <c r="O280" s="54" t="s">
        <v>228</v>
      </c>
      <c r="P280" s="54">
        <v>100</v>
      </c>
      <c r="Q280" s="54">
        <v>6</v>
      </c>
      <c r="R280" s="54" t="s">
        <v>438</v>
      </c>
      <c r="S280" s="54" t="s">
        <v>1493</v>
      </c>
      <c r="T280" s="54" t="s">
        <v>577</v>
      </c>
      <c r="U280" s="54" t="s">
        <v>578</v>
      </c>
      <c r="V280" s="54" t="s">
        <v>579</v>
      </c>
      <c r="W280" s="54" t="b">
        <v>0</v>
      </c>
      <c r="X280" s="54"/>
      <c r="Y280" s="57" t="s">
        <v>1980</v>
      </c>
      <c r="Z280" s="54" t="s">
        <v>1981</v>
      </c>
      <c r="AA280" s="54"/>
      <c r="AB280" s="54" t="s">
        <v>581</v>
      </c>
      <c r="AC280" s="56" t="b">
        <v>1</v>
      </c>
      <c r="AD280" s="56" t="b">
        <v>0</v>
      </c>
      <c r="AE280" s="54" t="s">
        <v>302</v>
      </c>
      <c r="AF280" s="58">
        <v>46317</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4.5260000000000002E-2</v>
      </c>
      <c r="BC280" s="60">
        <v>4.9000000000000004</v>
      </c>
      <c r="BD280" s="61">
        <v>6.5333000000000002E-2</v>
      </c>
      <c r="BE280" s="62" t="s">
        <v>293</v>
      </c>
      <c r="BF280" s="35">
        <f t="shared" si="674"/>
        <v>4.9000000000000004</v>
      </c>
      <c r="BG280" s="35">
        <f t="shared" si="674"/>
        <v>6.5333000000000002E-2</v>
      </c>
      <c r="BH280" s="35" t="str">
        <f t="shared" si="675"/>
        <v>Low</v>
      </c>
      <c r="BI280" s="110">
        <f t="shared" si="676"/>
        <v>0</v>
      </c>
      <c r="BJ280" s="83">
        <f>VLOOKUP($F280,REP_Info!$D$6:$H$250,5,FALSE)</f>
        <v>1.5649999999999999</v>
      </c>
      <c r="BK280" s="30">
        <f t="shared" si="677"/>
        <v>11.039299999999999</v>
      </c>
      <c r="BL280" s="30">
        <f t="shared" si="677"/>
        <v>11.049299999999999</v>
      </c>
      <c r="BM280" s="30">
        <f t="shared" si="677"/>
        <v>11.054300000000001</v>
      </c>
      <c r="BN280" s="29">
        <f t="shared" si="677"/>
        <v>11.055966666666665</v>
      </c>
      <c r="BO280" s="85" t="str">
        <f t="shared" ref="BO280" si="686">IFERROR(SUMPRODUCT($BS$7:$CD$7,$BS280:$CD280)/100,"$$$")</f>
        <v>$$$</v>
      </c>
      <c r="BP280" s="88" t="str">
        <f t="shared" si="678"/>
        <v>$$$</v>
      </c>
      <c r="BQ280" s="88" t="str">
        <f t="shared" ref="BQ280" si="687">IFERROR(SUMPRODUCT($BS$7:$CD$7,$BS280:$CD280,--($BS$4:$CD$4&lt;=$Q280))/SUMPRODUCT(--($BS$4:$CD$4&lt;=$Q280),$BS$7:$CD$7),"$$$")</f>
        <v>$$$</v>
      </c>
      <c r="BR280" s="88" t="str">
        <f t="shared" ref="BR280" si="688">IFERROR($BQ280-$BF280*100*SUMPRODUCT(--($BS$4:$CD$4&lt;=$Q280))/SUMPRODUCT(--($BS$4:$CD$4&lt;=$Q280),$BS$7:$CD$7)-$BG280*100,"$$$")</f>
        <v>$$$</v>
      </c>
      <c r="BS280" s="29" t="e">
        <f t="shared" si="679"/>
        <v>#N/A</v>
      </c>
      <c r="BT280" s="29" t="e">
        <f t="shared" si="679"/>
        <v>#N/A</v>
      </c>
      <c r="BU280" s="29" t="e">
        <f t="shared" si="679"/>
        <v>#N/A</v>
      </c>
      <c r="BV280" s="29" t="e">
        <f t="shared" si="679"/>
        <v>#N/A</v>
      </c>
      <c r="BW280" s="29" t="e">
        <f t="shared" si="679"/>
        <v>#N/A</v>
      </c>
      <c r="BX280" s="29" t="e">
        <f t="shared" si="679"/>
        <v>#N/A</v>
      </c>
      <c r="BY280" s="29" t="e">
        <f t="shared" si="679"/>
        <v>#N/A</v>
      </c>
      <c r="BZ280" s="29" t="e">
        <f t="shared" si="679"/>
        <v>#N/A</v>
      </c>
      <c r="CA280" s="29" t="e">
        <f t="shared" si="679"/>
        <v>#N/A</v>
      </c>
      <c r="CB280" s="29" t="e">
        <f t="shared" si="679"/>
        <v>#N/A</v>
      </c>
      <c r="CC280" s="29" t="e">
        <f t="shared" si="679"/>
        <v>#N/A</v>
      </c>
      <c r="CD280" s="29" t="e">
        <f t="shared" si="679"/>
        <v>#N/A</v>
      </c>
      <c r="CE280" s="6" t="str">
        <f t="shared" si="650"/>
        <v/>
      </c>
      <c r="CF280" s="27" t="e">
        <f>IF(AND(CI280,NOT(AD280)),LOOKUP(CF$5,{0,750,1500},H280:J280),"")</f>
        <v>#N/A</v>
      </c>
      <c r="CG280" s="6" t="str">
        <f t="shared" si="651"/>
        <v/>
      </c>
      <c r="CH280" t="e">
        <f t="shared" si="680"/>
        <v>#N/A</v>
      </c>
      <c r="CI280" t="e">
        <f t="shared" si="681"/>
        <v>#N/A</v>
      </c>
      <c r="CJ280" s="6" t="e">
        <f t="shared" ref="CJ280" si="689">IF($E280=CJ$5,1,0)</f>
        <v>#N/A</v>
      </c>
      <c r="CK280" s="6">
        <f t="shared" ref="CK280" si="690">IF(CK$5="[Any]",1,IF($F280=CK$5,1,0))</f>
        <v>1</v>
      </c>
      <c r="CL280" s="6">
        <f t="shared" si="26"/>
        <v>1</v>
      </c>
      <c r="CM280" s="6">
        <f t="shared" ref="CM280" si="691">IF($O280="Fixed",1,0)</f>
        <v>1</v>
      </c>
      <c r="CN280" s="6">
        <f t="shared" ref="CN280" si="692">IF($Q280&gt;=CN$5,1,0)</f>
        <v>0</v>
      </c>
      <c r="CO280" s="6">
        <f t="shared" ref="CO280" si="693">IF($Q280&lt;=CO$5,1,0)</f>
        <v>1</v>
      </c>
      <c r="CP280" s="6">
        <f t="shared" ref="CP280" si="694">IF($P280&gt;=CP$5,1,0)</f>
        <v>1</v>
      </c>
      <c r="CQ280" s="6">
        <f t="shared" si="682"/>
        <v>1</v>
      </c>
      <c r="CR280" s="81" t="str">
        <f t="shared" ref="CR280" si="695">IF(ISNUMBER($CH280),$CH280+$CS280+$CW280,"")</f>
        <v/>
      </c>
      <c r="CS280">
        <f t="shared" si="683"/>
        <v>18</v>
      </c>
      <c r="CT280">
        <f t="shared" si="19"/>
        <v>20</v>
      </c>
      <c r="CU280" t="str">
        <f t="shared" si="29"/>
        <v>rm</v>
      </c>
      <c r="CV280" s="81">
        <f t="shared" si="684"/>
        <v>120</v>
      </c>
      <c r="CW280" s="81">
        <f>(CV280/25)^1.5*(Calculator!$BU$4/10000)*CW$5</f>
        <v>5.4690509254254183</v>
      </c>
      <c r="CX280" t="str">
        <f t="shared" si="685"/>
        <v>$20/rm</v>
      </c>
    </row>
    <row r="281" spans="2:102" x14ac:dyDescent="0.25">
      <c r="B281" s="115" t="s">
        <v>233</v>
      </c>
      <c r="C281" s="13">
        <v>46308.549305555556</v>
      </c>
      <c r="D281">
        <v>38323</v>
      </c>
      <c r="E281" s="54" t="s">
        <v>237</v>
      </c>
      <c r="F281" s="54" t="s">
        <v>575</v>
      </c>
      <c r="G281" s="54" t="s">
        <v>1979</v>
      </c>
      <c r="H281" s="55">
        <v>11.5</v>
      </c>
      <c r="I281" s="55">
        <v>11.5</v>
      </c>
      <c r="J281" s="55">
        <v>11.600000000000001</v>
      </c>
      <c r="K281" s="54"/>
      <c r="L281" s="56" t="b">
        <v>0</v>
      </c>
      <c r="M281" s="56" t="b">
        <v>0</v>
      </c>
      <c r="N281" s="54">
        <v>1</v>
      </c>
      <c r="O281" s="54" t="s">
        <v>228</v>
      </c>
      <c r="P281" s="54">
        <v>100</v>
      </c>
      <c r="Q281" s="54">
        <v>6</v>
      </c>
      <c r="R281" s="54" t="s">
        <v>438</v>
      </c>
      <c r="S281" s="54" t="s">
        <v>1493</v>
      </c>
      <c r="T281" s="54" t="s">
        <v>577</v>
      </c>
      <c r="U281" s="54" t="s">
        <v>578</v>
      </c>
      <c r="V281" s="54" t="s">
        <v>579</v>
      </c>
      <c r="W281" s="54" t="b">
        <v>0</v>
      </c>
      <c r="X281" s="54"/>
      <c r="Y281" s="57" t="s">
        <v>1982</v>
      </c>
      <c r="Z281" s="54" t="s">
        <v>1983</v>
      </c>
      <c r="AA281" s="54"/>
      <c r="AB281" s="54" t="s">
        <v>581</v>
      </c>
      <c r="AC281" s="56" t="b">
        <v>1</v>
      </c>
      <c r="AD281" s="56" t="b">
        <v>0</v>
      </c>
      <c r="AE281" s="54" t="s">
        <v>302</v>
      </c>
      <c r="AF281" s="58">
        <v>46308</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4.7759999999999997E-2</v>
      </c>
      <c r="BC281" s="60">
        <v>4.0599999999999996</v>
      </c>
      <c r="BD281" s="61">
        <v>6.8672999999999998E-2</v>
      </c>
      <c r="BE281" s="62" t="s">
        <v>293</v>
      </c>
      <c r="BF281" s="35">
        <f t="shared" ref="BF281:BG282" si="696">IF($E281=$E$4,BF$4,IF($E281=$E$5,BF$5,""))</f>
        <v>4.0600000000000005</v>
      </c>
      <c r="BG281" s="35">
        <f t="shared" si="696"/>
        <v>6.8672999999999998E-2</v>
      </c>
      <c r="BH281" s="35" t="str">
        <f t="shared" ref="BH281:BH282" si="697">IF(ISTEXT(BE281),IF(AND(AV281=0,SUM(AN281:AQ281)=0),IF(AM281&lt;=0,IF(BE281="Y","Low","Flat"),"Med"),"High"),"?")</f>
        <v>Low</v>
      </c>
      <c r="BI281" s="110">
        <f t="shared" ref="BI281:BI282" si="698">IF(ISNUMBER(AH281),0*BI$5*SIN((EDATE($A$3,$Q281)-DATE(YEAR(EDATE($A$3,$Q281)),1,0)-BI$4)*2*PI()/365),"")</f>
        <v>0</v>
      </c>
      <c r="BJ281" s="83">
        <f>VLOOKUP($F281,REP_Info!$D$6:$H$250,5,FALSE)</f>
        <v>1.5649999999999999</v>
      </c>
      <c r="BK281" s="30">
        <f t="shared" ref="BK281:BN282" si="699">IF(BK$7&gt;0,(LOOKUP(BK$7,$AH281:$AL281,$AM281:$AQ281)+IF($AG281="Y",SUMPRODUCT($AX281:$BB281-$AW281:$BA281,BK$7-$AR281:$AV281,N(BK$7&gt;$AR281:$AV281)),BK$7*LOOKUP(BK$7,$AR281:$AV281,$AX281:$BB281))+IF($BE281="Y",$BF281,$BC281)+BK$7*IF($BE281="Y",$BG281,$BD281))*100/BK$7,"")</f>
        <v>11.455299999999999</v>
      </c>
      <c r="BL281" s="30">
        <f t="shared" si="699"/>
        <v>11.549299999999999</v>
      </c>
      <c r="BM281" s="30">
        <f t="shared" si="699"/>
        <v>11.596299999999999</v>
      </c>
      <c r="BN281" s="29">
        <f t="shared" si="699"/>
        <v>11.611966666666667</v>
      </c>
      <c r="BO281" s="85" t="str">
        <f t="shared" si="2"/>
        <v>$$$</v>
      </c>
      <c r="BP281" s="88" t="str">
        <f t="shared" ref="BP281:BP282" si="700">IFERROR(BO281*100/BO$5,"$$$")</f>
        <v>$$$</v>
      </c>
      <c r="BQ281" s="88" t="str">
        <f t="shared" si="4"/>
        <v>$$$</v>
      </c>
      <c r="BR281" s="88" t="str">
        <f t="shared" si="5"/>
        <v>$$$</v>
      </c>
      <c r="BS281" s="29" t="e">
        <f t="shared" ref="BS281:CD282" si="701">IF($CI281,IF(BS$7&gt;0,IF(BS$4&gt;$Q281,$BF281+BS$7*(BS$5+$BG281+$BI281),LOOKUP(BS$7,$AH281:$AL281,$AM281:$AQ281)+IF($AG281="Y",SUMPRODUCT($AX281:$BB281-$AW281:$BA281,BS$7-$AR281:$AV281,N(BS$7&gt;$AR281:$AV281)),BS$7*LOOKUP(BS$7,$AR281:$AV281,$AX281:$BB281))+IF($BE281="Y",$BF281,$BC281)+BS$7*IF($BE281="Y",$BG281,$BD281))*100/BS$7,""),NA())</f>
        <v>#N/A</v>
      </c>
      <c r="BT281" s="29" t="e">
        <f t="shared" si="701"/>
        <v>#N/A</v>
      </c>
      <c r="BU281" s="29" t="e">
        <f t="shared" si="701"/>
        <v>#N/A</v>
      </c>
      <c r="BV281" s="29" t="e">
        <f t="shared" si="701"/>
        <v>#N/A</v>
      </c>
      <c r="BW281" s="29" t="e">
        <f t="shared" si="701"/>
        <v>#N/A</v>
      </c>
      <c r="BX281" s="29" t="e">
        <f t="shared" si="701"/>
        <v>#N/A</v>
      </c>
      <c r="BY281" s="29" t="e">
        <f t="shared" si="701"/>
        <v>#N/A</v>
      </c>
      <c r="BZ281" s="29" t="e">
        <f t="shared" si="701"/>
        <v>#N/A</v>
      </c>
      <c r="CA281" s="29" t="e">
        <f t="shared" si="701"/>
        <v>#N/A</v>
      </c>
      <c r="CB281" s="29" t="e">
        <f t="shared" si="701"/>
        <v>#N/A</v>
      </c>
      <c r="CC281" s="29" t="e">
        <f t="shared" si="701"/>
        <v>#N/A</v>
      </c>
      <c r="CD281" s="29" t="e">
        <f t="shared" si="701"/>
        <v>#N/A</v>
      </c>
      <c r="CE281" s="6" t="str">
        <f t="shared" si="650"/>
        <v/>
      </c>
      <c r="CF281" s="27" t="e">
        <f>IF(AND(CI281,NOT(AD281)),LOOKUP(CF$5,{0,750,1500},H281:J281),"")</f>
        <v>#N/A</v>
      </c>
      <c r="CG281" s="6" t="str">
        <f t="shared" si="651"/>
        <v/>
      </c>
      <c r="CH281" t="e">
        <f t="shared" ref="CH281:CH282" si="702">IF(CI281,IF(ISNUMBER(BO281),BO281,100000)+CV281/10000+IF(ISNUMBER(BJ281),BJ281,2)/10000-P281/100000+ROW()/10000000,"")</f>
        <v>#N/A</v>
      </c>
      <c r="CI281" t="e">
        <f t="shared" ref="CI281:CI282" si="703">PRODUCT(CJ281:CQ281)</f>
        <v>#N/A</v>
      </c>
      <c r="CJ281" s="6" t="e">
        <f t="shared" si="11"/>
        <v>#N/A</v>
      </c>
      <c r="CK281" s="6">
        <f t="shared" si="12"/>
        <v>1</v>
      </c>
      <c r="CL281" s="6">
        <f t="shared" si="26"/>
        <v>1</v>
      </c>
      <c r="CM281" s="6">
        <f t="shared" si="13"/>
        <v>1</v>
      </c>
      <c r="CN281" s="6">
        <f t="shared" si="14"/>
        <v>0</v>
      </c>
      <c r="CO281" s="6">
        <f t="shared" si="15"/>
        <v>1</v>
      </c>
      <c r="CP281" s="6">
        <f t="shared" si="16"/>
        <v>1</v>
      </c>
      <c r="CQ281" s="6">
        <f t="shared" ref="CQ281:CQ282" si="704">IF(CQ$5="Any",1,IF(AND(CQ$5="Med",AV281=0,SUM(AN281:AQ281)=0),1,IF(AND(CQ$5="Low",AV281=0,SUM(AN281:AQ281)=0,AM281=0),1,IF(AND(CQ$5="Flat",AV281=0,SUM(AN281:AQ281)=0,AM281=0,IFERROR(NOT(BE281="Y"),0)),1,0))))</f>
        <v>1</v>
      </c>
      <c r="CR281" s="81" t="str">
        <f t="shared" si="17"/>
        <v/>
      </c>
      <c r="CS281">
        <f t="shared" ref="CS281:CS282" si="705">CS$5*(12/(MIN(12,Q281))-1)</f>
        <v>18</v>
      </c>
      <c r="CT281">
        <f t="shared" si="19"/>
        <v>20</v>
      </c>
      <c r="CU281" t="str">
        <f t="shared" si="29"/>
        <v>rm</v>
      </c>
      <c r="CV281" s="81">
        <f t="shared" ref="CV281:CV282" si="706">CT281*IF(CU281="",1,Q281)</f>
        <v>120</v>
      </c>
      <c r="CW281" s="81">
        <f>(CV281/25)^1.5*(Calculator!$BU$4/10000)*CW$5</f>
        <v>5.4690509254254183</v>
      </c>
      <c r="CX281" t="str">
        <f t="shared" ref="CX281:CX282" si="707">"$"&amp;IF(LEFT(CU281,1)="r",CT281&amp;"/"&amp;CU281,CV281)</f>
        <v>$20/rm</v>
      </c>
    </row>
    <row r="282" spans="2:102" x14ac:dyDescent="0.25">
      <c r="B282" s="115" t="s">
        <v>233</v>
      </c>
      <c r="C282" s="13">
        <v>46315.436805555553</v>
      </c>
      <c r="D282">
        <v>35166</v>
      </c>
      <c r="E282" s="54" t="s">
        <v>237</v>
      </c>
      <c r="F282" s="54" t="s">
        <v>585</v>
      </c>
      <c r="G282" s="54" t="s">
        <v>1840</v>
      </c>
      <c r="H282" s="55">
        <v>12.9</v>
      </c>
      <c r="I282" s="55">
        <v>12.5</v>
      </c>
      <c r="J282" s="55">
        <v>12.3</v>
      </c>
      <c r="K282" s="54"/>
      <c r="L282" s="56" t="b">
        <v>0</v>
      </c>
      <c r="M282" s="56" t="b">
        <v>0</v>
      </c>
      <c r="N282" s="54">
        <v>1</v>
      </c>
      <c r="O282" s="54" t="s">
        <v>228</v>
      </c>
      <c r="P282" s="54">
        <v>23</v>
      </c>
      <c r="Q282" s="54">
        <v>5</v>
      </c>
      <c r="R282" s="54">
        <v>175</v>
      </c>
      <c r="S282" s="54" t="s">
        <v>586</v>
      </c>
      <c r="T282" s="54" t="s">
        <v>1841</v>
      </c>
      <c r="U282" s="54" t="s">
        <v>588</v>
      </c>
      <c r="V282" s="54" t="s">
        <v>2096</v>
      </c>
      <c r="W282" s="54" t="b">
        <v>0</v>
      </c>
      <c r="X282" s="54"/>
      <c r="Y282" s="57" t="s">
        <v>1926</v>
      </c>
      <c r="Z282" s="54" t="s">
        <v>586</v>
      </c>
      <c r="AA282" s="54"/>
      <c r="AB282" s="54" t="s">
        <v>589</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5.2699999999999997E-2</v>
      </c>
      <c r="BC282" s="60"/>
      <c r="BD282" s="61"/>
      <c r="BE282" s="62" t="s">
        <v>293</v>
      </c>
      <c r="BF282" s="35">
        <f t="shared" si="696"/>
        <v>4.0600000000000005</v>
      </c>
      <c r="BG282" s="35">
        <f t="shared" si="696"/>
        <v>6.8672999999999998E-2</v>
      </c>
      <c r="BH282" s="35" t="str">
        <f t="shared" si="697"/>
        <v>Low</v>
      </c>
      <c r="BI282" s="110">
        <f t="shared" si="698"/>
        <v>0</v>
      </c>
      <c r="BJ282" s="83" t="str">
        <f>VLOOKUP($F282,REP_Info!$D$6:$H$250,5,FALSE)</f>
        <v/>
      </c>
      <c r="BK282" s="30">
        <f t="shared" si="699"/>
        <v>12.949299999999999</v>
      </c>
      <c r="BL282" s="30">
        <f t="shared" si="699"/>
        <v>12.543299999999999</v>
      </c>
      <c r="BM282" s="30">
        <f t="shared" si="699"/>
        <v>12.340299999999999</v>
      </c>
      <c r="BN282" s="29">
        <f t="shared" si="699"/>
        <v>12.272633333333332</v>
      </c>
      <c r="BO282" s="85" t="str">
        <f t="shared" si="2"/>
        <v>$$$</v>
      </c>
      <c r="BP282" s="88" t="str">
        <f t="shared" si="700"/>
        <v>$$$</v>
      </c>
      <c r="BQ282" s="88" t="str">
        <f t="shared" si="4"/>
        <v>$$$</v>
      </c>
      <c r="BR282" s="88" t="str">
        <f t="shared" si="5"/>
        <v>$$$</v>
      </c>
      <c r="BS282" s="29" t="e">
        <f t="shared" si="701"/>
        <v>#N/A</v>
      </c>
      <c r="BT282" s="29" t="e">
        <f t="shared" si="701"/>
        <v>#N/A</v>
      </c>
      <c r="BU282" s="29" t="e">
        <f t="shared" si="701"/>
        <v>#N/A</v>
      </c>
      <c r="BV282" s="29" t="e">
        <f t="shared" si="701"/>
        <v>#N/A</v>
      </c>
      <c r="BW282" s="29" t="e">
        <f t="shared" si="701"/>
        <v>#N/A</v>
      </c>
      <c r="BX282" s="29" t="e">
        <f t="shared" si="701"/>
        <v>#N/A</v>
      </c>
      <c r="BY282" s="29" t="e">
        <f t="shared" si="701"/>
        <v>#N/A</v>
      </c>
      <c r="BZ282" s="29" t="e">
        <f t="shared" si="701"/>
        <v>#N/A</v>
      </c>
      <c r="CA282" s="29" t="e">
        <f t="shared" si="701"/>
        <v>#N/A</v>
      </c>
      <c r="CB282" s="29" t="e">
        <f t="shared" si="701"/>
        <v>#N/A</v>
      </c>
      <c r="CC282" s="29" t="e">
        <f t="shared" si="701"/>
        <v>#N/A</v>
      </c>
      <c r="CD282" s="29" t="e">
        <f t="shared" si="701"/>
        <v>#N/A</v>
      </c>
      <c r="CE282" s="6" t="str">
        <f t="shared" si="650"/>
        <v/>
      </c>
      <c r="CF282" s="27" t="e">
        <f>IF(AND(CI282,NOT(AD282)),LOOKUP(CF$5,{0,750,1500},H282:J282),"")</f>
        <v>#N/A</v>
      </c>
      <c r="CG282" s="6" t="str">
        <f t="shared" si="651"/>
        <v/>
      </c>
      <c r="CH282" t="e">
        <f t="shared" si="702"/>
        <v>#N/A</v>
      </c>
      <c r="CI282" t="e">
        <f t="shared" si="703"/>
        <v>#N/A</v>
      </c>
      <c r="CJ282" s="6" t="e">
        <f t="shared" si="11"/>
        <v>#N/A</v>
      </c>
      <c r="CK282" s="6">
        <f t="shared" si="12"/>
        <v>1</v>
      </c>
      <c r="CL282" s="6">
        <f t="shared" si="26"/>
        <v>1</v>
      </c>
      <c r="CM282" s="6">
        <f t="shared" si="13"/>
        <v>1</v>
      </c>
      <c r="CN282" s="6">
        <f t="shared" si="14"/>
        <v>0</v>
      </c>
      <c r="CO282" s="6">
        <f t="shared" si="15"/>
        <v>1</v>
      </c>
      <c r="CP282" s="6">
        <f t="shared" si="16"/>
        <v>1</v>
      </c>
      <c r="CQ282" s="6">
        <f t="shared" si="704"/>
        <v>1</v>
      </c>
      <c r="CR282" s="81" t="str">
        <f t="shared" si="17"/>
        <v/>
      </c>
      <c r="CS282">
        <f t="shared" si="705"/>
        <v>25.2</v>
      </c>
      <c r="CT282">
        <f t="shared" si="19"/>
        <v>175</v>
      </c>
      <c r="CU282" t="str">
        <f t="shared" si="29"/>
        <v/>
      </c>
      <c r="CV282" s="81">
        <f t="shared" si="706"/>
        <v>175</v>
      </c>
      <c r="CW282" s="81">
        <f>(CV282/25)^1.5*(Calculator!$BU$4/10000)*CW$5</f>
        <v>9.6315719067890644</v>
      </c>
      <c r="CX282" t="str">
        <f t="shared" si="707"/>
        <v>$175</v>
      </c>
    </row>
    <row r="283" spans="2:102" x14ac:dyDescent="0.25">
      <c r="B283" s="115" t="s">
        <v>233</v>
      </c>
      <c r="C283" s="13">
        <v>46315.436805555553</v>
      </c>
      <c r="D283">
        <v>35168</v>
      </c>
      <c r="E283" s="54" t="s">
        <v>237</v>
      </c>
      <c r="F283" s="54" t="s">
        <v>585</v>
      </c>
      <c r="G283" s="54" t="s">
        <v>1842</v>
      </c>
      <c r="H283" s="55">
        <v>13.100000000000001</v>
      </c>
      <c r="I283" s="55">
        <v>12.7</v>
      </c>
      <c r="J283" s="55">
        <v>12.5</v>
      </c>
      <c r="K283" s="54"/>
      <c r="L283" s="56" t="b">
        <v>0</v>
      </c>
      <c r="M283" s="56" t="b">
        <v>0</v>
      </c>
      <c r="N283" s="54">
        <v>1</v>
      </c>
      <c r="O283" s="54" t="s">
        <v>228</v>
      </c>
      <c r="P283" s="54">
        <v>23</v>
      </c>
      <c r="Q283" s="54">
        <v>10</v>
      </c>
      <c r="R283" s="54">
        <v>175</v>
      </c>
      <c r="S283" s="54" t="s">
        <v>586</v>
      </c>
      <c r="T283" s="54" t="s">
        <v>1843</v>
      </c>
      <c r="U283" s="54" t="s">
        <v>588</v>
      </c>
      <c r="V283" s="54" t="s">
        <v>2096</v>
      </c>
      <c r="W283" s="54" t="b">
        <v>0</v>
      </c>
      <c r="X283" s="54"/>
      <c r="Y283" s="57" t="s">
        <v>1927</v>
      </c>
      <c r="Z283" s="54" t="s">
        <v>586</v>
      </c>
      <c r="AA283" s="54"/>
      <c r="AB283" s="54" t="s">
        <v>589</v>
      </c>
      <c r="AC283" s="56" t="b">
        <v>1</v>
      </c>
      <c r="AD283" s="56" t="b">
        <v>0</v>
      </c>
      <c r="AE283" s="54" t="s">
        <v>302</v>
      </c>
      <c r="AF283" s="58">
        <v>46299</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5.4699999999999999E-2</v>
      </c>
      <c r="BC283" s="60"/>
      <c r="BD283" s="61"/>
      <c r="BE283" s="62" t="s">
        <v>293</v>
      </c>
      <c r="BF283" s="35">
        <f t="shared" ref="BF283:BG290" si="708">IF($E283=$E$4,BF$4,IF($E283=$E$5,BF$5,""))</f>
        <v>4.0600000000000005</v>
      </c>
      <c r="BG283" s="35">
        <f t="shared" si="708"/>
        <v>6.8672999999999998E-2</v>
      </c>
      <c r="BH283" s="35" t="str">
        <f t="shared" ref="BH283:BH290" si="709">IF(ISTEXT(BE283),IF(AND(AV283=0,SUM(AN283:AQ283)=0),IF(AM283&lt;=0,IF(BE283="Y","Low","Flat"),"Med"),"High"),"?")</f>
        <v>Low</v>
      </c>
      <c r="BI283" s="110">
        <f t="shared" ref="BI283:BI290" si="710">IF(ISNUMBER(AH283),0*BI$5*SIN((EDATE($A$3,$Q283)-DATE(YEAR(EDATE($A$3,$Q283)),1,0)-BI$4)*2*PI()/365),"")</f>
        <v>0</v>
      </c>
      <c r="BJ283" s="83" t="str">
        <f>VLOOKUP($F283,REP_Info!$D$6:$H$250,5,FALSE)</f>
        <v/>
      </c>
      <c r="BK283" s="30">
        <f t="shared" ref="BK283:BN290" si="711">IF(BK$7&gt;0,(LOOKUP(BK$7,$AH283:$AL283,$AM283:$AQ283)+IF($AG283="Y",SUMPRODUCT($AX283:$BB283-$AW283:$BA283,BK$7-$AR283:$AV283,N(BK$7&gt;$AR283:$AV283)),BK$7*LOOKUP(BK$7,$AR283:$AV283,$AX283:$BB283))+IF($BE283="Y",$BF283,$BC283)+BK$7*IF($BE283="Y",$BG283,$BD283))*100/BK$7,"")</f>
        <v>13.149299999999998</v>
      </c>
      <c r="BL283" s="30">
        <f t="shared" si="711"/>
        <v>12.7433</v>
      </c>
      <c r="BM283" s="30">
        <f t="shared" si="711"/>
        <v>12.540299999999998</v>
      </c>
      <c r="BN283" s="29">
        <f t="shared" si="711"/>
        <v>12.472633333333331</v>
      </c>
      <c r="BO283" s="85" t="str">
        <f t="shared" si="2"/>
        <v>$$$</v>
      </c>
      <c r="BP283" s="88" t="str">
        <f t="shared" ref="BP283:BP290" si="712">IFERROR(BO283*100/BO$5,"$$$")</f>
        <v>$$$</v>
      </c>
      <c r="BQ283" s="88" t="str">
        <f t="shared" si="4"/>
        <v>$$$</v>
      </c>
      <c r="BR283" s="88" t="str">
        <f t="shared" si="5"/>
        <v>$$$</v>
      </c>
      <c r="BS283" s="29" t="e">
        <f t="shared" ref="BS283:CD290" si="713">IF($CI283,IF(BS$7&gt;0,IF(BS$4&gt;$Q283,$BF283+BS$7*(BS$5+$BG283+$BI283),LOOKUP(BS$7,$AH283:$AL283,$AM283:$AQ283)+IF($AG283="Y",SUMPRODUCT($AX283:$BB283-$AW283:$BA283,BS$7-$AR283:$AV283,N(BS$7&gt;$AR283:$AV283)),BS$7*LOOKUP(BS$7,$AR283:$AV283,$AX283:$BB283))+IF($BE283="Y",$BF283,$BC283)+BS$7*IF($BE283="Y",$BG283,$BD283))*100/BS$7,""),NA())</f>
        <v>#N/A</v>
      </c>
      <c r="BT283" s="29" t="e">
        <f t="shared" si="713"/>
        <v>#N/A</v>
      </c>
      <c r="BU283" s="29" t="e">
        <f t="shared" si="713"/>
        <v>#N/A</v>
      </c>
      <c r="BV283" s="29" t="e">
        <f t="shared" si="713"/>
        <v>#N/A</v>
      </c>
      <c r="BW283" s="29" t="e">
        <f t="shared" si="713"/>
        <v>#N/A</v>
      </c>
      <c r="BX283" s="29" t="e">
        <f t="shared" si="713"/>
        <v>#N/A</v>
      </c>
      <c r="BY283" s="29" t="e">
        <f t="shared" si="713"/>
        <v>#N/A</v>
      </c>
      <c r="BZ283" s="29" t="e">
        <f t="shared" si="713"/>
        <v>#N/A</v>
      </c>
      <c r="CA283" s="29" t="e">
        <f t="shared" si="713"/>
        <v>#N/A</v>
      </c>
      <c r="CB283" s="29" t="e">
        <f t="shared" si="713"/>
        <v>#N/A</v>
      </c>
      <c r="CC283" s="29" t="e">
        <f t="shared" si="713"/>
        <v>#N/A</v>
      </c>
      <c r="CD283" s="29" t="e">
        <f t="shared" si="713"/>
        <v>#N/A</v>
      </c>
      <c r="CE283" s="6" t="str">
        <f t="shared" si="650"/>
        <v/>
      </c>
      <c r="CF283" s="27" t="e">
        <f>IF(AND(CI283,NOT(AD283)),LOOKUP(CF$5,{0,750,1500},H283:J283),"")</f>
        <v>#N/A</v>
      </c>
      <c r="CG283" s="6" t="str">
        <f t="shared" si="651"/>
        <v/>
      </c>
      <c r="CH283" t="e">
        <f t="shared" ref="CH283:CH290" si="714">IF(CI283,IF(ISNUMBER(BO283),BO283,100000)+CV283/10000+IF(ISNUMBER(BJ283),BJ283,2)/10000-P283/100000+ROW()/10000000,"")</f>
        <v>#N/A</v>
      </c>
      <c r="CI283" t="e">
        <f t="shared" ref="CI283:CI290" si="715">PRODUCT(CJ283:CQ283)</f>
        <v>#N/A</v>
      </c>
      <c r="CJ283" s="6" t="e">
        <f t="shared" si="11"/>
        <v>#N/A</v>
      </c>
      <c r="CK283" s="6">
        <f t="shared" si="12"/>
        <v>1</v>
      </c>
      <c r="CL283" s="6">
        <f t="shared" si="26"/>
        <v>1</v>
      </c>
      <c r="CM283" s="6">
        <f t="shared" si="13"/>
        <v>1</v>
      </c>
      <c r="CN283" s="6">
        <f t="shared" si="14"/>
        <v>0</v>
      </c>
      <c r="CO283" s="6">
        <f t="shared" si="15"/>
        <v>1</v>
      </c>
      <c r="CP283" s="6">
        <f t="shared" si="16"/>
        <v>1</v>
      </c>
      <c r="CQ283" s="6">
        <f t="shared" ref="CQ283:CQ290" si="716">IF(CQ$5="Any",1,IF(AND(CQ$5="Med",AV283=0,SUM(AN283:AQ283)=0),1,IF(AND(CQ$5="Low",AV283=0,SUM(AN283:AQ283)=0,AM283=0),1,IF(AND(CQ$5="Flat",AV283=0,SUM(AN283:AQ283)=0,AM283=0,IFERROR(NOT(BE283="Y"),0)),1,0))))</f>
        <v>1</v>
      </c>
      <c r="CR283" s="81" t="str">
        <f t="shared" si="17"/>
        <v/>
      </c>
      <c r="CS283">
        <f t="shared" ref="CS283:CS290" si="717">CS$5*(12/(MIN(12,Q283))-1)</f>
        <v>3.5999999999999992</v>
      </c>
      <c r="CT283">
        <f t="shared" si="19"/>
        <v>175</v>
      </c>
      <c r="CU283" t="str">
        <f t="shared" si="29"/>
        <v/>
      </c>
      <c r="CV283" s="81">
        <f t="shared" ref="CV283:CV290" si="718">CT283*IF(CU283="",1,Q283)</f>
        <v>175</v>
      </c>
      <c r="CW283" s="81">
        <f>(CV283/25)^1.5*(Calculator!$BU$4/10000)*CW$5</f>
        <v>9.6315719067890644</v>
      </c>
      <c r="CX283" t="str">
        <f t="shared" ref="CX283:CX290" si="719">"$"&amp;IF(LEFT(CU283,1)="r",CT283&amp;"/"&amp;CU283,CV283)</f>
        <v>$175</v>
      </c>
    </row>
    <row r="284" spans="2:102" x14ac:dyDescent="0.25">
      <c r="B284" s="115" t="s">
        <v>233</v>
      </c>
      <c r="C284" s="13">
        <v>46315.436805555553</v>
      </c>
      <c r="D284">
        <v>35185</v>
      </c>
      <c r="E284" s="54" t="s">
        <v>235</v>
      </c>
      <c r="F284" s="54" t="s">
        <v>585</v>
      </c>
      <c r="G284" s="54" t="s">
        <v>1840</v>
      </c>
      <c r="H284" s="55">
        <v>12.6</v>
      </c>
      <c r="I284" s="55">
        <v>12.1</v>
      </c>
      <c r="J284" s="55">
        <v>11.799999999999999</v>
      </c>
      <c r="K284" s="54"/>
      <c r="L284" s="56" t="b">
        <v>0</v>
      </c>
      <c r="M284" s="56" t="b">
        <v>0</v>
      </c>
      <c r="N284" s="54">
        <v>1</v>
      </c>
      <c r="O284" s="54" t="s">
        <v>228</v>
      </c>
      <c r="P284" s="54">
        <v>23</v>
      </c>
      <c r="Q284" s="54">
        <v>5</v>
      </c>
      <c r="R284" s="54">
        <v>175</v>
      </c>
      <c r="S284" s="54" t="s">
        <v>586</v>
      </c>
      <c r="T284" s="54" t="s">
        <v>1841</v>
      </c>
      <c r="U284" s="54" t="s">
        <v>588</v>
      </c>
      <c r="V284" s="54" t="s">
        <v>2096</v>
      </c>
      <c r="W284" s="54" t="b">
        <v>0</v>
      </c>
      <c r="X284" s="54"/>
      <c r="Y284" s="57" t="s">
        <v>1844</v>
      </c>
      <c r="Z284" s="54" t="s">
        <v>586</v>
      </c>
      <c r="AA284" s="54"/>
      <c r="AB284" s="54" t="s">
        <v>589</v>
      </c>
      <c r="AC284" s="56" t="b">
        <v>1</v>
      </c>
      <c r="AD284" s="56" t="b">
        <v>0</v>
      </c>
      <c r="AE284" s="54" t="s">
        <v>302</v>
      </c>
      <c r="AF284" s="58">
        <v>46295</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5.0700000000000002E-2</v>
      </c>
      <c r="BC284" s="60"/>
      <c r="BD284" s="61"/>
      <c r="BE284" s="62" t="s">
        <v>293</v>
      </c>
      <c r="BF284" s="35">
        <f t="shared" si="708"/>
        <v>4.9000000000000004</v>
      </c>
      <c r="BG284" s="35">
        <f t="shared" si="708"/>
        <v>6.5333000000000002E-2</v>
      </c>
      <c r="BH284" s="35" t="str">
        <f t="shared" si="709"/>
        <v>Low</v>
      </c>
      <c r="BI284" s="110">
        <f t="shared" si="710"/>
        <v>0</v>
      </c>
      <c r="BJ284" s="83" t="str">
        <f>VLOOKUP($F284,REP_Info!$D$6:$H$250,5,FALSE)</f>
        <v/>
      </c>
      <c r="BK284" s="30">
        <f t="shared" si="711"/>
        <v>12.583299999999999</v>
      </c>
      <c r="BL284" s="30">
        <f t="shared" si="711"/>
        <v>12.093299999999999</v>
      </c>
      <c r="BM284" s="30">
        <f t="shared" si="711"/>
        <v>11.848300000000002</v>
      </c>
      <c r="BN284" s="29">
        <f t="shared" si="711"/>
        <v>11.766633333333333</v>
      </c>
      <c r="BO284" s="85" t="str">
        <f t="shared" si="2"/>
        <v>$$$</v>
      </c>
      <c r="BP284" s="88" t="str">
        <f t="shared" si="712"/>
        <v>$$$</v>
      </c>
      <c r="BQ284" s="88" t="str">
        <f t="shared" si="4"/>
        <v>$$$</v>
      </c>
      <c r="BR284" s="88" t="str">
        <f t="shared" si="5"/>
        <v>$$$</v>
      </c>
      <c r="BS284" s="29" t="e">
        <f t="shared" si="713"/>
        <v>#N/A</v>
      </c>
      <c r="BT284" s="29" t="e">
        <f t="shared" si="713"/>
        <v>#N/A</v>
      </c>
      <c r="BU284" s="29" t="e">
        <f t="shared" si="713"/>
        <v>#N/A</v>
      </c>
      <c r="BV284" s="29" t="e">
        <f t="shared" si="713"/>
        <v>#N/A</v>
      </c>
      <c r="BW284" s="29" t="e">
        <f t="shared" si="713"/>
        <v>#N/A</v>
      </c>
      <c r="BX284" s="29" t="e">
        <f t="shared" si="713"/>
        <v>#N/A</v>
      </c>
      <c r="BY284" s="29" t="e">
        <f t="shared" si="713"/>
        <v>#N/A</v>
      </c>
      <c r="BZ284" s="29" t="e">
        <f t="shared" si="713"/>
        <v>#N/A</v>
      </c>
      <c r="CA284" s="29" t="e">
        <f t="shared" si="713"/>
        <v>#N/A</v>
      </c>
      <c r="CB284" s="29" t="e">
        <f t="shared" si="713"/>
        <v>#N/A</v>
      </c>
      <c r="CC284" s="29" t="e">
        <f t="shared" si="713"/>
        <v>#N/A</v>
      </c>
      <c r="CD284" s="29" t="e">
        <f t="shared" si="713"/>
        <v>#N/A</v>
      </c>
      <c r="CE284" s="6" t="str">
        <f t="shared" si="650"/>
        <v/>
      </c>
      <c r="CF284" s="27" t="e">
        <f>IF(AND(CI284,NOT(AD284)),LOOKUP(CF$5,{0,750,1500},H284:J284),"")</f>
        <v>#N/A</v>
      </c>
      <c r="CG284" s="6" t="str">
        <f t="shared" si="651"/>
        <v/>
      </c>
      <c r="CH284" t="e">
        <f t="shared" si="714"/>
        <v>#N/A</v>
      </c>
      <c r="CI284" t="e">
        <f t="shared" si="715"/>
        <v>#N/A</v>
      </c>
      <c r="CJ284" s="6" t="e">
        <f t="shared" si="11"/>
        <v>#N/A</v>
      </c>
      <c r="CK284" s="6">
        <f t="shared" si="12"/>
        <v>1</v>
      </c>
      <c r="CL284" s="6">
        <f t="shared" si="26"/>
        <v>1</v>
      </c>
      <c r="CM284" s="6">
        <f t="shared" si="13"/>
        <v>1</v>
      </c>
      <c r="CN284" s="6">
        <f t="shared" si="14"/>
        <v>0</v>
      </c>
      <c r="CO284" s="6">
        <f t="shared" si="15"/>
        <v>1</v>
      </c>
      <c r="CP284" s="6">
        <f t="shared" si="16"/>
        <v>1</v>
      </c>
      <c r="CQ284" s="6">
        <f t="shared" si="716"/>
        <v>1</v>
      </c>
      <c r="CR284" s="81" t="str">
        <f t="shared" si="17"/>
        <v/>
      </c>
      <c r="CS284">
        <f t="shared" si="717"/>
        <v>25.2</v>
      </c>
      <c r="CT284">
        <f t="shared" si="19"/>
        <v>175</v>
      </c>
      <c r="CU284" t="str">
        <f t="shared" si="29"/>
        <v/>
      </c>
      <c r="CV284" s="81">
        <f t="shared" si="718"/>
        <v>175</v>
      </c>
      <c r="CW284" s="81">
        <f>(CV284/25)^1.5*(Calculator!$BU$4/10000)*CW$5</f>
        <v>9.6315719067890644</v>
      </c>
      <c r="CX284" t="str">
        <f t="shared" si="719"/>
        <v>$175</v>
      </c>
    </row>
    <row r="285" spans="2:102" x14ac:dyDescent="0.25">
      <c r="B285" s="115" t="s">
        <v>233</v>
      </c>
      <c r="C285" s="13">
        <v>46315.436805555553</v>
      </c>
      <c r="D285">
        <v>35186</v>
      </c>
      <c r="E285" s="54" t="s">
        <v>235</v>
      </c>
      <c r="F285" s="54" t="s">
        <v>585</v>
      </c>
      <c r="G285" s="54" t="s">
        <v>1842</v>
      </c>
      <c r="H285" s="55">
        <v>13</v>
      </c>
      <c r="I285" s="55">
        <v>12.5</v>
      </c>
      <c r="J285" s="55">
        <v>12.2</v>
      </c>
      <c r="K285" s="54"/>
      <c r="L285" s="56" t="b">
        <v>0</v>
      </c>
      <c r="M285" s="56" t="b">
        <v>0</v>
      </c>
      <c r="N285" s="54">
        <v>1</v>
      </c>
      <c r="O285" s="54" t="s">
        <v>228</v>
      </c>
      <c r="P285" s="54">
        <v>23</v>
      </c>
      <c r="Q285" s="54">
        <v>10</v>
      </c>
      <c r="R285" s="54">
        <v>175</v>
      </c>
      <c r="S285" s="54" t="s">
        <v>586</v>
      </c>
      <c r="T285" s="54" t="s">
        <v>1843</v>
      </c>
      <c r="U285" s="54" t="s">
        <v>588</v>
      </c>
      <c r="V285" s="54" t="s">
        <v>2096</v>
      </c>
      <c r="W285" s="54" t="b">
        <v>0</v>
      </c>
      <c r="X285" s="54"/>
      <c r="Y285" s="57" t="s">
        <v>1845</v>
      </c>
      <c r="Z285" s="54" t="s">
        <v>586</v>
      </c>
      <c r="AA285" s="54"/>
      <c r="AB285" s="54" t="s">
        <v>589</v>
      </c>
      <c r="AC285" s="56" t="b">
        <v>1</v>
      </c>
      <c r="AD285" s="56" t="b">
        <v>0</v>
      </c>
      <c r="AE285" s="54" t="s">
        <v>302</v>
      </c>
      <c r="AF285" s="58">
        <v>46295</v>
      </c>
      <c r="AG285" s="62" t="s">
        <v>293</v>
      </c>
      <c r="AH285" s="54">
        <v>0</v>
      </c>
      <c r="AI285" s="54"/>
      <c r="AJ285" s="54"/>
      <c r="AK285" s="54"/>
      <c r="AL285" s="54"/>
      <c r="AM285" s="54">
        <v>0</v>
      </c>
      <c r="AN285" s="54"/>
      <c r="AO285" s="54"/>
      <c r="AP285" s="54"/>
      <c r="AQ285" s="54"/>
      <c r="AR285" s="54"/>
      <c r="AS285" s="54"/>
      <c r="AT285" s="54"/>
      <c r="AU285" s="54"/>
      <c r="AV285" s="54"/>
      <c r="AW285" s="54"/>
      <c r="AX285" s="59"/>
      <c r="AY285" s="59"/>
      <c r="AZ285" s="59"/>
      <c r="BA285" s="59"/>
      <c r="BB285" s="59">
        <v>5.4699999999999999E-2</v>
      </c>
      <c r="BC285" s="60"/>
      <c r="BD285" s="61"/>
      <c r="BE285" s="62" t="s">
        <v>293</v>
      </c>
      <c r="BF285" s="35">
        <f t="shared" si="708"/>
        <v>4.9000000000000004</v>
      </c>
      <c r="BG285" s="35">
        <f t="shared" si="708"/>
        <v>6.5333000000000002E-2</v>
      </c>
      <c r="BH285" s="35" t="str">
        <f t="shared" si="709"/>
        <v>Low</v>
      </c>
      <c r="BI285" s="110">
        <f t="shared" si="710"/>
        <v>0</v>
      </c>
      <c r="BJ285" s="83" t="str">
        <f>VLOOKUP($F285,REP_Info!$D$6:$H$250,5,FALSE)</f>
        <v/>
      </c>
      <c r="BK285" s="30">
        <f t="shared" si="711"/>
        <v>12.9833</v>
      </c>
      <c r="BL285" s="30">
        <f t="shared" si="711"/>
        <v>12.4933</v>
      </c>
      <c r="BM285" s="30">
        <f t="shared" si="711"/>
        <v>12.2483</v>
      </c>
      <c r="BN285" s="29">
        <f t="shared" si="711"/>
        <v>12.166633333333333</v>
      </c>
      <c r="BO285" s="85" t="str">
        <f t="shared" si="2"/>
        <v>$$$</v>
      </c>
      <c r="BP285" s="88" t="str">
        <f t="shared" si="712"/>
        <v>$$$</v>
      </c>
      <c r="BQ285" s="88" t="str">
        <f t="shared" si="4"/>
        <v>$$$</v>
      </c>
      <c r="BR285" s="88" t="str">
        <f t="shared" si="5"/>
        <v>$$$</v>
      </c>
      <c r="BS285" s="29" t="e">
        <f t="shared" si="713"/>
        <v>#N/A</v>
      </c>
      <c r="BT285" s="29" t="e">
        <f t="shared" si="713"/>
        <v>#N/A</v>
      </c>
      <c r="BU285" s="29" t="e">
        <f t="shared" si="713"/>
        <v>#N/A</v>
      </c>
      <c r="BV285" s="29" t="e">
        <f t="shared" si="713"/>
        <v>#N/A</v>
      </c>
      <c r="BW285" s="29" t="e">
        <f t="shared" si="713"/>
        <v>#N/A</v>
      </c>
      <c r="BX285" s="29" t="e">
        <f t="shared" si="713"/>
        <v>#N/A</v>
      </c>
      <c r="BY285" s="29" t="e">
        <f t="shared" si="713"/>
        <v>#N/A</v>
      </c>
      <c r="BZ285" s="29" t="e">
        <f t="shared" si="713"/>
        <v>#N/A</v>
      </c>
      <c r="CA285" s="29" t="e">
        <f t="shared" si="713"/>
        <v>#N/A</v>
      </c>
      <c r="CB285" s="29" t="e">
        <f t="shared" si="713"/>
        <v>#N/A</v>
      </c>
      <c r="CC285" s="29" t="e">
        <f t="shared" si="713"/>
        <v>#N/A</v>
      </c>
      <c r="CD285" s="29" t="e">
        <f t="shared" si="713"/>
        <v>#N/A</v>
      </c>
      <c r="CE285" s="6" t="str">
        <f t="shared" si="650"/>
        <v/>
      </c>
      <c r="CF285" s="27" t="e">
        <f>IF(AND(CI285,NOT(AD285)),LOOKUP(CF$5,{0,750,1500},H285:J285),"")</f>
        <v>#N/A</v>
      </c>
      <c r="CG285" s="6" t="str">
        <f t="shared" si="651"/>
        <v/>
      </c>
      <c r="CH285" t="e">
        <f t="shared" si="714"/>
        <v>#N/A</v>
      </c>
      <c r="CI285" t="e">
        <f t="shared" si="715"/>
        <v>#N/A</v>
      </c>
      <c r="CJ285" s="6" t="e">
        <f t="shared" si="11"/>
        <v>#N/A</v>
      </c>
      <c r="CK285" s="6">
        <f t="shared" si="12"/>
        <v>1</v>
      </c>
      <c r="CL285" s="6">
        <f t="shared" si="26"/>
        <v>1</v>
      </c>
      <c r="CM285" s="6">
        <f t="shared" si="13"/>
        <v>1</v>
      </c>
      <c r="CN285" s="6">
        <f t="shared" si="14"/>
        <v>0</v>
      </c>
      <c r="CO285" s="6">
        <f t="shared" si="15"/>
        <v>1</v>
      </c>
      <c r="CP285" s="6">
        <f t="shared" si="16"/>
        <v>1</v>
      </c>
      <c r="CQ285" s="6">
        <f t="shared" si="716"/>
        <v>1</v>
      </c>
      <c r="CR285" s="81" t="str">
        <f t="shared" si="17"/>
        <v/>
      </c>
      <c r="CS285">
        <f t="shared" si="717"/>
        <v>3.5999999999999992</v>
      </c>
      <c r="CT285">
        <f t="shared" si="19"/>
        <v>175</v>
      </c>
      <c r="CU285" t="str">
        <f t="shared" si="29"/>
        <v/>
      </c>
      <c r="CV285" s="81">
        <f t="shared" si="718"/>
        <v>175</v>
      </c>
      <c r="CW285" s="81">
        <f>(CV285/25)^1.5*(Calculator!$BU$4/10000)*CW$5</f>
        <v>9.6315719067890644</v>
      </c>
      <c r="CX285" t="str">
        <f t="shared" si="719"/>
        <v>$175</v>
      </c>
    </row>
    <row r="286" spans="2:102" x14ac:dyDescent="0.25">
      <c r="B286" s="115" t="s">
        <v>233</v>
      </c>
      <c r="C286" s="13">
        <v>46315.436805555553</v>
      </c>
      <c r="D286">
        <v>36284</v>
      </c>
      <c r="E286" s="54" t="s">
        <v>235</v>
      </c>
      <c r="F286" s="54" t="s">
        <v>585</v>
      </c>
      <c r="G286" s="54" t="s">
        <v>1846</v>
      </c>
      <c r="H286" s="55">
        <v>13.3</v>
      </c>
      <c r="I286" s="55">
        <v>12.8</v>
      </c>
      <c r="J286" s="55">
        <v>12.5</v>
      </c>
      <c r="K286" s="54"/>
      <c r="L286" s="56" t="b">
        <v>0</v>
      </c>
      <c r="M286" s="56" t="b">
        <v>0</v>
      </c>
      <c r="N286" s="54">
        <v>1</v>
      </c>
      <c r="O286" s="54" t="s">
        <v>228</v>
      </c>
      <c r="P286" s="54">
        <v>23</v>
      </c>
      <c r="Q286" s="54">
        <v>12</v>
      </c>
      <c r="R286" s="54">
        <v>175</v>
      </c>
      <c r="S286" s="54" t="s">
        <v>586</v>
      </c>
      <c r="T286" s="54" t="s">
        <v>587</v>
      </c>
      <c r="U286" s="54" t="s">
        <v>588</v>
      </c>
      <c r="V286" s="54" t="s">
        <v>2096</v>
      </c>
      <c r="W286" s="54" t="b">
        <v>0</v>
      </c>
      <c r="X286" s="54"/>
      <c r="Y286" s="57" t="s">
        <v>1847</v>
      </c>
      <c r="Z286" s="54" t="s">
        <v>586</v>
      </c>
      <c r="AA286" s="54"/>
      <c r="AB286" s="54" t="s">
        <v>589</v>
      </c>
      <c r="AC286" s="56" t="b">
        <v>1</v>
      </c>
      <c r="AD286" s="56" t="b">
        <v>0</v>
      </c>
      <c r="AE286" s="54" t="s">
        <v>302</v>
      </c>
      <c r="AF286" s="58">
        <v>46295</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5.7700000000000001E-2</v>
      </c>
      <c r="BC286" s="60"/>
      <c r="BD286" s="61"/>
      <c r="BE286" s="62" t="s">
        <v>293</v>
      </c>
      <c r="BF286" s="35">
        <f t="shared" si="708"/>
        <v>4.9000000000000004</v>
      </c>
      <c r="BG286" s="35">
        <f t="shared" si="708"/>
        <v>6.5333000000000002E-2</v>
      </c>
      <c r="BH286" s="35" t="str">
        <f t="shared" si="709"/>
        <v>Low</v>
      </c>
      <c r="BI286" s="110">
        <f t="shared" si="710"/>
        <v>0</v>
      </c>
      <c r="BJ286" s="83" t="str">
        <f>VLOOKUP($F286,REP_Info!$D$6:$H$250,5,FALSE)</f>
        <v/>
      </c>
      <c r="BK286" s="30">
        <f t="shared" si="711"/>
        <v>13.283299999999999</v>
      </c>
      <c r="BL286" s="30">
        <f t="shared" si="711"/>
        <v>12.793299999999999</v>
      </c>
      <c r="BM286" s="30">
        <f t="shared" si="711"/>
        <v>12.548300000000001</v>
      </c>
      <c r="BN286" s="29">
        <f t="shared" si="711"/>
        <v>12.466633333333334</v>
      </c>
      <c r="BO286" s="85" t="str">
        <f t="shared" si="2"/>
        <v>$$$</v>
      </c>
      <c r="BP286" s="88" t="str">
        <f t="shared" si="712"/>
        <v>$$$</v>
      </c>
      <c r="BQ286" s="88" t="str">
        <f t="shared" si="4"/>
        <v>$$$</v>
      </c>
      <c r="BR286" s="88" t="str">
        <f t="shared" si="5"/>
        <v>$$$</v>
      </c>
      <c r="BS286" s="29" t="e">
        <f t="shared" si="713"/>
        <v>#N/A</v>
      </c>
      <c r="BT286" s="29" t="e">
        <f t="shared" si="713"/>
        <v>#N/A</v>
      </c>
      <c r="BU286" s="29" t="e">
        <f t="shared" si="713"/>
        <v>#N/A</v>
      </c>
      <c r="BV286" s="29" t="e">
        <f t="shared" si="713"/>
        <v>#N/A</v>
      </c>
      <c r="BW286" s="29" t="e">
        <f t="shared" si="713"/>
        <v>#N/A</v>
      </c>
      <c r="BX286" s="29" t="e">
        <f t="shared" si="713"/>
        <v>#N/A</v>
      </c>
      <c r="BY286" s="29" t="e">
        <f t="shared" si="713"/>
        <v>#N/A</v>
      </c>
      <c r="BZ286" s="29" t="e">
        <f t="shared" si="713"/>
        <v>#N/A</v>
      </c>
      <c r="CA286" s="29" t="e">
        <f t="shared" si="713"/>
        <v>#N/A</v>
      </c>
      <c r="CB286" s="29" t="e">
        <f t="shared" si="713"/>
        <v>#N/A</v>
      </c>
      <c r="CC286" s="29" t="e">
        <f t="shared" si="713"/>
        <v>#N/A</v>
      </c>
      <c r="CD286" s="29" t="e">
        <f t="shared" si="713"/>
        <v>#N/A</v>
      </c>
      <c r="CE286" s="6" t="str">
        <f t="shared" si="650"/>
        <v/>
      </c>
      <c r="CF286" s="27" t="e">
        <f>IF(AND(CI286,NOT(AD286)),LOOKUP(CF$5,{0,750,1500},H286:J286),"")</f>
        <v>#N/A</v>
      </c>
      <c r="CG286" s="6" t="str">
        <f t="shared" si="651"/>
        <v/>
      </c>
      <c r="CH286" t="e">
        <f t="shared" si="714"/>
        <v>#N/A</v>
      </c>
      <c r="CI286" t="e">
        <f t="shared" si="715"/>
        <v>#N/A</v>
      </c>
      <c r="CJ286" s="6" t="e">
        <f t="shared" si="11"/>
        <v>#N/A</v>
      </c>
      <c r="CK286" s="6">
        <f t="shared" si="12"/>
        <v>1</v>
      </c>
      <c r="CL286" s="6">
        <f t="shared" si="26"/>
        <v>1</v>
      </c>
      <c r="CM286" s="6">
        <f t="shared" si="13"/>
        <v>1</v>
      </c>
      <c r="CN286" s="6">
        <f t="shared" si="14"/>
        <v>1</v>
      </c>
      <c r="CO286" s="6">
        <f t="shared" si="15"/>
        <v>1</v>
      </c>
      <c r="CP286" s="6">
        <f t="shared" si="16"/>
        <v>1</v>
      </c>
      <c r="CQ286" s="6">
        <f t="shared" si="716"/>
        <v>1</v>
      </c>
      <c r="CR286" s="81" t="str">
        <f t="shared" si="17"/>
        <v/>
      </c>
      <c r="CS286">
        <f t="shared" si="717"/>
        <v>0</v>
      </c>
      <c r="CT286">
        <f t="shared" si="19"/>
        <v>175</v>
      </c>
      <c r="CU286" t="str">
        <f t="shared" si="29"/>
        <v/>
      </c>
      <c r="CV286" s="81">
        <f t="shared" si="718"/>
        <v>175</v>
      </c>
      <c r="CW286" s="81">
        <f>(CV286/25)^1.5*(Calculator!$BU$4/10000)*CW$5</f>
        <v>9.6315719067890644</v>
      </c>
      <c r="CX286" t="str">
        <f t="shared" si="719"/>
        <v>$175</v>
      </c>
    </row>
    <row r="287" spans="2:102" x14ac:dyDescent="0.25">
      <c r="B287" s="115" t="s">
        <v>233</v>
      </c>
      <c r="C287" s="13">
        <v>46315.436805555553</v>
      </c>
      <c r="D287">
        <v>36285</v>
      </c>
      <c r="E287" s="54" t="s">
        <v>237</v>
      </c>
      <c r="F287" s="54" t="s">
        <v>585</v>
      </c>
      <c r="G287" s="54" t="s">
        <v>1846</v>
      </c>
      <c r="H287" s="55">
        <v>13.5</v>
      </c>
      <c r="I287" s="55">
        <v>13.100000000000001</v>
      </c>
      <c r="J287" s="55">
        <v>12.9</v>
      </c>
      <c r="K287" s="54"/>
      <c r="L287" s="56" t="b">
        <v>0</v>
      </c>
      <c r="M287" s="56" t="b">
        <v>0</v>
      </c>
      <c r="N287" s="54">
        <v>1</v>
      </c>
      <c r="O287" s="54" t="s">
        <v>228</v>
      </c>
      <c r="P287" s="54">
        <v>23</v>
      </c>
      <c r="Q287" s="54">
        <v>12</v>
      </c>
      <c r="R287" s="54">
        <v>175</v>
      </c>
      <c r="S287" s="54" t="s">
        <v>586</v>
      </c>
      <c r="T287" s="54" t="s">
        <v>1848</v>
      </c>
      <c r="U287" s="54" t="s">
        <v>588</v>
      </c>
      <c r="V287" s="54" t="s">
        <v>2096</v>
      </c>
      <c r="W287" s="54" t="b">
        <v>0</v>
      </c>
      <c r="X287" s="54"/>
      <c r="Y287" s="57" t="s">
        <v>1928</v>
      </c>
      <c r="Z287" s="54" t="s">
        <v>586</v>
      </c>
      <c r="AA287" s="54"/>
      <c r="AB287" s="54" t="s">
        <v>589</v>
      </c>
      <c r="AC287" s="56" t="b">
        <v>1</v>
      </c>
      <c r="AD287" s="56" t="b">
        <v>0</v>
      </c>
      <c r="AE287" s="54" t="s">
        <v>302</v>
      </c>
      <c r="AF287" s="58">
        <v>46299</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5.8700000000000002E-2</v>
      </c>
      <c r="BC287" s="60"/>
      <c r="BD287" s="61"/>
      <c r="BE287" s="62" t="s">
        <v>293</v>
      </c>
      <c r="BF287" s="35">
        <f t="shared" si="708"/>
        <v>4.0600000000000005</v>
      </c>
      <c r="BG287" s="35">
        <f t="shared" si="708"/>
        <v>6.8672999999999998E-2</v>
      </c>
      <c r="BH287" s="35" t="str">
        <f t="shared" si="709"/>
        <v>Low</v>
      </c>
      <c r="BI287" s="110">
        <f t="shared" si="710"/>
        <v>0</v>
      </c>
      <c r="BJ287" s="83" t="str">
        <f>VLOOKUP($F287,REP_Info!$D$6:$H$250,5,FALSE)</f>
        <v/>
      </c>
      <c r="BK287" s="30">
        <f t="shared" si="711"/>
        <v>13.549299999999999</v>
      </c>
      <c r="BL287" s="30">
        <f t="shared" si="711"/>
        <v>13.1433</v>
      </c>
      <c r="BM287" s="30">
        <f t="shared" si="711"/>
        <v>12.940300000000002</v>
      </c>
      <c r="BN287" s="29">
        <f t="shared" si="711"/>
        <v>12.872633333333331</v>
      </c>
      <c r="BO287" s="85" t="str">
        <f t="shared" ref="BO287:BO290" si="720">IFERROR(SUMPRODUCT($BS$7:$CD$7,$BS287:$CD287)/100,"$$$")</f>
        <v>$$$</v>
      </c>
      <c r="BP287" s="88" t="str">
        <f t="shared" si="712"/>
        <v>$$$</v>
      </c>
      <c r="BQ287" s="88" t="str">
        <f t="shared" ref="BQ287:BQ290" si="721">IFERROR(SUMPRODUCT($BS$7:$CD$7,$BS287:$CD287,--($BS$4:$CD$4&lt;=$Q287))/SUMPRODUCT(--($BS$4:$CD$4&lt;=$Q287),$BS$7:$CD$7),"$$$")</f>
        <v>$$$</v>
      </c>
      <c r="BR287" s="88" t="str">
        <f t="shared" ref="BR287:BR290" si="722">IFERROR($BQ287-$BF287*100*SUMPRODUCT(--($BS$4:$CD$4&lt;=$Q287))/SUMPRODUCT(--($BS$4:$CD$4&lt;=$Q287),$BS$7:$CD$7)-$BG287*100,"$$$")</f>
        <v>$$$</v>
      </c>
      <c r="BS287" s="29" t="e">
        <f t="shared" si="713"/>
        <v>#N/A</v>
      </c>
      <c r="BT287" s="29" t="e">
        <f t="shared" si="713"/>
        <v>#N/A</v>
      </c>
      <c r="BU287" s="29" t="e">
        <f t="shared" si="713"/>
        <v>#N/A</v>
      </c>
      <c r="BV287" s="29" t="e">
        <f t="shared" si="713"/>
        <v>#N/A</v>
      </c>
      <c r="BW287" s="29" t="e">
        <f t="shared" si="713"/>
        <v>#N/A</v>
      </c>
      <c r="BX287" s="29" t="e">
        <f t="shared" si="713"/>
        <v>#N/A</v>
      </c>
      <c r="BY287" s="29" t="e">
        <f t="shared" si="713"/>
        <v>#N/A</v>
      </c>
      <c r="BZ287" s="29" t="e">
        <f t="shared" si="713"/>
        <v>#N/A</v>
      </c>
      <c r="CA287" s="29" t="e">
        <f t="shared" si="713"/>
        <v>#N/A</v>
      </c>
      <c r="CB287" s="29" t="e">
        <f t="shared" si="713"/>
        <v>#N/A</v>
      </c>
      <c r="CC287" s="29" t="e">
        <f t="shared" si="713"/>
        <v>#N/A</v>
      </c>
      <c r="CD287" s="29" t="e">
        <f t="shared" si="713"/>
        <v>#N/A</v>
      </c>
      <c r="CE287" s="6" t="str">
        <f t="shared" si="650"/>
        <v/>
      </c>
      <c r="CF287" s="27" t="e">
        <f>IF(AND(CI287,NOT(AD287)),LOOKUP(CF$5,{0,750,1500},H287:J287),"")</f>
        <v>#N/A</v>
      </c>
      <c r="CG287" s="6" t="str">
        <f t="shared" si="651"/>
        <v/>
      </c>
      <c r="CH287" t="e">
        <f t="shared" si="714"/>
        <v>#N/A</v>
      </c>
      <c r="CI287" t="e">
        <f t="shared" si="715"/>
        <v>#N/A</v>
      </c>
      <c r="CJ287" s="6" t="e">
        <f t="shared" ref="CJ287:CJ290" si="723">IF($E287=CJ$5,1,0)</f>
        <v>#N/A</v>
      </c>
      <c r="CK287" s="6">
        <f t="shared" ref="CK287:CK290" si="724">IF(CK$5="[Any]",1,IF($F287=CK$5,1,0))</f>
        <v>1</v>
      </c>
      <c r="CL287" s="6">
        <f t="shared" si="26"/>
        <v>1</v>
      </c>
      <c r="CM287" s="6">
        <f t="shared" ref="CM287:CM290" si="725">IF($O287="Fixed",1,0)</f>
        <v>1</v>
      </c>
      <c r="CN287" s="6">
        <f t="shared" ref="CN287:CN290" si="726">IF($Q287&gt;=CN$5,1,0)</f>
        <v>1</v>
      </c>
      <c r="CO287" s="6">
        <f t="shared" ref="CO287:CO290" si="727">IF($Q287&lt;=CO$5,1,0)</f>
        <v>1</v>
      </c>
      <c r="CP287" s="6">
        <f t="shared" ref="CP287:CP290" si="728">IF($P287&gt;=CP$5,1,0)</f>
        <v>1</v>
      </c>
      <c r="CQ287" s="6">
        <f t="shared" si="716"/>
        <v>1</v>
      </c>
      <c r="CR287" s="81" t="str">
        <f t="shared" ref="CR287:CR290" si="729">IF(ISNUMBER($CH287),$CH287+$CS287+$CW287,"")</f>
        <v/>
      </c>
      <c r="CS287">
        <f t="shared" si="717"/>
        <v>0</v>
      </c>
      <c r="CT287">
        <f t="shared" si="19"/>
        <v>175</v>
      </c>
      <c r="CU287" t="str">
        <f t="shared" si="29"/>
        <v/>
      </c>
      <c r="CV287" s="81">
        <f t="shared" si="718"/>
        <v>175</v>
      </c>
      <c r="CW287" s="81">
        <f>(CV287/25)^1.5*(Calculator!$BU$4/10000)*CW$5</f>
        <v>9.6315719067890644</v>
      </c>
      <c r="CX287" t="str">
        <f t="shared" si="719"/>
        <v>$175</v>
      </c>
    </row>
    <row r="288" spans="2:102" x14ac:dyDescent="0.25">
      <c r="B288" s="115" t="s">
        <v>233</v>
      </c>
      <c r="C288" s="13">
        <v>46315.436805555553</v>
      </c>
      <c r="D288">
        <v>37174</v>
      </c>
      <c r="E288" s="54" t="s">
        <v>237</v>
      </c>
      <c r="F288" s="54" t="s">
        <v>585</v>
      </c>
      <c r="G288" s="54" t="s">
        <v>1849</v>
      </c>
      <c r="H288" s="55">
        <v>13.900000000000002</v>
      </c>
      <c r="I288" s="55">
        <v>13.5</v>
      </c>
      <c r="J288" s="55">
        <v>13.3</v>
      </c>
      <c r="K288" s="54"/>
      <c r="L288" s="56" t="b">
        <v>0</v>
      </c>
      <c r="M288" s="56" t="b">
        <v>0</v>
      </c>
      <c r="N288" s="54">
        <v>1</v>
      </c>
      <c r="O288" s="54" t="s">
        <v>228</v>
      </c>
      <c r="P288" s="54">
        <v>23</v>
      </c>
      <c r="Q288" s="54">
        <v>23</v>
      </c>
      <c r="R288" s="54">
        <v>175</v>
      </c>
      <c r="S288" s="54" t="s">
        <v>586</v>
      </c>
      <c r="T288" s="54" t="s">
        <v>1850</v>
      </c>
      <c r="U288" s="54" t="s">
        <v>588</v>
      </c>
      <c r="V288" s="54" t="s">
        <v>2096</v>
      </c>
      <c r="W288" s="54" t="b">
        <v>0</v>
      </c>
      <c r="X288" s="54"/>
      <c r="Y288" s="57" t="s">
        <v>1929</v>
      </c>
      <c r="Z288" s="54" t="s">
        <v>586</v>
      </c>
      <c r="AA288" s="54"/>
      <c r="AB288" s="54" t="s">
        <v>589</v>
      </c>
      <c r="AC288" s="56" t="b">
        <v>1</v>
      </c>
      <c r="AD288" s="56" t="b">
        <v>0</v>
      </c>
      <c r="AE288" s="54" t="s">
        <v>302</v>
      </c>
      <c r="AF288" s="58">
        <v>46299</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6.1899999999999997E-2</v>
      </c>
      <c r="BC288" s="60"/>
      <c r="BD288" s="61"/>
      <c r="BE288" s="62" t="s">
        <v>293</v>
      </c>
      <c r="BF288" s="35">
        <f t="shared" si="708"/>
        <v>4.0600000000000005</v>
      </c>
      <c r="BG288" s="35">
        <f t="shared" si="708"/>
        <v>6.8672999999999998E-2</v>
      </c>
      <c r="BH288" s="35" t="str">
        <f t="shared" si="709"/>
        <v>Low</v>
      </c>
      <c r="BI288" s="110">
        <f t="shared" si="710"/>
        <v>0</v>
      </c>
      <c r="BJ288" s="83" t="str">
        <f>VLOOKUP($F288,REP_Info!$D$6:$H$250,5,FALSE)</f>
        <v/>
      </c>
      <c r="BK288" s="30">
        <f t="shared" si="711"/>
        <v>13.869299999999999</v>
      </c>
      <c r="BL288" s="30">
        <f t="shared" si="711"/>
        <v>13.463299999999997</v>
      </c>
      <c r="BM288" s="30">
        <f t="shared" si="711"/>
        <v>13.260300000000001</v>
      </c>
      <c r="BN288" s="29">
        <f t="shared" si="711"/>
        <v>13.192633333333333</v>
      </c>
      <c r="BO288" s="85" t="str">
        <f t="shared" si="720"/>
        <v>$$$</v>
      </c>
      <c r="BP288" s="88" t="str">
        <f t="shared" si="712"/>
        <v>$$$</v>
      </c>
      <c r="BQ288" s="88" t="str">
        <f t="shared" si="721"/>
        <v>$$$</v>
      </c>
      <c r="BR288" s="88" t="str">
        <f t="shared" si="722"/>
        <v>$$$</v>
      </c>
      <c r="BS288" s="29" t="e">
        <f t="shared" si="713"/>
        <v>#N/A</v>
      </c>
      <c r="BT288" s="29" t="e">
        <f t="shared" si="713"/>
        <v>#N/A</v>
      </c>
      <c r="BU288" s="29" t="e">
        <f t="shared" si="713"/>
        <v>#N/A</v>
      </c>
      <c r="BV288" s="29" t="e">
        <f t="shared" si="713"/>
        <v>#N/A</v>
      </c>
      <c r="BW288" s="29" t="e">
        <f t="shared" si="713"/>
        <v>#N/A</v>
      </c>
      <c r="BX288" s="29" t="e">
        <f t="shared" si="713"/>
        <v>#N/A</v>
      </c>
      <c r="BY288" s="29" t="e">
        <f t="shared" si="713"/>
        <v>#N/A</v>
      </c>
      <c r="BZ288" s="29" t="e">
        <f t="shared" si="713"/>
        <v>#N/A</v>
      </c>
      <c r="CA288" s="29" t="e">
        <f t="shared" si="713"/>
        <v>#N/A</v>
      </c>
      <c r="CB288" s="29" t="e">
        <f t="shared" si="713"/>
        <v>#N/A</v>
      </c>
      <c r="CC288" s="29" t="e">
        <f t="shared" si="713"/>
        <v>#N/A</v>
      </c>
      <c r="CD288" s="29" t="e">
        <f t="shared" si="713"/>
        <v>#N/A</v>
      </c>
      <c r="CE288" s="6" t="str">
        <f t="shared" si="650"/>
        <v/>
      </c>
      <c r="CF288" s="27" t="e">
        <f>IF(AND(CI288,NOT(AD288)),LOOKUP(CF$5,{0,750,1500},H288:J288),"")</f>
        <v>#N/A</v>
      </c>
      <c r="CG288" s="6" t="str">
        <f t="shared" si="651"/>
        <v/>
      </c>
      <c r="CH288" t="e">
        <f t="shared" si="714"/>
        <v>#N/A</v>
      </c>
      <c r="CI288" t="e">
        <f t="shared" si="715"/>
        <v>#N/A</v>
      </c>
      <c r="CJ288" s="6" t="e">
        <f t="shared" si="723"/>
        <v>#N/A</v>
      </c>
      <c r="CK288" s="6">
        <f t="shared" si="724"/>
        <v>1</v>
      </c>
      <c r="CL288" s="6">
        <f t="shared" si="26"/>
        <v>1</v>
      </c>
      <c r="CM288" s="6">
        <f t="shared" si="725"/>
        <v>1</v>
      </c>
      <c r="CN288" s="6">
        <f t="shared" si="726"/>
        <v>1</v>
      </c>
      <c r="CO288" s="6">
        <f t="shared" si="727"/>
        <v>0</v>
      </c>
      <c r="CP288" s="6">
        <f t="shared" si="728"/>
        <v>1</v>
      </c>
      <c r="CQ288" s="6">
        <f t="shared" si="716"/>
        <v>1</v>
      </c>
      <c r="CR288" s="81" t="str">
        <f t="shared" si="729"/>
        <v/>
      </c>
      <c r="CS288">
        <f t="shared" si="717"/>
        <v>0</v>
      </c>
      <c r="CT288">
        <f t="shared" si="19"/>
        <v>175</v>
      </c>
      <c r="CU288" t="str">
        <f t="shared" si="29"/>
        <v/>
      </c>
      <c r="CV288" s="81">
        <f t="shared" si="718"/>
        <v>175</v>
      </c>
      <c r="CW288" s="81">
        <f>(CV288/25)^1.5*(Calculator!$BU$4/10000)*CW$5</f>
        <v>9.6315719067890644</v>
      </c>
      <c r="CX288" t="str">
        <f t="shared" si="719"/>
        <v>$175</v>
      </c>
    </row>
    <row r="289" spans="2:102" x14ac:dyDescent="0.25">
      <c r="B289" s="115" t="s">
        <v>233</v>
      </c>
      <c r="C289" s="13">
        <v>46315.436805555553</v>
      </c>
      <c r="D289">
        <v>37177</v>
      </c>
      <c r="E289" s="54" t="s">
        <v>235</v>
      </c>
      <c r="F289" s="54" t="s">
        <v>585</v>
      </c>
      <c r="G289" s="54" t="s">
        <v>1849</v>
      </c>
      <c r="H289" s="55">
        <v>13.600000000000001</v>
      </c>
      <c r="I289" s="55">
        <v>13.100000000000001</v>
      </c>
      <c r="J289" s="55">
        <v>12.8</v>
      </c>
      <c r="K289" s="54"/>
      <c r="L289" s="56" t="b">
        <v>0</v>
      </c>
      <c r="M289" s="56" t="b">
        <v>0</v>
      </c>
      <c r="N289" s="54">
        <v>1</v>
      </c>
      <c r="O289" s="54" t="s">
        <v>228</v>
      </c>
      <c r="P289" s="54">
        <v>23</v>
      </c>
      <c r="Q289" s="54">
        <v>23</v>
      </c>
      <c r="R289" s="54">
        <v>175</v>
      </c>
      <c r="S289" s="54" t="s">
        <v>586</v>
      </c>
      <c r="T289" s="54" t="s">
        <v>1850</v>
      </c>
      <c r="U289" s="54" t="s">
        <v>588</v>
      </c>
      <c r="V289" s="54" t="s">
        <v>2096</v>
      </c>
      <c r="W289" s="54" t="b">
        <v>0</v>
      </c>
      <c r="X289" s="54"/>
      <c r="Y289" s="57" t="s">
        <v>1851</v>
      </c>
      <c r="Z289" s="54" t="s">
        <v>586</v>
      </c>
      <c r="AA289" s="54"/>
      <c r="AB289" s="54" t="s">
        <v>589</v>
      </c>
      <c r="AC289" s="56" t="b">
        <v>1</v>
      </c>
      <c r="AD289" s="56" t="b">
        <v>0</v>
      </c>
      <c r="AE289" s="54" t="s">
        <v>302</v>
      </c>
      <c r="AF289" s="58">
        <v>46295</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6.0699999999999997E-2</v>
      </c>
      <c r="BC289" s="60"/>
      <c r="BD289" s="61"/>
      <c r="BE289" s="62" t="s">
        <v>293</v>
      </c>
      <c r="BF289" s="35">
        <f t="shared" si="708"/>
        <v>4.9000000000000004</v>
      </c>
      <c r="BG289" s="35">
        <f t="shared" si="708"/>
        <v>6.5333000000000002E-2</v>
      </c>
      <c r="BH289" s="35" t="str">
        <f t="shared" si="709"/>
        <v>Low</v>
      </c>
      <c r="BI289" s="110">
        <f t="shared" si="710"/>
        <v>0</v>
      </c>
      <c r="BJ289" s="83" t="str">
        <f>VLOOKUP($F289,REP_Info!$D$6:$H$250,5,FALSE)</f>
        <v/>
      </c>
      <c r="BK289" s="30">
        <f t="shared" si="711"/>
        <v>13.583299999999999</v>
      </c>
      <c r="BL289" s="30">
        <f t="shared" si="711"/>
        <v>13.093299999999999</v>
      </c>
      <c r="BM289" s="30">
        <f t="shared" si="711"/>
        <v>12.848300000000002</v>
      </c>
      <c r="BN289" s="29">
        <f t="shared" si="711"/>
        <v>12.766633333333333</v>
      </c>
      <c r="BO289" s="85" t="str">
        <f t="shared" si="720"/>
        <v>$$$</v>
      </c>
      <c r="BP289" s="88" t="str">
        <f t="shared" si="712"/>
        <v>$$$</v>
      </c>
      <c r="BQ289" s="88" t="str">
        <f t="shared" si="721"/>
        <v>$$$</v>
      </c>
      <c r="BR289" s="88" t="str">
        <f t="shared" si="722"/>
        <v>$$$</v>
      </c>
      <c r="BS289" s="29" t="e">
        <f t="shared" si="713"/>
        <v>#N/A</v>
      </c>
      <c r="BT289" s="29" t="e">
        <f t="shared" si="713"/>
        <v>#N/A</v>
      </c>
      <c r="BU289" s="29" t="e">
        <f t="shared" si="713"/>
        <v>#N/A</v>
      </c>
      <c r="BV289" s="29" t="e">
        <f t="shared" si="713"/>
        <v>#N/A</v>
      </c>
      <c r="BW289" s="29" t="e">
        <f t="shared" si="713"/>
        <v>#N/A</v>
      </c>
      <c r="BX289" s="29" t="e">
        <f t="shared" si="713"/>
        <v>#N/A</v>
      </c>
      <c r="BY289" s="29" t="e">
        <f t="shared" si="713"/>
        <v>#N/A</v>
      </c>
      <c r="BZ289" s="29" t="e">
        <f t="shared" si="713"/>
        <v>#N/A</v>
      </c>
      <c r="CA289" s="29" t="e">
        <f t="shared" si="713"/>
        <v>#N/A</v>
      </c>
      <c r="CB289" s="29" t="e">
        <f t="shared" si="713"/>
        <v>#N/A</v>
      </c>
      <c r="CC289" s="29" t="e">
        <f t="shared" si="713"/>
        <v>#N/A</v>
      </c>
      <c r="CD289" s="29" t="e">
        <f t="shared" si="713"/>
        <v>#N/A</v>
      </c>
      <c r="CE289" s="6" t="str">
        <f t="shared" si="650"/>
        <v/>
      </c>
      <c r="CF289" s="27" t="e">
        <f>IF(AND(CI289,NOT(AD289)),LOOKUP(CF$5,{0,750,1500},H289:J289),"")</f>
        <v>#N/A</v>
      </c>
      <c r="CG289" s="6" t="str">
        <f t="shared" si="651"/>
        <v/>
      </c>
      <c r="CH289" t="e">
        <f t="shared" si="714"/>
        <v>#N/A</v>
      </c>
      <c r="CI289" t="e">
        <f t="shared" si="715"/>
        <v>#N/A</v>
      </c>
      <c r="CJ289" s="6" t="e">
        <f t="shared" si="723"/>
        <v>#N/A</v>
      </c>
      <c r="CK289" s="6">
        <f t="shared" si="724"/>
        <v>1</v>
      </c>
      <c r="CL289" s="6">
        <f t="shared" si="26"/>
        <v>1</v>
      </c>
      <c r="CM289" s="6">
        <f t="shared" si="725"/>
        <v>1</v>
      </c>
      <c r="CN289" s="6">
        <f t="shared" si="726"/>
        <v>1</v>
      </c>
      <c r="CO289" s="6">
        <f t="shared" si="727"/>
        <v>0</v>
      </c>
      <c r="CP289" s="6">
        <f t="shared" si="728"/>
        <v>1</v>
      </c>
      <c r="CQ289" s="6">
        <f t="shared" si="716"/>
        <v>1</v>
      </c>
      <c r="CR289" s="81" t="str">
        <f t="shared" si="729"/>
        <v/>
      </c>
      <c r="CS289">
        <f t="shared" si="717"/>
        <v>0</v>
      </c>
      <c r="CT289">
        <f t="shared" si="19"/>
        <v>175</v>
      </c>
      <c r="CU289" t="str">
        <f t="shared" si="29"/>
        <v/>
      </c>
      <c r="CV289" s="81">
        <f t="shared" si="718"/>
        <v>175</v>
      </c>
      <c r="CW289" s="81">
        <f>(CV289/25)^1.5*(Calculator!$BU$4/10000)*CW$5</f>
        <v>9.6315719067890644</v>
      </c>
      <c r="CX289" t="str">
        <f t="shared" si="719"/>
        <v>$175</v>
      </c>
    </row>
    <row r="290" spans="2:102" x14ac:dyDescent="0.25">
      <c r="B290" s="115" t="s">
        <v>233</v>
      </c>
      <c r="C290" s="13">
        <v>46318.697916666664</v>
      </c>
      <c r="D290">
        <v>36340</v>
      </c>
      <c r="E290" s="54" t="s">
        <v>235</v>
      </c>
      <c r="F290" s="54" t="s">
        <v>1115</v>
      </c>
      <c r="G290" s="54" t="s">
        <v>1451</v>
      </c>
      <c r="H290" s="55">
        <v>13.8</v>
      </c>
      <c r="I290" s="55">
        <v>12.8</v>
      </c>
      <c r="J290" s="55">
        <v>12.3</v>
      </c>
      <c r="K290" s="54"/>
      <c r="L290" s="56" t="b">
        <v>0</v>
      </c>
      <c r="M290" s="56" t="b">
        <v>0</v>
      </c>
      <c r="N290" s="54">
        <v>1</v>
      </c>
      <c r="O290" s="54" t="s">
        <v>228</v>
      </c>
      <c r="P290" s="54">
        <v>100</v>
      </c>
      <c r="Q290" s="54">
        <v>9</v>
      </c>
      <c r="R290" s="54" t="s">
        <v>1452</v>
      </c>
      <c r="S290" s="54" t="s">
        <v>1454</v>
      </c>
      <c r="T290" s="54" t="s">
        <v>2238</v>
      </c>
      <c r="U290" s="54" t="s">
        <v>1449</v>
      </c>
      <c r="V290" s="54" t="s">
        <v>1453</v>
      </c>
      <c r="W290" s="54" t="b">
        <v>0</v>
      </c>
      <c r="X290" s="54"/>
      <c r="Y290" s="57" t="s">
        <v>2077</v>
      </c>
      <c r="Z290" s="54" t="s">
        <v>1454</v>
      </c>
      <c r="AA290" s="54"/>
      <c r="AB290" s="54" t="s">
        <v>1455</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5.2999999999999999E-2</v>
      </c>
      <c r="BC290" s="60">
        <v>4.9000000000000004</v>
      </c>
      <c r="BD290" s="61">
        <v>6.5333000000000002E-2</v>
      </c>
      <c r="BE290" s="62" t="s">
        <v>293</v>
      </c>
      <c r="BF290" s="35">
        <f t="shared" si="708"/>
        <v>4.9000000000000004</v>
      </c>
      <c r="BG290" s="35">
        <f t="shared" si="708"/>
        <v>6.5333000000000002E-2</v>
      </c>
      <c r="BH290" s="35" t="str">
        <f t="shared" si="709"/>
        <v>Med</v>
      </c>
      <c r="BI290" s="110">
        <f t="shared" si="710"/>
        <v>0</v>
      </c>
      <c r="BJ290" s="83" t="str">
        <f>VLOOKUP($F290,REP_Info!$D$6:$H$250,5,FALSE)</f>
        <v/>
      </c>
      <c r="BK290" s="30">
        <f t="shared" si="711"/>
        <v>13.803300000000002</v>
      </c>
      <c r="BL290" s="30">
        <f t="shared" si="711"/>
        <v>12.818299999999999</v>
      </c>
      <c r="BM290" s="30">
        <f t="shared" si="711"/>
        <v>12.325800000000001</v>
      </c>
      <c r="BN290" s="29">
        <f t="shared" si="711"/>
        <v>12.161633333333334</v>
      </c>
      <c r="BO290" s="85" t="str">
        <f t="shared" si="720"/>
        <v>$$$</v>
      </c>
      <c r="BP290" s="88" t="str">
        <f t="shared" si="712"/>
        <v>$$$</v>
      </c>
      <c r="BQ290" s="88" t="str">
        <f t="shared" si="721"/>
        <v>$$$</v>
      </c>
      <c r="BR290" s="88" t="str">
        <f t="shared" si="722"/>
        <v>$$$</v>
      </c>
      <c r="BS290" s="29" t="e">
        <f t="shared" si="713"/>
        <v>#N/A</v>
      </c>
      <c r="BT290" s="29" t="e">
        <f t="shared" si="713"/>
        <v>#N/A</v>
      </c>
      <c r="BU290" s="29" t="e">
        <f t="shared" si="713"/>
        <v>#N/A</v>
      </c>
      <c r="BV290" s="29" t="e">
        <f t="shared" si="713"/>
        <v>#N/A</v>
      </c>
      <c r="BW290" s="29" t="e">
        <f t="shared" si="713"/>
        <v>#N/A</v>
      </c>
      <c r="BX290" s="29" t="e">
        <f t="shared" si="713"/>
        <v>#N/A</v>
      </c>
      <c r="BY290" s="29" t="e">
        <f t="shared" si="713"/>
        <v>#N/A</v>
      </c>
      <c r="BZ290" s="29" t="e">
        <f t="shared" si="713"/>
        <v>#N/A</v>
      </c>
      <c r="CA290" s="29" t="e">
        <f t="shared" si="713"/>
        <v>#N/A</v>
      </c>
      <c r="CB290" s="29" t="e">
        <f t="shared" si="713"/>
        <v>#N/A</v>
      </c>
      <c r="CC290" s="29" t="e">
        <f t="shared" si="713"/>
        <v>#N/A</v>
      </c>
      <c r="CD290" s="29" t="e">
        <f t="shared" si="713"/>
        <v>#N/A</v>
      </c>
      <c r="CE290" s="6" t="str">
        <f t="shared" si="650"/>
        <v/>
      </c>
      <c r="CF290" s="27" t="e">
        <f>IF(AND(CI290,NOT(AD290)),LOOKUP(CF$5,{0,750,1500},H290:J290),"")</f>
        <v>#N/A</v>
      </c>
      <c r="CG290" s="6" t="str">
        <f t="shared" si="651"/>
        <v/>
      </c>
      <c r="CH290" t="e">
        <f t="shared" si="714"/>
        <v>#N/A</v>
      </c>
      <c r="CI290" t="e">
        <f t="shared" si="715"/>
        <v>#N/A</v>
      </c>
      <c r="CJ290" s="6" t="e">
        <f t="shared" si="723"/>
        <v>#N/A</v>
      </c>
      <c r="CK290" s="6">
        <f t="shared" si="724"/>
        <v>1</v>
      </c>
      <c r="CL290" s="6">
        <f t="shared" si="26"/>
        <v>1</v>
      </c>
      <c r="CM290" s="6">
        <f t="shared" si="725"/>
        <v>1</v>
      </c>
      <c r="CN290" s="6">
        <f t="shared" si="726"/>
        <v>0</v>
      </c>
      <c r="CO290" s="6">
        <f t="shared" si="727"/>
        <v>1</v>
      </c>
      <c r="CP290" s="6">
        <f t="shared" si="728"/>
        <v>1</v>
      </c>
      <c r="CQ290" s="6">
        <f t="shared" si="716"/>
        <v>1</v>
      </c>
      <c r="CR290" s="81" t="str">
        <f t="shared" si="729"/>
        <v/>
      </c>
      <c r="CS290">
        <f t="shared" si="717"/>
        <v>5.9999999999999982</v>
      </c>
      <c r="CT290">
        <f t="shared" si="19"/>
        <v>20</v>
      </c>
      <c r="CU290" t="str">
        <f t="shared" si="29"/>
        <v>rm</v>
      </c>
      <c r="CV290" s="81">
        <f t="shared" si="718"/>
        <v>180</v>
      </c>
      <c r="CW290" s="81">
        <f>(CV290/25)^1.5*(Calculator!$BU$4/10000)*CW$5</f>
        <v>10.047288108441309</v>
      </c>
      <c r="CX290" t="str">
        <f t="shared" si="719"/>
        <v>$20/rm</v>
      </c>
    </row>
    <row r="291" spans="2:102" x14ac:dyDescent="0.25">
      <c r="B291" s="115" t="s">
        <v>233</v>
      </c>
      <c r="C291" s="13">
        <v>46318.697916666664</v>
      </c>
      <c r="D291">
        <v>36341</v>
      </c>
      <c r="E291" s="54" t="s">
        <v>235</v>
      </c>
      <c r="F291" s="54" t="s">
        <v>1115</v>
      </c>
      <c r="G291" s="54" t="s">
        <v>1456</v>
      </c>
      <c r="H291" s="55">
        <v>14.899999999999999</v>
      </c>
      <c r="I291" s="55">
        <v>13.900000000000002</v>
      </c>
      <c r="J291" s="55">
        <v>13.4</v>
      </c>
      <c r="K291" s="54"/>
      <c r="L291" s="56" t="b">
        <v>0</v>
      </c>
      <c r="M291" s="56" t="b">
        <v>0</v>
      </c>
      <c r="N291" s="54">
        <v>1</v>
      </c>
      <c r="O291" s="54" t="s">
        <v>228</v>
      </c>
      <c r="P291" s="54">
        <v>100</v>
      </c>
      <c r="Q291" s="54">
        <v>12</v>
      </c>
      <c r="R291" s="54" t="s">
        <v>1452</v>
      </c>
      <c r="S291" s="54" t="s">
        <v>1454</v>
      </c>
      <c r="T291" s="54" t="s">
        <v>2239</v>
      </c>
      <c r="U291" s="54" t="s">
        <v>1449</v>
      </c>
      <c r="V291" s="54" t="s">
        <v>1453</v>
      </c>
      <c r="W291" s="54" t="b">
        <v>0</v>
      </c>
      <c r="X291" s="54"/>
      <c r="Y291" s="57" t="s">
        <v>2078</v>
      </c>
      <c r="Z291" s="54" t="s">
        <v>1454</v>
      </c>
      <c r="AA291" s="54"/>
      <c r="AB291" s="54" t="s">
        <v>1455</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6.4000000000000001E-2</v>
      </c>
      <c r="BC291" s="60">
        <v>4.9000000000000004</v>
      </c>
      <c r="BD291" s="61">
        <v>6.5329999999999999E-2</v>
      </c>
      <c r="BE291" s="62" t="s">
        <v>293</v>
      </c>
      <c r="BF291" s="35">
        <f t="shared" ref="BF291:BG296" si="730">IF($E291=$E$4,BF$4,IF($E291=$E$5,BF$5,""))</f>
        <v>4.9000000000000004</v>
      </c>
      <c r="BG291" s="35">
        <f t="shared" si="730"/>
        <v>6.5333000000000002E-2</v>
      </c>
      <c r="BH291" s="35" t="str">
        <f t="shared" ref="BH291:BH296" si="731">IF(ISTEXT(BE291),IF(AND(AV291=0,SUM(AN291:AQ291)=0),IF(AM291&lt;=0,IF(BE291="Y","Low","Flat"),"Med"),"High"),"?")</f>
        <v>Med</v>
      </c>
      <c r="BI291" s="110">
        <f t="shared" ref="BI291:BI296" si="732">IF(ISNUMBER(AH291),0*BI$5*SIN((EDATE($A$3,$Q291)-DATE(YEAR(EDATE($A$3,$Q291)),1,0)-BI$4)*2*PI()/365),"")</f>
        <v>0</v>
      </c>
      <c r="BJ291" s="83" t="str">
        <f>VLOOKUP($F291,REP_Info!$D$6:$H$250,5,FALSE)</f>
        <v/>
      </c>
      <c r="BK291" s="30">
        <f t="shared" ref="BK291:BN296" si="733">IF(BK$7&gt;0,(LOOKUP(BK$7,$AH291:$AL291,$AM291:$AQ291)+IF($AG291="Y",SUMPRODUCT($AX291:$BB291-$AW291:$BA291,BK$7-$AR291:$AV291,N(BK$7&gt;$AR291:$AV291)),BK$7*LOOKUP(BK$7,$AR291:$AV291,$AX291:$BB291))+IF($BE291="Y",$BF291,$BC291)+BK$7*IF($BE291="Y",$BG291,$BD291))*100/BK$7,"")</f>
        <v>14.903300000000002</v>
      </c>
      <c r="BL291" s="30">
        <f t="shared" si="733"/>
        <v>13.918299999999999</v>
      </c>
      <c r="BM291" s="30">
        <f t="shared" si="733"/>
        <v>13.425799999999997</v>
      </c>
      <c r="BN291" s="29">
        <f t="shared" si="733"/>
        <v>13.261633333333334</v>
      </c>
      <c r="BO291" s="85" t="str">
        <f t="shared" si="2"/>
        <v>$$$</v>
      </c>
      <c r="BP291" s="88" t="str">
        <f t="shared" ref="BP291:BP296" si="734">IFERROR(BO291*100/BO$5,"$$$")</f>
        <v>$$$</v>
      </c>
      <c r="BQ291" s="88" t="str">
        <f t="shared" si="4"/>
        <v>$$$</v>
      </c>
      <c r="BR291" s="88" t="str">
        <f t="shared" si="5"/>
        <v>$$$</v>
      </c>
      <c r="BS291" s="29" t="e">
        <f t="shared" ref="BS291:CD296" si="735">IF($CI291,IF(BS$7&gt;0,IF(BS$4&gt;$Q291,$BF291+BS$7*(BS$5+$BG291+$BI291),LOOKUP(BS$7,$AH291:$AL291,$AM291:$AQ291)+IF($AG291="Y",SUMPRODUCT($AX291:$BB291-$AW291:$BA291,BS$7-$AR291:$AV291,N(BS$7&gt;$AR291:$AV291)),BS$7*LOOKUP(BS$7,$AR291:$AV291,$AX291:$BB291))+IF($BE291="Y",$BF291,$BC291)+BS$7*IF($BE291="Y",$BG291,$BD291))*100/BS$7,""),NA())</f>
        <v>#N/A</v>
      </c>
      <c r="BT291" s="29" t="e">
        <f t="shared" si="735"/>
        <v>#N/A</v>
      </c>
      <c r="BU291" s="29" t="e">
        <f t="shared" si="735"/>
        <v>#N/A</v>
      </c>
      <c r="BV291" s="29" t="e">
        <f t="shared" si="735"/>
        <v>#N/A</v>
      </c>
      <c r="BW291" s="29" t="e">
        <f t="shared" si="735"/>
        <v>#N/A</v>
      </c>
      <c r="BX291" s="29" t="e">
        <f t="shared" si="735"/>
        <v>#N/A</v>
      </c>
      <c r="BY291" s="29" t="e">
        <f t="shared" si="735"/>
        <v>#N/A</v>
      </c>
      <c r="BZ291" s="29" t="e">
        <f t="shared" si="735"/>
        <v>#N/A</v>
      </c>
      <c r="CA291" s="29" t="e">
        <f t="shared" si="735"/>
        <v>#N/A</v>
      </c>
      <c r="CB291" s="29" t="e">
        <f t="shared" si="735"/>
        <v>#N/A</v>
      </c>
      <c r="CC291" s="29" t="e">
        <f t="shared" si="735"/>
        <v>#N/A</v>
      </c>
      <c r="CD291" s="29" t="e">
        <f t="shared" si="735"/>
        <v>#N/A</v>
      </c>
      <c r="CE291" s="6" t="str">
        <f t="shared" si="650"/>
        <v/>
      </c>
      <c r="CF291" s="27" t="e">
        <f>IF(AND(CI291,NOT(AD291)),LOOKUP(CF$5,{0,750,1500},H291:J291),"")</f>
        <v>#N/A</v>
      </c>
      <c r="CG291" s="6" t="str">
        <f t="shared" si="651"/>
        <v/>
      </c>
      <c r="CH291" t="e">
        <f t="shared" ref="CH291:CH296" si="736">IF(CI291,IF(ISNUMBER(BO291),BO291,100000)+CV291/10000+IF(ISNUMBER(BJ291),BJ291,2)/10000-P291/100000+ROW()/10000000,"")</f>
        <v>#N/A</v>
      </c>
      <c r="CI291" t="e">
        <f t="shared" ref="CI291:CI296" si="737">PRODUCT(CJ291:CQ291)</f>
        <v>#N/A</v>
      </c>
      <c r="CJ291" s="6" t="e">
        <f t="shared" si="11"/>
        <v>#N/A</v>
      </c>
      <c r="CK291" s="6">
        <f t="shared" si="12"/>
        <v>1</v>
      </c>
      <c r="CL291" s="6">
        <f t="shared" si="26"/>
        <v>1</v>
      </c>
      <c r="CM291" s="6">
        <f t="shared" si="13"/>
        <v>1</v>
      </c>
      <c r="CN291" s="6">
        <f t="shared" si="14"/>
        <v>1</v>
      </c>
      <c r="CO291" s="6">
        <f t="shared" si="15"/>
        <v>1</v>
      </c>
      <c r="CP291" s="6">
        <f t="shared" si="16"/>
        <v>1</v>
      </c>
      <c r="CQ291" s="6">
        <f t="shared" ref="CQ291:CQ296" si="738">IF(CQ$5="Any",1,IF(AND(CQ$5="Med",AV291=0,SUM(AN291:AQ291)=0),1,IF(AND(CQ$5="Low",AV291=0,SUM(AN291:AQ291)=0,AM291=0),1,IF(AND(CQ$5="Flat",AV291=0,SUM(AN291:AQ291)=0,AM291=0,IFERROR(NOT(BE291="Y"),0)),1,0))))</f>
        <v>1</v>
      </c>
      <c r="CR291" s="81" t="str">
        <f t="shared" si="17"/>
        <v/>
      </c>
      <c r="CS291">
        <f t="shared" ref="CS291:CS296" si="739">CS$5*(12/(MIN(12,Q291))-1)</f>
        <v>0</v>
      </c>
      <c r="CT291">
        <f t="shared" si="19"/>
        <v>20</v>
      </c>
      <c r="CU291" t="str">
        <f t="shared" si="29"/>
        <v>rm</v>
      </c>
      <c r="CV291" s="81">
        <f t="shared" ref="CV291:CV296" si="740">CT291*IF(CU291="",1,Q291)</f>
        <v>240</v>
      </c>
      <c r="CW291" s="81">
        <f>(CV291/25)^1.5*(Calculator!$BU$4/10000)*CW$5</f>
        <v>15.468811984091507</v>
      </c>
      <c r="CX291" t="str">
        <f t="shared" ref="CX291:CX296" si="741">"$"&amp;IF(LEFT(CU291,1)="r",CT291&amp;"/"&amp;CU291,CV291)</f>
        <v>$20/rm</v>
      </c>
    </row>
    <row r="292" spans="2:102" x14ac:dyDescent="0.25">
      <c r="B292" s="115" t="s">
        <v>233</v>
      </c>
      <c r="C292" s="13">
        <v>46318.697916666664</v>
      </c>
      <c r="D292">
        <v>36342</v>
      </c>
      <c r="E292" s="54" t="s">
        <v>235</v>
      </c>
      <c r="F292" s="54" t="s">
        <v>1115</v>
      </c>
      <c r="G292" s="54" t="s">
        <v>1457</v>
      </c>
      <c r="H292" s="55">
        <v>14.899999999999999</v>
      </c>
      <c r="I292" s="55">
        <v>13.900000000000002</v>
      </c>
      <c r="J292" s="55">
        <v>13.4</v>
      </c>
      <c r="K292" s="54"/>
      <c r="L292" s="56" t="b">
        <v>0</v>
      </c>
      <c r="M292" s="56" t="b">
        <v>0</v>
      </c>
      <c r="N292" s="54">
        <v>1</v>
      </c>
      <c r="O292" s="54" t="s">
        <v>228</v>
      </c>
      <c r="P292" s="54">
        <v>100</v>
      </c>
      <c r="Q292" s="54">
        <v>24</v>
      </c>
      <c r="R292" s="54" t="s">
        <v>1452</v>
      </c>
      <c r="S292" s="54" t="s">
        <v>1454</v>
      </c>
      <c r="T292" s="54" t="s">
        <v>2240</v>
      </c>
      <c r="U292" s="54" t="s">
        <v>1449</v>
      </c>
      <c r="V292" s="54" t="s">
        <v>1453</v>
      </c>
      <c r="W292" s="54" t="b">
        <v>0</v>
      </c>
      <c r="X292" s="54"/>
      <c r="Y292" s="57" t="s">
        <v>2079</v>
      </c>
      <c r="Z292" s="54" t="s">
        <v>1454</v>
      </c>
      <c r="AA292" s="54"/>
      <c r="AB292" s="54" t="s">
        <v>1455</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6.4000000000000001E-2</v>
      </c>
      <c r="BC292" s="60">
        <v>4.9000000000000004</v>
      </c>
      <c r="BD292" s="61">
        <v>6.5333000000000002E-2</v>
      </c>
      <c r="BE292" s="62" t="s">
        <v>293</v>
      </c>
      <c r="BF292" s="35">
        <f t="shared" si="730"/>
        <v>4.9000000000000004</v>
      </c>
      <c r="BG292" s="35">
        <f t="shared" si="730"/>
        <v>6.5333000000000002E-2</v>
      </c>
      <c r="BH292" s="35" t="str">
        <f t="shared" si="731"/>
        <v>Med</v>
      </c>
      <c r="BI292" s="110">
        <f t="shared" si="732"/>
        <v>0</v>
      </c>
      <c r="BJ292" s="83" t="str">
        <f>VLOOKUP($F292,REP_Info!$D$6:$H$250,5,FALSE)</f>
        <v/>
      </c>
      <c r="BK292" s="30">
        <f t="shared" si="733"/>
        <v>14.903300000000002</v>
      </c>
      <c r="BL292" s="30">
        <f t="shared" si="733"/>
        <v>13.918299999999999</v>
      </c>
      <c r="BM292" s="30">
        <f t="shared" si="733"/>
        <v>13.425799999999997</v>
      </c>
      <c r="BN292" s="29">
        <f t="shared" si="733"/>
        <v>13.261633333333334</v>
      </c>
      <c r="BO292" s="85" t="str">
        <f t="shared" si="2"/>
        <v>$$$</v>
      </c>
      <c r="BP292" s="88" t="str">
        <f t="shared" si="734"/>
        <v>$$$</v>
      </c>
      <c r="BQ292" s="88" t="str">
        <f t="shared" si="4"/>
        <v>$$$</v>
      </c>
      <c r="BR292" s="88" t="str">
        <f t="shared" si="5"/>
        <v>$$$</v>
      </c>
      <c r="BS292" s="29" t="e">
        <f t="shared" si="735"/>
        <v>#N/A</v>
      </c>
      <c r="BT292" s="29" t="e">
        <f t="shared" si="735"/>
        <v>#N/A</v>
      </c>
      <c r="BU292" s="29" t="e">
        <f t="shared" si="735"/>
        <v>#N/A</v>
      </c>
      <c r="BV292" s="29" t="e">
        <f t="shared" si="735"/>
        <v>#N/A</v>
      </c>
      <c r="BW292" s="29" t="e">
        <f t="shared" si="735"/>
        <v>#N/A</v>
      </c>
      <c r="BX292" s="29" t="e">
        <f t="shared" si="735"/>
        <v>#N/A</v>
      </c>
      <c r="BY292" s="29" t="e">
        <f t="shared" si="735"/>
        <v>#N/A</v>
      </c>
      <c r="BZ292" s="29" t="e">
        <f t="shared" si="735"/>
        <v>#N/A</v>
      </c>
      <c r="CA292" s="29" t="e">
        <f t="shared" si="735"/>
        <v>#N/A</v>
      </c>
      <c r="CB292" s="29" t="e">
        <f t="shared" si="735"/>
        <v>#N/A</v>
      </c>
      <c r="CC292" s="29" t="e">
        <f t="shared" si="735"/>
        <v>#N/A</v>
      </c>
      <c r="CD292" s="29" t="e">
        <f t="shared" si="735"/>
        <v>#N/A</v>
      </c>
      <c r="CE292" s="6" t="str">
        <f t="shared" si="650"/>
        <v/>
      </c>
      <c r="CF292" s="27" t="e">
        <f>IF(AND(CI292,NOT(AD292)),LOOKUP(CF$5,{0,750,1500},H292:J292),"")</f>
        <v>#N/A</v>
      </c>
      <c r="CG292" s="6" t="str">
        <f t="shared" si="651"/>
        <v/>
      </c>
      <c r="CH292" t="e">
        <f t="shared" si="736"/>
        <v>#N/A</v>
      </c>
      <c r="CI292" t="e">
        <f t="shared" si="737"/>
        <v>#N/A</v>
      </c>
      <c r="CJ292" s="6" t="e">
        <f t="shared" si="11"/>
        <v>#N/A</v>
      </c>
      <c r="CK292" s="6">
        <f t="shared" si="12"/>
        <v>1</v>
      </c>
      <c r="CL292" s="6">
        <f t="shared" si="26"/>
        <v>1</v>
      </c>
      <c r="CM292" s="6">
        <f t="shared" si="13"/>
        <v>1</v>
      </c>
      <c r="CN292" s="6">
        <f t="shared" si="14"/>
        <v>1</v>
      </c>
      <c r="CO292" s="6">
        <f t="shared" si="15"/>
        <v>0</v>
      </c>
      <c r="CP292" s="6">
        <f t="shared" si="16"/>
        <v>1</v>
      </c>
      <c r="CQ292" s="6">
        <f t="shared" si="738"/>
        <v>1</v>
      </c>
      <c r="CR292" s="81" t="str">
        <f t="shared" si="17"/>
        <v/>
      </c>
      <c r="CS292">
        <f t="shared" si="739"/>
        <v>0</v>
      </c>
      <c r="CT292">
        <f t="shared" si="19"/>
        <v>20</v>
      </c>
      <c r="CU292" t="str">
        <f t="shared" si="29"/>
        <v>rm</v>
      </c>
      <c r="CV292" s="81">
        <f t="shared" si="740"/>
        <v>480</v>
      </c>
      <c r="CW292" s="81">
        <f>(CV292/25)^1.5*(Calculator!$BU$4/10000)*CW$5</f>
        <v>43.752407403403353</v>
      </c>
      <c r="CX292" t="str">
        <f t="shared" si="741"/>
        <v>$20/rm</v>
      </c>
    </row>
    <row r="293" spans="2:102" x14ac:dyDescent="0.25">
      <c r="B293" s="115" t="s">
        <v>233</v>
      </c>
      <c r="C293" s="13">
        <v>46318.697916666664</v>
      </c>
      <c r="D293">
        <v>36343</v>
      </c>
      <c r="E293" s="54" t="s">
        <v>237</v>
      </c>
      <c r="F293" s="54" t="s">
        <v>1115</v>
      </c>
      <c r="G293" s="54" t="s">
        <v>1451</v>
      </c>
      <c r="H293" s="55">
        <v>13.900000000000002</v>
      </c>
      <c r="I293" s="55">
        <v>13</v>
      </c>
      <c r="J293" s="55">
        <v>12.5</v>
      </c>
      <c r="K293" s="54"/>
      <c r="L293" s="56" t="b">
        <v>0</v>
      </c>
      <c r="M293" s="56" t="b">
        <v>0</v>
      </c>
      <c r="N293" s="54">
        <v>1</v>
      </c>
      <c r="O293" s="54" t="s">
        <v>228</v>
      </c>
      <c r="P293" s="54">
        <v>100</v>
      </c>
      <c r="Q293" s="54">
        <v>9</v>
      </c>
      <c r="R293" s="54" t="s">
        <v>1452</v>
      </c>
      <c r="S293" s="54" t="s">
        <v>1458</v>
      </c>
      <c r="T293" s="54" t="s">
        <v>2238</v>
      </c>
      <c r="U293" s="54" t="s">
        <v>1449</v>
      </c>
      <c r="V293" s="54" t="s">
        <v>1453</v>
      </c>
      <c r="W293" s="54" t="b">
        <v>0</v>
      </c>
      <c r="X293" s="54"/>
      <c r="Y293" s="57" t="s">
        <v>2080</v>
      </c>
      <c r="Z293" s="54" t="s">
        <v>1458</v>
      </c>
      <c r="AA293" s="54" t="s">
        <v>1458</v>
      </c>
      <c r="AB293" s="54" t="s">
        <v>1455</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5.1999999999999998E-2</v>
      </c>
      <c r="BC293" s="60">
        <v>4.0599999999999996</v>
      </c>
      <c r="BD293" s="61">
        <v>6.8672999999999998E-2</v>
      </c>
      <c r="BE293" s="62" t="s">
        <v>293</v>
      </c>
      <c r="BF293" s="35">
        <f t="shared" si="730"/>
        <v>4.0600000000000005</v>
      </c>
      <c r="BG293" s="35">
        <f t="shared" si="730"/>
        <v>6.8672999999999998E-2</v>
      </c>
      <c r="BH293" s="35" t="str">
        <f t="shared" si="731"/>
        <v>Med</v>
      </c>
      <c r="BI293" s="110">
        <f t="shared" si="732"/>
        <v>0</v>
      </c>
      <c r="BJ293" s="83" t="str">
        <f>VLOOKUP($F293,REP_Info!$D$6:$H$250,5,FALSE)</f>
        <v/>
      </c>
      <c r="BK293" s="30">
        <f t="shared" si="733"/>
        <v>13.869299999999999</v>
      </c>
      <c r="BL293" s="30">
        <f t="shared" si="733"/>
        <v>12.968299999999999</v>
      </c>
      <c r="BM293" s="30">
        <f t="shared" si="733"/>
        <v>12.517799999999999</v>
      </c>
      <c r="BN293" s="29">
        <f t="shared" si="733"/>
        <v>12.367633333333334</v>
      </c>
      <c r="BO293" s="85" t="str">
        <f t="shared" si="2"/>
        <v>$$$</v>
      </c>
      <c r="BP293" s="88" t="str">
        <f t="shared" si="734"/>
        <v>$$$</v>
      </c>
      <c r="BQ293" s="88" t="str">
        <f t="shared" si="4"/>
        <v>$$$</v>
      </c>
      <c r="BR293" s="88" t="str">
        <f t="shared" si="5"/>
        <v>$$$</v>
      </c>
      <c r="BS293" s="29" t="e">
        <f t="shared" si="735"/>
        <v>#N/A</v>
      </c>
      <c r="BT293" s="29" t="e">
        <f t="shared" si="735"/>
        <v>#N/A</v>
      </c>
      <c r="BU293" s="29" t="e">
        <f t="shared" si="735"/>
        <v>#N/A</v>
      </c>
      <c r="BV293" s="29" t="e">
        <f t="shared" si="735"/>
        <v>#N/A</v>
      </c>
      <c r="BW293" s="29" t="e">
        <f t="shared" si="735"/>
        <v>#N/A</v>
      </c>
      <c r="BX293" s="29" t="e">
        <f t="shared" si="735"/>
        <v>#N/A</v>
      </c>
      <c r="BY293" s="29" t="e">
        <f t="shared" si="735"/>
        <v>#N/A</v>
      </c>
      <c r="BZ293" s="29" t="e">
        <f t="shared" si="735"/>
        <v>#N/A</v>
      </c>
      <c r="CA293" s="29" t="e">
        <f t="shared" si="735"/>
        <v>#N/A</v>
      </c>
      <c r="CB293" s="29" t="e">
        <f t="shared" si="735"/>
        <v>#N/A</v>
      </c>
      <c r="CC293" s="29" t="e">
        <f t="shared" si="735"/>
        <v>#N/A</v>
      </c>
      <c r="CD293" s="29" t="e">
        <f t="shared" si="735"/>
        <v>#N/A</v>
      </c>
      <c r="CE293" s="6" t="str">
        <f t="shared" si="650"/>
        <v/>
      </c>
      <c r="CF293" s="27" t="e">
        <f>IF(AND(CI293,NOT(AD293)),LOOKUP(CF$5,{0,750,1500},H293:J293),"")</f>
        <v>#N/A</v>
      </c>
      <c r="CG293" s="6" t="str">
        <f t="shared" si="651"/>
        <v/>
      </c>
      <c r="CH293" t="e">
        <f t="shared" si="736"/>
        <v>#N/A</v>
      </c>
      <c r="CI293" t="e">
        <f t="shared" si="737"/>
        <v>#N/A</v>
      </c>
      <c r="CJ293" s="6" t="e">
        <f t="shared" si="11"/>
        <v>#N/A</v>
      </c>
      <c r="CK293" s="6">
        <f t="shared" si="12"/>
        <v>1</v>
      </c>
      <c r="CL293" s="6">
        <f t="shared" si="26"/>
        <v>1</v>
      </c>
      <c r="CM293" s="6">
        <f t="shared" si="13"/>
        <v>1</v>
      </c>
      <c r="CN293" s="6">
        <f t="shared" si="14"/>
        <v>0</v>
      </c>
      <c r="CO293" s="6">
        <f t="shared" si="15"/>
        <v>1</v>
      </c>
      <c r="CP293" s="6">
        <f t="shared" si="16"/>
        <v>1</v>
      </c>
      <c r="CQ293" s="6">
        <f t="shared" si="738"/>
        <v>1</v>
      </c>
      <c r="CR293" s="81" t="str">
        <f t="shared" si="17"/>
        <v/>
      </c>
      <c r="CS293">
        <f t="shared" si="739"/>
        <v>5.9999999999999982</v>
      </c>
      <c r="CT293">
        <f t="shared" si="19"/>
        <v>20</v>
      </c>
      <c r="CU293" t="str">
        <f t="shared" si="29"/>
        <v>rm</v>
      </c>
      <c r="CV293" s="81">
        <f t="shared" si="740"/>
        <v>180</v>
      </c>
      <c r="CW293" s="81">
        <f>(CV293/25)^1.5*(Calculator!$BU$4/10000)*CW$5</f>
        <v>10.047288108441309</v>
      </c>
      <c r="CX293" t="str">
        <f t="shared" si="741"/>
        <v>$20/rm</v>
      </c>
    </row>
    <row r="294" spans="2:102" x14ac:dyDescent="0.25">
      <c r="B294" s="115" t="s">
        <v>233</v>
      </c>
      <c r="C294" s="13">
        <v>46318.697916666664</v>
      </c>
      <c r="D294">
        <v>36344</v>
      </c>
      <c r="E294" s="54" t="s">
        <v>237</v>
      </c>
      <c r="F294" s="54" t="s">
        <v>1115</v>
      </c>
      <c r="G294" s="54" t="s">
        <v>1456</v>
      </c>
      <c r="H294" s="55">
        <v>15.1</v>
      </c>
      <c r="I294" s="55">
        <v>14.2</v>
      </c>
      <c r="J294" s="55">
        <v>13.700000000000001</v>
      </c>
      <c r="K294" s="54"/>
      <c r="L294" s="56" t="b">
        <v>0</v>
      </c>
      <c r="M294" s="56" t="b">
        <v>0</v>
      </c>
      <c r="N294" s="54">
        <v>1</v>
      </c>
      <c r="O294" s="54" t="s">
        <v>228</v>
      </c>
      <c r="P294" s="54">
        <v>100</v>
      </c>
      <c r="Q294" s="54">
        <v>12</v>
      </c>
      <c r="R294" s="54" t="s">
        <v>1452</v>
      </c>
      <c r="S294" s="54" t="s">
        <v>1458</v>
      </c>
      <c r="T294" s="54" t="s">
        <v>2239</v>
      </c>
      <c r="U294" s="54" t="s">
        <v>1449</v>
      </c>
      <c r="V294" s="54" t="s">
        <v>1453</v>
      </c>
      <c r="W294" s="54" t="b">
        <v>0</v>
      </c>
      <c r="X294" s="54"/>
      <c r="Y294" s="57" t="s">
        <v>2081</v>
      </c>
      <c r="Z294" s="54" t="s">
        <v>1458</v>
      </c>
      <c r="AA294" s="54"/>
      <c r="AB294" s="54" t="s">
        <v>1455</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6.4000000000000001E-2</v>
      </c>
      <c r="BC294" s="60">
        <v>4.0599999999999996</v>
      </c>
      <c r="BD294" s="61">
        <v>6.8672999999999998E-2</v>
      </c>
      <c r="BE294" s="62" t="s">
        <v>293</v>
      </c>
      <c r="BF294" s="35">
        <f t="shared" si="730"/>
        <v>4.0600000000000005</v>
      </c>
      <c r="BG294" s="35">
        <f t="shared" si="730"/>
        <v>6.8672999999999998E-2</v>
      </c>
      <c r="BH294" s="35" t="str">
        <f t="shared" si="731"/>
        <v>Med</v>
      </c>
      <c r="BI294" s="110">
        <f t="shared" si="732"/>
        <v>0</v>
      </c>
      <c r="BJ294" s="83" t="str">
        <f>VLOOKUP($F294,REP_Info!$D$6:$H$250,5,FALSE)</f>
        <v/>
      </c>
      <c r="BK294" s="30">
        <f t="shared" si="733"/>
        <v>15.069300000000002</v>
      </c>
      <c r="BL294" s="30">
        <f t="shared" si="733"/>
        <v>14.168299999999999</v>
      </c>
      <c r="BM294" s="30">
        <f t="shared" si="733"/>
        <v>13.717799999999999</v>
      </c>
      <c r="BN294" s="29">
        <f t="shared" si="733"/>
        <v>13.567633333333333</v>
      </c>
      <c r="BO294" s="85" t="str">
        <f t="shared" si="2"/>
        <v>$$$</v>
      </c>
      <c r="BP294" s="88" t="str">
        <f t="shared" si="734"/>
        <v>$$$</v>
      </c>
      <c r="BQ294" s="88" t="str">
        <f t="shared" si="4"/>
        <v>$$$</v>
      </c>
      <c r="BR294" s="88" t="str">
        <f t="shared" si="5"/>
        <v>$$$</v>
      </c>
      <c r="BS294" s="29" t="e">
        <f t="shared" si="735"/>
        <v>#N/A</v>
      </c>
      <c r="BT294" s="29" t="e">
        <f t="shared" si="735"/>
        <v>#N/A</v>
      </c>
      <c r="BU294" s="29" t="e">
        <f t="shared" si="735"/>
        <v>#N/A</v>
      </c>
      <c r="BV294" s="29" t="e">
        <f t="shared" si="735"/>
        <v>#N/A</v>
      </c>
      <c r="BW294" s="29" t="e">
        <f t="shared" si="735"/>
        <v>#N/A</v>
      </c>
      <c r="BX294" s="29" t="e">
        <f t="shared" si="735"/>
        <v>#N/A</v>
      </c>
      <c r="BY294" s="29" t="e">
        <f t="shared" si="735"/>
        <v>#N/A</v>
      </c>
      <c r="BZ294" s="29" t="e">
        <f t="shared" si="735"/>
        <v>#N/A</v>
      </c>
      <c r="CA294" s="29" t="e">
        <f t="shared" si="735"/>
        <v>#N/A</v>
      </c>
      <c r="CB294" s="29" t="e">
        <f t="shared" si="735"/>
        <v>#N/A</v>
      </c>
      <c r="CC294" s="29" t="e">
        <f t="shared" si="735"/>
        <v>#N/A</v>
      </c>
      <c r="CD294" s="29" t="e">
        <f t="shared" si="735"/>
        <v>#N/A</v>
      </c>
      <c r="CE294" s="6" t="str">
        <f t="shared" si="650"/>
        <v/>
      </c>
      <c r="CF294" s="27" t="e">
        <f>IF(AND(CI294,NOT(AD294)),LOOKUP(CF$5,{0,750,1500},H294:J294),"")</f>
        <v>#N/A</v>
      </c>
      <c r="CG294" s="6" t="str">
        <f t="shared" si="651"/>
        <v/>
      </c>
      <c r="CH294" t="e">
        <f t="shared" si="736"/>
        <v>#N/A</v>
      </c>
      <c r="CI294" t="e">
        <f t="shared" si="737"/>
        <v>#N/A</v>
      </c>
      <c r="CJ294" s="6" t="e">
        <f t="shared" si="11"/>
        <v>#N/A</v>
      </c>
      <c r="CK294" s="6">
        <f t="shared" si="12"/>
        <v>1</v>
      </c>
      <c r="CL294" s="6">
        <f t="shared" si="26"/>
        <v>1</v>
      </c>
      <c r="CM294" s="6">
        <f t="shared" si="13"/>
        <v>1</v>
      </c>
      <c r="CN294" s="6">
        <f t="shared" si="14"/>
        <v>1</v>
      </c>
      <c r="CO294" s="6">
        <f t="shared" si="15"/>
        <v>1</v>
      </c>
      <c r="CP294" s="6">
        <f t="shared" si="16"/>
        <v>1</v>
      </c>
      <c r="CQ294" s="6">
        <f t="shared" si="738"/>
        <v>1</v>
      </c>
      <c r="CR294" s="81" t="str">
        <f t="shared" si="17"/>
        <v/>
      </c>
      <c r="CS294">
        <f t="shared" si="739"/>
        <v>0</v>
      </c>
      <c r="CT294">
        <f t="shared" si="19"/>
        <v>20</v>
      </c>
      <c r="CU294" t="str">
        <f t="shared" si="29"/>
        <v>rm</v>
      </c>
      <c r="CV294" s="81">
        <f t="shared" si="740"/>
        <v>240</v>
      </c>
      <c r="CW294" s="81">
        <f>(CV294/25)^1.5*(Calculator!$BU$4/10000)*CW$5</f>
        <v>15.468811984091507</v>
      </c>
      <c r="CX294" t="str">
        <f t="shared" si="741"/>
        <v>$20/rm</v>
      </c>
    </row>
    <row r="295" spans="2:102" x14ac:dyDescent="0.25">
      <c r="B295" s="115" t="s">
        <v>233</v>
      </c>
      <c r="C295" s="13">
        <v>46318.697916666664</v>
      </c>
      <c r="D295">
        <v>36345</v>
      </c>
      <c r="E295" s="54" t="s">
        <v>237</v>
      </c>
      <c r="F295" s="54" t="s">
        <v>1115</v>
      </c>
      <c r="G295" s="54" t="s">
        <v>1457</v>
      </c>
      <c r="H295" s="55">
        <v>15.299999999999999</v>
      </c>
      <c r="I295" s="55">
        <v>14.399999999999999</v>
      </c>
      <c r="J295" s="55">
        <v>13.900000000000002</v>
      </c>
      <c r="K295" s="54"/>
      <c r="L295" s="56" t="b">
        <v>0</v>
      </c>
      <c r="M295" s="56" t="b">
        <v>0</v>
      </c>
      <c r="N295" s="54">
        <v>1</v>
      </c>
      <c r="O295" s="54" t="s">
        <v>228</v>
      </c>
      <c r="P295" s="54">
        <v>100</v>
      </c>
      <c r="Q295" s="54">
        <v>24</v>
      </c>
      <c r="R295" s="54" t="s">
        <v>1452</v>
      </c>
      <c r="S295" s="54" t="s">
        <v>1458</v>
      </c>
      <c r="T295" s="54" t="s">
        <v>2240</v>
      </c>
      <c r="U295" s="54" t="s">
        <v>1449</v>
      </c>
      <c r="V295" s="54" t="s">
        <v>1453</v>
      </c>
      <c r="W295" s="54" t="b">
        <v>0</v>
      </c>
      <c r="X295" s="54"/>
      <c r="Y295" s="57" t="s">
        <v>2082</v>
      </c>
      <c r="Z295" s="54" t="s">
        <v>1458</v>
      </c>
      <c r="AA295" s="54"/>
      <c r="AB295" s="54" t="s">
        <v>1455</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6.6000000000000003E-2</v>
      </c>
      <c r="BC295" s="60">
        <v>4.0599999999999996</v>
      </c>
      <c r="BD295" s="61">
        <v>6.8672999999999998E-2</v>
      </c>
      <c r="BE295" s="62" t="s">
        <v>293</v>
      </c>
      <c r="BF295" s="35">
        <f t="shared" si="730"/>
        <v>4.0600000000000005</v>
      </c>
      <c r="BG295" s="35">
        <f t="shared" si="730"/>
        <v>6.8672999999999998E-2</v>
      </c>
      <c r="BH295" s="35" t="str">
        <f t="shared" si="731"/>
        <v>Med</v>
      </c>
      <c r="BI295" s="110">
        <f t="shared" si="732"/>
        <v>0</v>
      </c>
      <c r="BJ295" s="83" t="str">
        <f>VLOOKUP($F295,REP_Info!$D$6:$H$250,5,FALSE)</f>
        <v/>
      </c>
      <c r="BK295" s="30">
        <f t="shared" si="733"/>
        <v>15.269300000000001</v>
      </c>
      <c r="BL295" s="30">
        <f t="shared" si="733"/>
        <v>14.3683</v>
      </c>
      <c r="BM295" s="30">
        <f t="shared" si="733"/>
        <v>13.9178</v>
      </c>
      <c r="BN295" s="29">
        <f t="shared" si="733"/>
        <v>13.767633333333334</v>
      </c>
      <c r="BO295" s="85" t="str">
        <f t="shared" si="2"/>
        <v>$$$</v>
      </c>
      <c r="BP295" s="88" t="str">
        <f t="shared" si="734"/>
        <v>$$$</v>
      </c>
      <c r="BQ295" s="88" t="str">
        <f t="shared" si="4"/>
        <v>$$$</v>
      </c>
      <c r="BR295" s="88" t="str">
        <f t="shared" si="5"/>
        <v>$$$</v>
      </c>
      <c r="BS295" s="29" t="e">
        <f t="shared" si="735"/>
        <v>#N/A</v>
      </c>
      <c r="BT295" s="29" t="e">
        <f t="shared" si="735"/>
        <v>#N/A</v>
      </c>
      <c r="BU295" s="29" t="e">
        <f t="shared" si="735"/>
        <v>#N/A</v>
      </c>
      <c r="BV295" s="29" t="e">
        <f t="shared" si="735"/>
        <v>#N/A</v>
      </c>
      <c r="BW295" s="29" t="e">
        <f t="shared" si="735"/>
        <v>#N/A</v>
      </c>
      <c r="BX295" s="29" t="e">
        <f t="shared" si="735"/>
        <v>#N/A</v>
      </c>
      <c r="BY295" s="29" t="e">
        <f t="shared" si="735"/>
        <v>#N/A</v>
      </c>
      <c r="BZ295" s="29" t="e">
        <f t="shared" si="735"/>
        <v>#N/A</v>
      </c>
      <c r="CA295" s="29" t="e">
        <f t="shared" si="735"/>
        <v>#N/A</v>
      </c>
      <c r="CB295" s="29" t="e">
        <f t="shared" si="735"/>
        <v>#N/A</v>
      </c>
      <c r="CC295" s="29" t="e">
        <f t="shared" si="735"/>
        <v>#N/A</v>
      </c>
      <c r="CD295" s="29" t="e">
        <f t="shared" si="735"/>
        <v>#N/A</v>
      </c>
      <c r="CE295" s="6" t="str">
        <f t="shared" si="650"/>
        <v/>
      </c>
      <c r="CF295" s="27" t="e">
        <f>IF(AND(CI295,NOT(AD295)),LOOKUP(CF$5,{0,750,1500},H295:J295),"")</f>
        <v>#N/A</v>
      </c>
      <c r="CG295" s="6" t="str">
        <f t="shared" si="651"/>
        <v/>
      </c>
      <c r="CH295" t="e">
        <f t="shared" si="736"/>
        <v>#N/A</v>
      </c>
      <c r="CI295" t="e">
        <f t="shared" si="737"/>
        <v>#N/A</v>
      </c>
      <c r="CJ295" s="6" t="e">
        <f t="shared" si="11"/>
        <v>#N/A</v>
      </c>
      <c r="CK295" s="6">
        <f t="shared" si="12"/>
        <v>1</v>
      </c>
      <c r="CL295" s="6">
        <f t="shared" si="26"/>
        <v>1</v>
      </c>
      <c r="CM295" s="6">
        <f t="shared" si="13"/>
        <v>1</v>
      </c>
      <c r="CN295" s="6">
        <f t="shared" si="14"/>
        <v>1</v>
      </c>
      <c r="CO295" s="6">
        <f t="shared" si="15"/>
        <v>0</v>
      </c>
      <c r="CP295" s="6">
        <f t="shared" si="16"/>
        <v>1</v>
      </c>
      <c r="CQ295" s="6">
        <f t="shared" si="738"/>
        <v>1</v>
      </c>
      <c r="CR295" s="81" t="str">
        <f t="shared" si="17"/>
        <v/>
      </c>
      <c r="CS295">
        <f t="shared" si="739"/>
        <v>0</v>
      </c>
      <c r="CT295">
        <f t="shared" si="19"/>
        <v>20</v>
      </c>
      <c r="CU295" t="str">
        <f t="shared" si="29"/>
        <v>rm</v>
      </c>
      <c r="CV295" s="81">
        <f t="shared" si="740"/>
        <v>480</v>
      </c>
      <c r="CW295" s="81">
        <f>(CV295/25)^1.5*(Calculator!$BU$4/10000)*CW$5</f>
        <v>43.752407403403353</v>
      </c>
      <c r="CX295" t="str">
        <f t="shared" si="741"/>
        <v>$20/rm</v>
      </c>
    </row>
    <row r="296" spans="2:102" x14ac:dyDescent="0.25">
      <c r="B296" s="115" t="s">
        <v>233</v>
      </c>
      <c r="C296" s="13">
        <v>46318.697916666664</v>
      </c>
      <c r="D296">
        <v>37797</v>
      </c>
      <c r="E296" s="54" t="s">
        <v>235</v>
      </c>
      <c r="F296" s="54" t="s">
        <v>1115</v>
      </c>
      <c r="G296" s="54" t="s">
        <v>1706</v>
      </c>
      <c r="H296" s="55">
        <v>11.3</v>
      </c>
      <c r="I296" s="55">
        <v>10.299999999999999</v>
      </c>
      <c r="J296" s="55">
        <v>9.8000000000000007</v>
      </c>
      <c r="K296" s="54"/>
      <c r="L296" s="56" t="b">
        <v>0</v>
      </c>
      <c r="M296" s="56" t="b">
        <v>0</v>
      </c>
      <c r="N296" s="54">
        <v>1</v>
      </c>
      <c r="O296" s="54" t="s">
        <v>228</v>
      </c>
      <c r="P296" s="54">
        <v>100</v>
      </c>
      <c r="Q296" s="54">
        <v>3</v>
      </c>
      <c r="R296" s="54">
        <v>0</v>
      </c>
      <c r="S296" s="54" t="s">
        <v>1454</v>
      </c>
      <c r="T296" s="54" t="s">
        <v>2241</v>
      </c>
      <c r="U296" s="54" t="s">
        <v>1449</v>
      </c>
      <c r="V296" s="54" t="s">
        <v>1453</v>
      </c>
      <c r="W296" s="54" t="b">
        <v>0</v>
      </c>
      <c r="X296" s="54"/>
      <c r="Y296" s="57" t="s">
        <v>2097</v>
      </c>
      <c r="Z296" s="54" t="s">
        <v>1454</v>
      </c>
      <c r="AA296" s="54"/>
      <c r="AB296" s="54" t="s">
        <v>1455</v>
      </c>
      <c r="AC296" s="56" t="b">
        <v>1</v>
      </c>
      <c r="AD296" s="56" t="b">
        <v>0</v>
      </c>
      <c r="AE296" s="54" t="s">
        <v>302</v>
      </c>
      <c r="AF296" s="58">
        <v>46315</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2.7799999999999998E-2</v>
      </c>
      <c r="BC296" s="60">
        <v>4.9000000000000004</v>
      </c>
      <c r="BD296" s="61">
        <v>6.5333000000000002E-2</v>
      </c>
      <c r="BE296" s="62" t="s">
        <v>293</v>
      </c>
      <c r="BF296" s="35">
        <f t="shared" si="730"/>
        <v>4.9000000000000004</v>
      </c>
      <c r="BG296" s="35">
        <f t="shared" si="730"/>
        <v>6.5333000000000002E-2</v>
      </c>
      <c r="BH296" s="35" t="str">
        <f t="shared" si="731"/>
        <v>Med</v>
      </c>
      <c r="BI296" s="110">
        <f t="shared" si="732"/>
        <v>0</v>
      </c>
      <c r="BJ296" s="83" t="str">
        <f>VLOOKUP($F296,REP_Info!$D$6:$H$250,5,FALSE)</f>
        <v/>
      </c>
      <c r="BK296" s="30">
        <f t="shared" si="733"/>
        <v>11.283299999999999</v>
      </c>
      <c r="BL296" s="30">
        <f t="shared" si="733"/>
        <v>10.298300000000001</v>
      </c>
      <c r="BM296" s="30">
        <f t="shared" si="733"/>
        <v>9.8057999999999996</v>
      </c>
      <c r="BN296" s="29">
        <f t="shared" si="733"/>
        <v>9.6416333333333331</v>
      </c>
      <c r="BO296" s="85" t="str">
        <f t="shared" si="2"/>
        <v>$$$</v>
      </c>
      <c r="BP296" s="88" t="str">
        <f t="shared" si="734"/>
        <v>$$$</v>
      </c>
      <c r="BQ296" s="88" t="str">
        <f t="shared" si="4"/>
        <v>$$$</v>
      </c>
      <c r="BR296" s="88" t="str">
        <f t="shared" si="5"/>
        <v>$$$</v>
      </c>
      <c r="BS296" s="29" t="e">
        <f t="shared" si="735"/>
        <v>#N/A</v>
      </c>
      <c r="BT296" s="29" t="e">
        <f t="shared" si="735"/>
        <v>#N/A</v>
      </c>
      <c r="BU296" s="29" t="e">
        <f t="shared" si="735"/>
        <v>#N/A</v>
      </c>
      <c r="BV296" s="29" t="e">
        <f t="shared" si="735"/>
        <v>#N/A</v>
      </c>
      <c r="BW296" s="29" t="e">
        <f t="shared" si="735"/>
        <v>#N/A</v>
      </c>
      <c r="BX296" s="29" t="e">
        <f t="shared" si="735"/>
        <v>#N/A</v>
      </c>
      <c r="BY296" s="29" t="e">
        <f t="shared" si="735"/>
        <v>#N/A</v>
      </c>
      <c r="BZ296" s="29" t="e">
        <f t="shared" si="735"/>
        <v>#N/A</v>
      </c>
      <c r="CA296" s="29" t="e">
        <f t="shared" si="735"/>
        <v>#N/A</v>
      </c>
      <c r="CB296" s="29" t="e">
        <f t="shared" si="735"/>
        <v>#N/A</v>
      </c>
      <c r="CC296" s="29" t="e">
        <f t="shared" si="735"/>
        <v>#N/A</v>
      </c>
      <c r="CD296" s="29" t="e">
        <f t="shared" si="735"/>
        <v>#N/A</v>
      </c>
      <c r="CE296" s="6" t="str">
        <f t="shared" si="650"/>
        <v/>
      </c>
      <c r="CF296" s="27" t="e">
        <f>IF(AND(CI296,NOT(AD296)),LOOKUP(CF$5,{0,750,1500},H296:J296),"")</f>
        <v>#N/A</v>
      </c>
      <c r="CG296" s="6" t="str">
        <f t="shared" si="651"/>
        <v/>
      </c>
      <c r="CH296" t="e">
        <f t="shared" si="736"/>
        <v>#N/A</v>
      </c>
      <c r="CI296" t="e">
        <f t="shared" si="737"/>
        <v>#N/A</v>
      </c>
      <c r="CJ296" s="6" t="e">
        <f t="shared" si="11"/>
        <v>#N/A</v>
      </c>
      <c r="CK296" s="6">
        <f t="shared" si="12"/>
        <v>1</v>
      </c>
      <c r="CL296" s="6">
        <f t="shared" si="26"/>
        <v>1</v>
      </c>
      <c r="CM296" s="6">
        <f t="shared" si="13"/>
        <v>1</v>
      </c>
      <c r="CN296" s="6">
        <f t="shared" si="14"/>
        <v>0</v>
      </c>
      <c r="CO296" s="6">
        <f t="shared" si="15"/>
        <v>1</v>
      </c>
      <c r="CP296" s="6">
        <f t="shared" si="16"/>
        <v>1</v>
      </c>
      <c r="CQ296" s="6">
        <f t="shared" si="738"/>
        <v>1</v>
      </c>
      <c r="CR296" s="81" t="str">
        <f t="shared" si="17"/>
        <v/>
      </c>
      <c r="CS296">
        <f t="shared" si="739"/>
        <v>54</v>
      </c>
      <c r="CT296">
        <f t="shared" si="19"/>
        <v>0</v>
      </c>
      <c r="CU296" t="str">
        <f t="shared" si="29"/>
        <v/>
      </c>
      <c r="CV296" s="81">
        <f t="shared" si="740"/>
        <v>0</v>
      </c>
      <c r="CW296" s="81">
        <f>(CV296/25)^1.5*(Calculator!$BU$4/10000)*CW$5</f>
        <v>0</v>
      </c>
      <c r="CX296" t="str">
        <f t="shared" si="741"/>
        <v>$0</v>
      </c>
    </row>
    <row r="297" spans="2:102" x14ac:dyDescent="0.25">
      <c r="B297" s="115" t="s">
        <v>233</v>
      </c>
      <c r="C297" s="13">
        <v>46318.697916666664</v>
      </c>
      <c r="D297">
        <v>37798</v>
      </c>
      <c r="E297" s="54" t="s">
        <v>237</v>
      </c>
      <c r="F297" s="54" t="s">
        <v>1115</v>
      </c>
      <c r="G297" s="54" t="s">
        <v>1706</v>
      </c>
      <c r="H297" s="55">
        <v>11</v>
      </c>
      <c r="I297" s="55">
        <v>10.100000000000001</v>
      </c>
      <c r="J297" s="55">
        <v>9.6</v>
      </c>
      <c r="K297" s="54"/>
      <c r="L297" s="56" t="b">
        <v>0</v>
      </c>
      <c r="M297" s="56" t="b">
        <v>0</v>
      </c>
      <c r="N297" s="54">
        <v>1</v>
      </c>
      <c r="O297" s="54" t="s">
        <v>228</v>
      </c>
      <c r="P297" s="54">
        <v>100</v>
      </c>
      <c r="Q297" s="54">
        <v>3</v>
      </c>
      <c r="R297" s="54">
        <v>0</v>
      </c>
      <c r="S297" s="54" t="s">
        <v>1458</v>
      </c>
      <c r="T297" s="54" t="s">
        <v>2241</v>
      </c>
      <c r="U297" s="54" t="s">
        <v>1449</v>
      </c>
      <c r="V297" s="54" t="s">
        <v>1453</v>
      </c>
      <c r="W297" s="54" t="b">
        <v>0</v>
      </c>
      <c r="X297" s="54"/>
      <c r="Y297" s="57" t="s">
        <v>2098</v>
      </c>
      <c r="Z297" s="54" t="s">
        <v>1458</v>
      </c>
      <c r="AA297" s="54"/>
      <c r="AB297" s="54" t="s">
        <v>1455</v>
      </c>
      <c r="AC297" s="56" t="b">
        <v>1</v>
      </c>
      <c r="AD297" s="56" t="b">
        <v>0</v>
      </c>
      <c r="AE297" s="54" t="s">
        <v>302</v>
      </c>
      <c r="AF297" s="58">
        <v>46315</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2.3300000000000001E-2</v>
      </c>
      <c r="BC297" s="60">
        <v>4.0599999999999996</v>
      </c>
      <c r="BD297" s="61">
        <v>6.8672999999999998E-2</v>
      </c>
      <c r="BE297" s="62" t="s">
        <v>293</v>
      </c>
      <c r="BF297" s="35">
        <f t="shared" ref="BF297:BG297" si="742">IF($E297=$E$4,BF$4,IF($E297=$E$5,BF$5,""))</f>
        <v>4.0600000000000005</v>
      </c>
      <c r="BG297" s="35">
        <f t="shared" si="742"/>
        <v>6.8672999999999998E-2</v>
      </c>
      <c r="BH297" s="35" t="str">
        <f t="shared" ref="BH297" si="743">IF(ISTEXT(BE297),IF(AND(AV297=0,SUM(AN297:AQ297)=0),IF(AM297&lt;=0,IF(BE297="Y","Low","Flat"),"Med"),"High"),"?")</f>
        <v>Med</v>
      </c>
      <c r="BI297" s="110">
        <f t="shared" ref="BI297" si="744">IF(ISNUMBER(AH297),0*BI$5*SIN((EDATE($A$3,$Q297)-DATE(YEAR(EDATE($A$3,$Q297)),1,0)-BI$4)*2*PI()/365),"")</f>
        <v>0</v>
      </c>
      <c r="BJ297" s="83" t="str">
        <f>VLOOKUP($F297,REP_Info!$D$6:$H$250,5,FALSE)</f>
        <v/>
      </c>
      <c r="BK297" s="30">
        <f t="shared" ref="BK297:BN297" si="745">IF(BK$7&gt;0,(LOOKUP(BK$7,$AH297:$AL297,$AM297:$AQ297)+IF($AG297="Y",SUMPRODUCT($AX297:$BB297-$AW297:$BA297,BK$7-$AR297:$AV297,N(BK$7&gt;$AR297:$AV297)),BK$7*LOOKUP(BK$7,$AR297:$AV297,$AX297:$BB297))+IF($BE297="Y",$BF297,$BC297)+BK$7*IF($BE297="Y",$BG297,$BD297))*100/BK$7,"")</f>
        <v>10.999300000000002</v>
      </c>
      <c r="BL297" s="30">
        <f t="shared" si="745"/>
        <v>10.098300000000002</v>
      </c>
      <c r="BM297" s="30">
        <f t="shared" si="745"/>
        <v>9.6478000000000019</v>
      </c>
      <c r="BN297" s="29">
        <f t="shared" si="745"/>
        <v>9.4976333333333347</v>
      </c>
      <c r="BO297" s="85" t="str">
        <f t="shared" si="2"/>
        <v>$$$</v>
      </c>
      <c r="BP297" s="88" t="str">
        <f t="shared" ref="BP297" si="746">IFERROR(BO297*100/BO$5,"$$$")</f>
        <v>$$$</v>
      </c>
      <c r="BQ297" s="88" t="str">
        <f t="shared" si="4"/>
        <v>$$$</v>
      </c>
      <c r="BR297" s="88" t="str">
        <f t="shared" si="5"/>
        <v>$$$</v>
      </c>
      <c r="BS297" s="29" t="e">
        <f t="shared" ref="BS297:CD297" si="747">IF($CI297,IF(BS$7&gt;0,IF(BS$4&gt;$Q297,$BF297+BS$7*(BS$5+$BG297+$BI297),LOOKUP(BS$7,$AH297:$AL297,$AM297:$AQ297)+IF($AG297="Y",SUMPRODUCT($AX297:$BB297-$AW297:$BA297,BS$7-$AR297:$AV297,N(BS$7&gt;$AR297:$AV297)),BS$7*LOOKUP(BS$7,$AR297:$AV297,$AX297:$BB297))+IF($BE297="Y",$BF297,$BC297)+BS$7*IF($BE297="Y",$BG297,$BD297))*100/BS$7,""),NA())</f>
        <v>#N/A</v>
      </c>
      <c r="BT297" s="29" t="e">
        <f t="shared" si="747"/>
        <v>#N/A</v>
      </c>
      <c r="BU297" s="29" t="e">
        <f t="shared" si="747"/>
        <v>#N/A</v>
      </c>
      <c r="BV297" s="29" t="e">
        <f t="shared" si="747"/>
        <v>#N/A</v>
      </c>
      <c r="BW297" s="29" t="e">
        <f t="shared" si="747"/>
        <v>#N/A</v>
      </c>
      <c r="BX297" s="29" t="e">
        <f t="shared" si="747"/>
        <v>#N/A</v>
      </c>
      <c r="BY297" s="29" t="e">
        <f t="shared" si="747"/>
        <v>#N/A</v>
      </c>
      <c r="BZ297" s="29" t="e">
        <f t="shared" si="747"/>
        <v>#N/A</v>
      </c>
      <c r="CA297" s="29" t="e">
        <f t="shared" si="747"/>
        <v>#N/A</v>
      </c>
      <c r="CB297" s="29" t="e">
        <f t="shared" si="747"/>
        <v>#N/A</v>
      </c>
      <c r="CC297" s="29" t="e">
        <f t="shared" si="747"/>
        <v>#N/A</v>
      </c>
      <c r="CD297" s="29" t="e">
        <f t="shared" si="747"/>
        <v>#N/A</v>
      </c>
      <c r="CE297" s="6" t="str">
        <f t="shared" si="650"/>
        <v/>
      </c>
      <c r="CF297" s="27" t="e">
        <f>IF(AND(CI297,NOT(AD297)),LOOKUP(CF$5,{0,750,1500},H297:J297),"")</f>
        <v>#N/A</v>
      </c>
      <c r="CG297" s="6" t="str">
        <f t="shared" si="651"/>
        <v/>
      </c>
      <c r="CH297" t="e">
        <f t="shared" ref="CH297" si="748">IF(CI297,IF(ISNUMBER(BO297),BO297,100000)+CV297/10000+IF(ISNUMBER(BJ297),BJ297,2)/10000-P297/100000+ROW()/10000000,"")</f>
        <v>#N/A</v>
      </c>
      <c r="CI297" t="e">
        <f t="shared" ref="CI297" si="749">PRODUCT(CJ297:CQ297)</f>
        <v>#N/A</v>
      </c>
      <c r="CJ297" s="6" t="e">
        <f t="shared" si="11"/>
        <v>#N/A</v>
      </c>
      <c r="CK297" s="6">
        <f t="shared" si="12"/>
        <v>1</v>
      </c>
      <c r="CL297" s="6">
        <f t="shared" si="26"/>
        <v>1</v>
      </c>
      <c r="CM297" s="6">
        <f t="shared" si="13"/>
        <v>1</v>
      </c>
      <c r="CN297" s="6">
        <f t="shared" si="14"/>
        <v>0</v>
      </c>
      <c r="CO297" s="6">
        <f t="shared" si="15"/>
        <v>1</v>
      </c>
      <c r="CP297" s="6">
        <f t="shared" si="16"/>
        <v>1</v>
      </c>
      <c r="CQ297" s="6">
        <f t="shared" ref="CQ297" si="750">IF(CQ$5="Any",1,IF(AND(CQ$5="Med",AV297=0,SUM(AN297:AQ297)=0),1,IF(AND(CQ$5="Low",AV297=0,SUM(AN297:AQ297)=0,AM297=0),1,IF(AND(CQ$5="Flat",AV297=0,SUM(AN297:AQ297)=0,AM297=0,IFERROR(NOT(BE297="Y"),0)),1,0))))</f>
        <v>1</v>
      </c>
      <c r="CR297" s="81" t="str">
        <f t="shared" si="17"/>
        <v/>
      </c>
      <c r="CS297">
        <f t="shared" ref="CS297" si="751">CS$5*(12/(MIN(12,Q297))-1)</f>
        <v>54</v>
      </c>
      <c r="CT297">
        <f t="shared" si="19"/>
        <v>0</v>
      </c>
      <c r="CU297" t="str">
        <f t="shared" si="29"/>
        <v/>
      </c>
      <c r="CV297" s="81">
        <f t="shared" ref="CV297" si="752">CT297*IF(CU297="",1,Q297)</f>
        <v>0</v>
      </c>
      <c r="CW297" s="81">
        <f>(CV297/25)^1.5*(Calculator!$BU$4/10000)*CW$5</f>
        <v>0</v>
      </c>
      <c r="CX297" t="str">
        <f t="shared" ref="CX297" si="753">"$"&amp;IF(LEFT(CU297,1)="r",CT297&amp;"/"&amp;CU297,CV297)</f>
        <v>$0</v>
      </c>
    </row>
    <row r="298" spans="2:102" x14ac:dyDescent="0.25">
      <c r="B298" s="115" t="s">
        <v>233</v>
      </c>
      <c r="C298" s="13">
        <v>46309.581944444442</v>
      </c>
      <c r="D298">
        <v>29295</v>
      </c>
      <c r="E298" s="54" t="s">
        <v>237</v>
      </c>
      <c r="F298" s="54" t="s">
        <v>590</v>
      </c>
      <c r="G298" s="54" t="s">
        <v>1584</v>
      </c>
      <c r="H298" s="55">
        <v>13.600000000000001</v>
      </c>
      <c r="I298" s="55">
        <v>13.100000000000001</v>
      </c>
      <c r="J298" s="55">
        <v>12.9</v>
      </c>
      <c r="K298" s="54"/>
      <c r="L298" s="56" t="b">
        <v>0</v>
      </c>
      <c r="M298" s="56" t="b">
        <v>0</v>
      </c>
      <c r="N298" s="54">
        <v>1</v>
      </c>
      <c r="O298" s="54" t="s">
        <v>228</v>
      </c>
      <c r="P298" s="54">
        <v>6</v>
      </c>
      <c r="Q298" s="54">
        <v>12</v>
      </c>
      <c r="R298" s="54">
        <v>99</v>
      </c>
      <c r="S298" s="54" t="s">
        <v>1469</v>
      </c>
      <c r="T298" s="54" t="s">
        <v>1585</v>
      </c>
      <c r="U298" s="54" t="s">
        <v>1462</v>
      </c>
      <c r="V298" s="54" t="s">
        <v>1470</v>
      </c>
      <c r="W298" s="54" t="b">
        <v>0</v>
      </c>
      <c r="X298" s="54"/>
      <c r="Y298" s="57" t="s">
        <v>2028</v>
      </c>
      <c r="Z298" s="54" t="s">
        <v>1471</v>
      </c>
      <c r="AA298" s="54"/>
      <c r="AB298" s="54" t="s">
        <v>1472</v>
      </c>
      <c r="AC298" s="56" t="b">
        <v>0</v>
      </c>
      <c r="AD298" s="56" t="b">
        <v>0</v>
      </c>
      <c r="AE298" s="54" t="s">
        <v>302</v>
      </c>
      <c r="AF298" s="58">
        <v>46309</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5.8762000000000002E-2</v>
      </c>
      <c r="BC298" s="60"/>
      <c r="BD298" s="61"/>
      <c r="BE298" s="62" t="s">
        <v>293</v>
      </c>
      <c r="BF298" s="35">
        <f t="shared" ref="BF298:BG315" si="754">IF($E298=$E$4,BF$4,IF($E298=$E$5,BF$5,""))</f>
        <v>4.0600000000000005</v>
      </c>
      <c r="BG298" s="35">
        <f t="shared" si="754"/>
        <v>6.8672999999999998E-2</v>
      </c>
      <c r="BH298" s="35" t="str">
        <f t="shared" ref="BH298:BH315" si="755">IF(ISTEXT(BE298),IF(AND(AV298=0,SUM(AN298:AQ298)=0),IF(AM298&lt;=0,IF(BE298="Y","Low","Flat"),"Med"),"High"),"?")</f>
        <v>Low</v>
      </c>
      <c r="BI298" s="110">
        <f t="shared" ref="BI298:BI315" si="756">IF(ISNUMBER(AH298),0*BI$5*SIN((EDATE($A$3,$Q298)-DATE(YEAR(EDATE($A$3,$Q298)),1,0)-BI$4)*2*PI()/365),"")</f>
        <v>0</v>
      </c>
      <c r="BJ298" s="83">
        <f>VLOOKUP($F298,REP_Info!$D$6:$H$250,5,FALSE)</f>
        <v>1.694</v>
      </c>
      <c r="BK298" s="30">
        <f t="shared" ref="BK298:BN315" si="757">IF(BK$7&gt;0,(LOOKUP(BK$7,$AH298:$AL298,$AM298:$AQ298)+IF($AG298="Y",SUMPRODUCT($AX298:$BB298-$AW298:$BA298,BK$7-$AR298:$AV298,N(BK$7&gt;$AR298:$AV298)),BK$7*LOOKUP(BK$7,$AR298:$AV298,$AX298:$BB298))+IF($BE298="Y",$BF298,$BC298)+BK$7*IF($BE298="Y",$BG298,$BD298))*100/BK$7,"")</f>
        <v>13.5555</v>
      </c>
      <c r="BL298" s="30">
        <f t="shared" si="757"/>
        <v>13.1495</v>
      </c>
      <c r="BM298" s="30">
        <f t="shared" si="757"/>
        <v>12.9465</v>
      </c>
      <c r="BN298" s="29">
        <f t="shared" si="757"/>
        <v>12.878833333333333</v>
      </c>
      <c r="BO298" s="85" t="str">
        <f t="shared" si="2"/>
        <v>$$$</v>
      </c>
      <c r="BP298" s="88" t="str">
        <f t="shared" ref="BP298:BP315" si="758">IFERROR(BO298*100/BO$5,"$$$")</f>
        <v>$$$</v>
      </c>
      <c r="BQ298" s="88" t="str">
        <f t="shared" si="4"/>
        <v>$$$</v>
      </c>
      <c r="BR298" s="88" t="str">
        <f t="shared" si="5"/>
        <v>$$$</v>
      </c>
      <c r="BS298" s="29" t="e">
        <f t="shared" ref="BS298:CD315" si="759">IF($CI298,IF(BS$7&gt;0,IF(BS$4&gt;$Q298,$BF298+BS$7*(BS$5+$BG298+$BI298),LOOKUP(BS$7,$AH298:$AL298,$AM298:$AQ298)+IF($AG298="Y",SUMPRODUCT($AX298:$BB298-$AW298:$BA298,BS$7-$AR298:$AV298,N(BS$7&gt;$AR298:$AV298)),BS$7*LOOKUP(BS$7,$AR298:$AV298,$AX298:$BB298))+IF($BE298="Y",$BF298,$BC298)+BS$7*IF($BE298="Y",$BG298,$BD298))*100/BS$7,""),NA())</f>
        <v>#N/A</v>
      </c>
      <c r="BT298" s="29" t="e">
        <f t="shared" si="759"/>
        <v>#N/A</v>
      </c>
      <c r="BU298" s="29" t="e">
        <f t="shared" si="759"/>
        <v>#N/A</v>
      </c>
      <c r="BV298" s="29" t="e">
        <f t="shared" si="759"/>
        <v>#N/A</v>
      </c>
      <c r="BW298" s="29" t="e">
        <f t="shared" si="759"/>
        <v>#N/A</v>
      </c>
      <c r="BX298" s="29" t="e">
        <f t="shared" si="759"/>
        <v>#N/A</v>
      </c>
      <c r="BY298" s="29" t="e">
        <f t="shared" si="759"/>
        <v>#N/A</v>
      </c>
      <c r="BZ298" s="29" t="e">
        <f t="shared" si="759"/>
        <v>#N/A</v>
      </c>
      <c r="CA298" s="29" t="e">
        <f t="shared" si="759"/>
        <v>#N/A</v>
      </c>
      <c r="CB298" s="29" t="e">
        <f t="shared" si="759"/>
        <v>#N/A</v>
      </c>
      <c r="CC298" s="29" t="e">
        <f t="shared" si="759"/>
        <v>#N/A</v>
      </c>
      <c r="CD298" s="29" t="e">
        <f t="shared" si="759"/>
        <v>#N/A</v>
      </c>
      <c r="CE298" s="6" t="str">
        <f t="shared" si="650"/>
        <v/>
      </c>
      <c r="CF298" s="27" t="e">
        <f>IF(AND(CI298,NOT(AD298)),LOOKUP(CF$5,{0,750,1500},H298:J298),"")</f>
        <v>#N/A</v>
      </c>
      <c r="CG298" s="6" t="str">
        <f t="shared" si="651"/>
        <v/>
      </c>
      <c r="CH298" t="e">
        <f t="shared" ref="CH298:CH315" si="760">IF(CI298,IF(ISNUMBER(BO298),BO298,100000)+CV298/10000+IF(ISNUMBER(BJ298),BJ298,2)/10000-P298/100000+ROW()/10000000,"")</f>
        <v>#N/A</v>
      </c>
      <c r="CI298" t="e">
        <f t="shared" ref="CI298:CI315" si="761">PRODUCT(CJ298:CQ298)</f>
        <v>#N/A</v>
      </c>
      <c r="CJ298" s="6" t="e">
        <f t="shared" si="11"/>
        <v>#N/A</v>
      </c>
      <c r="CK298" s="6">
        <f t="shared" si="12"/>
        <v>1</v>
      </c>
      <c r="CL298" s="6">
        <f t="shared" si="26"/>
        <v>1</v>
      </c>
      <c r="CM298" s="6">
        <f t="shared" si="13"/>
        <v>1</v>
      </c>
      <c r="CN298" s="6">
        <f t="shared" si="14"/>
        <v>1</v>
      </c>
      <c r="CO298" s="6">
        <f t="shared" si="15"/>
        <v>1</v>
      </c>
      <c r="CP298" s="6">
        <f t="shared" si="16"/>
        <v>1</v>
      </c>
      <c r="CQ298" s="6">
        <f t="shared" ref="CQ298:CQ315" si="762">IF(CQ$5="Any",1,IF(AND(CQ$5="Med",AV298=0,SUM(AN298:AQ298)=0),1,IF(AND(CQ$5="Low",AV298=0,SUM(AN298:AQ298)=0,AM298=0),1,IF(AND(CQ$5="Flat",AV298=0,SUM(AN298:AQ298)=0,AM298=0,IFERROR(NOT(BE298="Y"),0)),1,0))))</f>
        <v>1</v>
      </c>
      <c r="CR298" s="81" t="str">
        <f t="shared" si="17"/>
        <v/>
      </c>
      <c r="CS298">
        <f t="shared" ref="CS298:CS315" si="763">CS$5*(12/(MIN(12,Q298))-1)</f>
        <v>0</v>
      </c>
      <c r="CT298">
        <f>IF(OR(LEFT($R298,2)="No",LEFT($R298,4)="Batt"),0,VALUE(IFERROR(LEFT($R298,FIND("/",$R298)-1),IFERROR(LEFT($R298,FIND(" ",$R298)-1),$R298))))</f>
        <v>99</v>
      </c>
      <c r="CU298" t="str">
        <f t="shared" si="29"/>
        <v/>
      </c>
      <c r="CV298" s="81">
        <f t="shared" ref="CV298:CV315" si="764">CT298*IF(CU298="",1,Q298)</f>
        <v>99</v>
      </c>
      <c r="CW298" s="81">
        <f>(CV298/25)^1.5*(Calculator!$BU$4/10000)*CW$5</f>
        <v>4.0981975578080165</v>
      </c>
      <c r="CX298" t="str">
        <f t="shared" ref="CX298:CX315" si="765">"$"&amp;IF(LEFT(CU298,1)="r",CT298&amp;"/"&amp;CU298,CV298)</f>
        <v>$99</v>
      </c>
    </row>
    <row r="299" spans="2:102" x14ac:dyDescent="0.25">
      <c r="B299" s="115" t="s">
        <v>233</v>
      </c>
      <c r="C299" s="13">
        <v>46309.581944444442</v>
      </c>
      <c r="D299">
        <v>29296</v>
      </c>
      <c r="E299" s="54" t="s">
        <v>235</v>
      </c>
      <c r="F299" s="54" t="s">
        <v>590</v>
      </c>
      <c r="G299" s="54" t="s">
        <v>1584</v>
      </c>
      <c r="H299" s="55">
        <v>13.4</v>
      </c>
      <c r="I299" s="55">
        <v>12.9</v>
      </c>
      <c r="J299" s="55">
        <v>12.7</v>
      </c>
      <c r="K299" s="54"/>
      <c r="L299" s="56" t="b">
        <v>0</v>
      </c>
      <c r="M299" s="56" t="b">
        <v>0</v>
      </c>
      <c r="N299" s="54">
        <v>1</v>
      </c>
      <c r="O299" s="54" t="s">
        <v>228</v>
      </c>
      <c r="P299" s="54">
        <v>6</v>
      </c>
      <c r="Q299" s="54">
        <v>12</v>
      </c>
      <c r="R299" s="54">
        <v>99</v>
      </c>
      <c r="S299" s="54" t="s">
        <v>1469</v>
      </c>
      <c r="T299" s="54" t="s">
        <v>1585</v>
      </c>
      <c r="U299" s="54" t="s">
        <v>1462</v>
      </c>
      <c r="V299" s="54" t="s">
        <v>1470</v>
      </c>
      <c r="W299" s="54" t="b">
        <v>0</v>
      </c>
      <c r="X299" s="54"/>
      <c r="Y299" s="57" t="s">
        <v>2029</v>
      </c>
      <c r="Z299" s="54" t="s">
        <v>1471</v>
      </c>
      <c r="AA299" s="54"/>
      <c r="AB299" s="54" t="s">
        <v>1472</v>
      </c>
      <c r="AC299" s="56" t="b">
        <v>0</v>
      </c>
      <c r="AD299" s="56" t="b">
        <v>0</v>
      </c>
      <c r="AE299" s="54" t="s">
        <v>302</v>
      </c>
      <c r="AF299" s="58">
        <v>46309</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5.9262000000000002E-2</v>
      </c>
      <c r="BC299" s="60"/>
      <c r="BD299" s="61"/>
      <c r="BE299" s="62" t="s">
        <v>293</v>
      </c>
      <c r="BF299" s="35">
        <f t="shared" si="754"/>
        <v>4.9000000000000004</v>
      </c>
      <c r="BG299" s="35">
        <f t="shared" si="754"/>
        <v>6.5333000000000002E-2</v>
      </c>
      <c r="BH299" s="35" t="str">
        <f t="shared" si="755"/>
        <v>Low</v>
      </c>
      <c r="BI299" s="110">
        <f t="shared" si="756"/>
        <v>0</v>
      </c>
      <c r="BJ299" s="83">
        <f>VLOOKUP($F299,REP_Info!$D$6:$H$250,5,FALSE)</f>
        <v>1.694</v>
      </c>
      <c r="BK299" s="30">
        <f t="shared" si="757"/>
        <v>13.439499999999999</v>
      </c>
      <c r="BL299" s="30">
        <f t="shared" si="757"/>
        <v>12.9495</v>
      </c>
      <c r="BM299" s="30">
        <f t="shared" si="757"/>
        <v>12.704499999999999</v>
      </c>
      <c r="BN299" s="29">
        <f t="shared" si="757"/>
        <v>12.622833333333332</v>
      </c>
      <c r="BO299" s="85" t="str">
        <f t="shared" si="2"/>
        <v>$$$</v>
      </c>
      <c r="BP299" s="88" t="str">
        <f t="shared" si="758"/>
        <v>$$$</v>
      </c>
      <c r="BQ299" s="88" t="str">
        <f t="shared" si="4"/>
        <v>$$$</v>
      </c>
      <c r="BR299" s="88" t="str">
        <f t="shared" si="5"/>
        <v>$$$</v>
      </c>
      <c r="BS299" s="29" t="e">
        <f t="shared" si="759"/>
        <v>#N/A</v>
      </c>
      <c r="BT299" s="29" t="e">
        <f t="shared" si="759"/>
        <v>#N/A</v>
      </c>
      <c r="BU299" s="29" t="e">
        <f t="shared" si="759"/>
        <v>#N/A</v>
      </c>
      <c r="BV299" s="29" t="e">
        <f t="shared" si="759"/>
        <v>#N/A</v>
      </c>
      <c r="BW299" s="29" t="e">
        <f t="shared" si="759"/>
        <v>#N/A</v>
      </c>
      <c r="BX299" s="29" t="e">
        <f t="shared" si="759"/>
        <v>#N/A</v>
      </c>
      <c r="BY299" s="29" t="e">
        <f t="shared" si="759"/>
        <v>#N/A</v>
      </c>
      <c r="BZ299" s="29" t="e">
        <f t="shared" si="759"/>
        <v>#N/A</v>
      </c>
      <c r="CA299" s="29" t="e">
        <f t="shared" si="759"/>
        <v>#N/A</v>
      </c>
      <c r="CB299" s="29" t="e">
        <f t="shared" si="759"/>
        <v>#N/A</v>
      </c>
      <c r="CC299" s="29" t="e">
        <f t="shared" si="759"/>
        <v>#N/A</v>
      </c>
      <c r="CD299" s="29" t="e">
        <f t="shared" si="759"/>
        <v>#N/A</v>
      </c>
      <c r="CE299" s="6" t="str">
        <f t="shared" si="650"/>
        <v/>
      </c>
      <c r="CF299" s="27" t="e">
        <f>IF(AND(CI299,NOT(AD299)),LOOKUP(CF$5,{0,750,1500},H299:J299),"")</f>
        <v>#N/A</v>
      </c>
      <c r="CG299" s="6" t="str">
        <f t="shared" si="651"/>
        <v/>
      </c>
      <c r="CH299" t="e">
        <f t="shared" si="760"/>
        <v>#N/A</v>
      </c>
      <c r="CI299" t="e">
        <f t="shared" si="761"/>
        <v>#N/A</v>
      </c>
      <c r="CJ299" s="6" t="e">
        <f t="shared" si="11"/>
        <v>#N/A</v>
      </c>
      <c r="CK299" s="6">
        <f t="shared" si="12"/>
        <v>1</v>
      </c>
      <c r="CL299" s="6">
        <f t="shared" si="26"/>
        <v>1</v>
      </c>
      <c r="CM299" s="6">
        <f t="shared" si="13"/>
        <v>1</v>
      </c>
      <c r="CN299" s="6">
        <f t="shared" si="14"/>
        <v>1</v>
      </c>
      <c r="CO299" s="6">
        <f t="shared" si="15"/>
        <v>1</v>
      </c>
      <c r="CP299" s="6">
        <f t="shared" si="16"/>
        <v>1</v>
      </c>
      <c r="CQ299" s="6">
        <f t="shared" si="762"/>
        <v>1</v>
      </c>
      <c r="CR299" s="81" t="str">
        <f t="shared" si="17"/>
        <v/>
      </c>
      <c r="CS299">
        <f t="shared" si="763"/>
        <v>0</v>
      </c>
      <c r="CT299">
        <f t="shared" ref="CT299:CT360" si="766">IF(OR(LEFT($R299,2)="No",LEFT($R299,4)="Batt"),0,VALUE(IFERROR(LEFT($R299,FIND("/",$R299)-1),IFERROR(LEFT($R299,FIND(" ",$R299)-1),$R299))))</f>
        <v>99</v>
      </c>
      <c r="CU299" t="str">
        <f t="shared" si="29"/>
        <v/>
      </c>
      <c r="CV299" s="81">
        <f t="shared" si="764"/>
        <v>99</v>
      </c>
      <c r="CW299" s="81">
        <f>(CV299/25)^1.5*(Calculator!$BU$4/10000)*CW$5</f>
        <v>4.0981975578080165</v>
      </c>
      <c r="CX299" t="str">
        <f t="shared" si="765"/>
        <v>$99</v>
      </c>
    </row>
    <row r="300" spans="2:102" x14ac:dyDescent="0.25">
      <c r="B300" s="115" t="s">
        <v>233</v>
      </c>
      <c r="C300" s="13">
        <v>46303.582638888889</v>
      </c>
      <c r="D300">
        <v>29302</v>
      </c>
      <c r="E300" s="54" t="s">
        <v>237</v>
      </c>
      <c r="F300" s="54" t="s">
        <v>590</v>
      </c>
      <c r="G300" s="54" t="s">
        <v>1837</v>
      </c>
      <c r="H300" s="55">
        <v>14.099999999999998</v>
      </c>
      <c r="I300" s="55">
        <v>13.200000000000001</v>
      </c>
      <c r="J300" s="55">
        <v>12.7</v>
      </c>
      <c r="K300" s="54"/>
      <c r="L300" s="56" t="b">
        <v>0</v>
      </c>
      <c r="M300" s="56" t="b">
        <v>0</v>
      </c>
      <c r="N300" s="54">
        <v>1</v>
      </c>
      <c r="O300" s="54" t="s">
        <v>228</v>
      </c>
      <c r="P300" s="54">
        <v>6</v>
      </c>
      <c r="Q300" s="54">
        <v>15</v>
      </c>
      <c r="R300" s="54">
        <v>99</v>
      </c>
      <c r="S300" s="54" t="s">
        <v>1469</v>
      </c>
      <c r="T300" s="54"/>
      <c r="U300" s="54" t="s">
        <v>1462</v>
      </c>
      <c r="V300" s="54" t="s">
        <v>1470</v>
      </c>
      <c r="W300" s="54" t="b">
        <v>0</v>
      </c>
      <c r="X300" s="54"/>
      <c r="Y300" s="57" t="s">
        <v>1984</v>
      </c>
      <c r="Z300" s="54" t="s">
        <v>1471</v>
      </c>
      <c r="AA300" s="54"/>
      <c r="AB300" s="54" t="s">
        <v>1472</v>
      </c>
      <c r="AC300" s="56" t="b">
        <v>0</v>
      </c>
      <c r="AD300" s="56" t="b">
        <v>0</v>
      </c>
      <c r="AE300" s="54" t="s">
        <v>302</v>
      </c>
      <c r="AF300" s="58">
        <v>46302</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5.3898000000000001E-2</v>
      </c>
      <c r="BC300" s="60"/>
      <c r="BD300" s="61"/>
      <c r="BE300" s="62" t="s">
        <v>293</v>
      </c>
      <c r="BF300" s="35">
        <f t="shared" si="754"/>
        <v>4.0600000000000005</v>
      </c>
      <c r="BG300" s="35">
        <f t="shared" si="754"/>
        <v>6.8672999999999998E-2</v>
      </c>
      <c r="BH300" s="35" t="str">
        <f t="shared" si="755"/>
        <v>Med</v>
      </c>
      <c r="BI300" s="110">
        <f t="shared" si="756"/>
        <v>0</v>
      </c>
      <c r="BJ300" s="83">
        <f>VLOOKUP($F300,REP_Info!$D$6:$H$250,5,FALSE)</f>
        <v>1.694</v>
      </c>
      <c r="BK300" s="30">
        <f t="shared" si="757"/>
        <v>14.059100000000001</v>
      </c>
      <c r="BL300" s="30">
        <f t="shared" si="757"/>
        <v>13.158100000000003</v>
      </c>
      <c r="BM300" s="30">
        <f t="shared" si="757"/>
        <v>12.707600000000001</v>
      </c>
      <c r="BN300" s="29">
        <f t="shared" si="757"/>
        <v>12.557433333333334</v>
      </c>
      <c r="BO300" s="85" t="str">
        <f t="shared" si="2"/>
        <v>$$$</v>
      </c>
      <c r="BP300" s="88" t="str">
        <f t="shared" si="758"/>
        <v>$$$</v>
      </c>
      <c r="BQ300" s="88" t="str">
        <f t="shared" si="4"/>
        <v>$$$</v>
      </c>
      <c r="BR300" s="88" t="str">
        <f t="shared" si="5"/>
        <v>$$$</v>
      </c>
      <c r="BS300" s="29" t="e">
        <f t="shared" si="759"/>
        <v>#N/A</v>
      </c>
      <c r="BT300" s="29" t="e">
        <f t="shared" si="759"/>
        <v>#N/A</v>
      </c>
      <c r="BU300" s="29" t="e">
        <f t="shared" si="759"/>
        <v>#N/A</v>
      </c>
      <c r="BV300" s="29" t="e">
        <f t="shared" si="759"/>
        <v>#N/A</v>
      </c>
      <c r="BW300" s="29" t="e">
        <f t="shared" si="759"/>
        <v>#N/A</v>
      </c>
      <c r="BX300" s="29" t="e">
        <f t="shared" si="759"/>
        <v>#N/A</v>
      </c>
      <c r="BY300" s="29" t="e">
        <f t="shared" si="759"/>
        <v>#N/A</v>
      </c>
      <c r="BZ300" s="29" t="e">
        <f t="shared" si="759"/>
        <v>#N/A</v>
      </c>
      <c r="CA300" s="29" t="e">
        <f t="shared" si="759"/>
        <v>#N/A</v>
      </c>
      <c r="CB300" s="29" t="e">
        <f t="shared" si="759"/>
        <v>#N/A</v>
      </c>
      <c r="CC300" s="29" t="e">
        <f t="shared" si="759"/>
        <v>#N/A</v>
      </c>
      <c r="CD300" s="29" t="e">
        <f t="shared" si="759"/>
        <v>#N/A</v>
      </c>
      <c r="CE300" s="6" t="str">
        <f t="shared" si="650"/>
        <v/>
      </c>
      <c r="CF300" s="27" t="e">
        <f>IF(AND(CI300,NOT(AD300)),LOOKUP(CF$5,{0,750,1500},H300:J300),"")</f>
        <v>#N/A</v>
      </c>
      <c r="CG300" s="6" t="str">
        <f t="shared" si="651"/>
        <v/>
      </c>
      <c r="CH300" t="e">
        <f t="shared" si="760"/>
        <v>#N/A</v>
      </c>
      <c r="CI300" t="e">
        <f t="shared" si="761"/>
        <v>#N/A</v>
      </c>
      <c r="CJ300" s="6" t="e">
        <f t="shared" si="11"/>
        <v>#N/A</v>
      </c>
      <c r="CK300" s="6">
        <f t="shared" si="12"/>
        <v>1</v>
      </c>
      <c r="CL300" s="6">
        <f t="shared" si="26"/>
        <v>1</v>
      </c>
      <c r="CM300" s="6">
        <f t="shared" si="13"/>
        <v>1</v>
      </c>
      <c r="CN300" s="6">
        <f t="shared" si="14"/>
        <v>1</v>
      </c>
      <c r="CO300" s="6">
        <f t="shared" si="15"/>
        <v>0</v>
      </c>
      <c r="CP300" s="6">
        <f t="shared" si="16"/>
        <v>1</v>
      </c>
      <c r="CQ300" s="6">
        <f t="shared" si="762"/>
        <v>1</v>
      </c>
      <c r="CR300" s="81" t="str">
        <f t="shared" si="17"/>
        <v/>
      </c>
      <c r="CS300">
        <f t="shared" si="763"/>
        <v>0</v>
      </c>
      <c r="CT300">
        <f t="shared" si="766"/>
        <v>99</v>
      </c>
      <c r="CU300" t="str">
        <f t="shared" si="29"/>
        <v/>
      </c>
      <c r="CV300" s="81">
        <f t="shared" si="764"/>
        <v>99</v>
      </c>
      <c r="CW300" s="81">
        <f>(CV300/25)^1.5*(Calculator!$BU$4/10000)*CW$5</f>
        <v>4.0981975578080165</v>
      </c>
      <c r="CX300" t="str">
        <f t="shared" si="765"/>
        <v>$99</v>
      </c>
    </row>
    <row r="301" spans="2:102" x14ac:dyDescent="0.25">
      <c r="B301" s="115" t="s">
        <v>233</v>
      </c>
      <c r="C301" s="13">
        <v>46296.854166666664</v>
      </c>
      <c r="D301">
        <v>29306</v>
      </c>
      <c r="E301" s="54" t="s">
        <v>235</v>
      </c>
      <c r="F301" s="54" t="s">
        <v>590</v>
      </c>
      <c r="G301" s="54" t="s">
        <v>1837</v>
      </c>
      <c r="H301" s="55">
        <v>13.600000000000001</v>
      </c>
      <c r="I301" s="55">
        <v>12.6</v>
      </c>
      <c r="J301" s="55">
        <v>12.2</v>
      </c>
      <c r="K301" s="54"/>
      <c r="L301" s="56" t="b">
        <v>0</v>
      </c>
      <c r="M301" s="56" t="b">
        <v>0</v>
      </c>
      <c r="N301" s="54">
        <v>1</v>
      </c>
      <c r="O301" s="54" t="s">
        <v>228</v>
      </c>
      <c r="P301" s="54">
        <v>6</v>
      </c>
      <c r="Q301" s="54">
        <v>15</v>
      </c>
      <c r="R301" s="54">
        <v>99</v>
      </c>
      <c r="S301" s="54" t="s">
        <v>1469</v>
      </c>
      <c r="T301" s="54"/>
      <c r="U301" s="54" t="s">
        <v>1462</v>
      </c>
      <c r="V301" s="54" t="s">
        <v>1470</v>
      </c>
      <c r="W301" s="54" t="b">
        <v>0</v>
      </c>
      <c r="X301" s="54"/>
      <c r="Y301" s="57" t="s">
        <v>1877</v>
      </c>
      <c r="Z301" s="54" t="s">
        <v>1471</v>
      </c>
      <c r="AA301" s="54"/>
      <c r="AB301" s="54" t="s">
        <v>1472</v>
      </c>
      <c r="AC301" s="56" t="b">
        <v>0</v>
      </c>
      <c r="AD301" s="56" t="b">
        <v>0</v>
      </c>
      <c r="AE301" s="54" t="s">
        <v>302</v>
      </c>
      <c r="AF301" s="58">
        <v>46296</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5.1312000000000003E-2</v>
      </c>
      <c r="BC301" s="60"/>
      <c r="BD301" s="61"/>
      <c r="BE301" s="62" t="s">
        <v>293</v>
      </c>
      <c r="BF301" s="35">
        <f t="shared" si="754"/>
        <v>4.9000000000000004</v>
      </c>
      <c r="BG301" s="35">
        <f t="shared" si="754"/>
        <v>6.5333000000000002E-2</v>
      </c>
      <c r="BH301" s="35" t="str">
        <f t="shared" si="755"/>
        <v>Med</v>
      </c>
      <c r="BI301" s="110">
        <f t="shared" si="756"/>
        <v>0</v>
      </c>
      <c r="BJ301" s="83">
        <f>VLOOKUP($F301,REP_Info!$D$6:$H$250,5,FALSE)</f>
        <v>1.694</v>
      </c>
      <c r="BK301" s="30">
        <f t="shared" si="757"/>
        <v>13.634499999999999</v>
      </c>
      <c r="BL301" s="30">
        <f t="shared" si="757"/>
        <v>12.6495</v>
      </c>
      <c r="BM301" s="30">
        <f t="shared" si="757"/>
        <v>12.157</v>
      </c>
      <c r="BN301" s="29">
        <f t="shared" si="757"/>
        <v>11.992833333333333</v>
      </c>
      <c r="BO301" s="85" t="str">
        <f t="shared" si="2"/>
        <v>$$$</v>
      </c>
      <c r="BP301" s="88" t="str">
        <f t="shared" si="758"/>
        <v>$$$</v>
      </c>
      <c r="BQ301" s="88" t="str">
        <f t="shared" si="4"/>
        <v>$$$</v>
      </c>
      <c r="BR301" s="88" t="str">
        <f t="shared" si="5"/>
        <v>$$$</v>
      </c>
      <c r="BS301" s="29" t="e">
        <f t="shared" si="759"/>
        <v>#N/A</v>
      </c>
      <c r="BT301" s="29" t="e">
        <f t="shared" si="759"/>
        <v>#N/A</v>
      </c>
      <c r="BU301" s="29" t="e">
        <f t="shared" si="759"/>
        <v>#N/A</v>
      </c>
      <c r="BV301" s="29" t="e">
        <f t="shared" si="759"/>
        <v>#N/A</v>
      </c>
      <c r="BW301" s="29" t="e">
        <f t="shared" si="759"/>
        <v>#N/A</v>
      </c>
      <c r="BX301" s="29" t="e">
        <f t="shared" si="759"/>
        <v>#N/A</v>
      </c>
      <c r="BY301" s="29" t="e">
        <f t="shared" si="759"/>
        <v>#N/A</v>
      </c>
      <c r="BZ301" s="29" t="e">
        <f t="shared" si="759"/>
        <v>#N/A</v>
      </c>
      <c r="CA301" s="29" t="e">
        <f t="shared" si="759"/>
        <v>#N/A</v>
      </c>
      <c r="CB301" s="29" t="e">
        <f t="shared" si="759"/>
        <v>#N/A</v>
      </c>
      <c r="CC301" s="29" t="e">
        <f t="shared" si="759"/>
        <v>#N/A</v>
      </c>
      <c r="CD301" s="29" t="e">
        <f t="shared" si="759"/>
        <v>#N/A</v>
      </c>
      <c r="CE301" s="6" t="str">
        <f t="shared" si="650"/>
        <v/>
      </c>
      <c r="CF301" s="27" t="e">
        <f>IF(AND(CI301,NOT(AD301)),LOOKUP(CF$5,{0,750,1500},H301:J301),"")</f>
        <v>#N/A</v>
      </c>
      <c r="CG301" s="6" t="str">
        <f t="shared" si="651"/>
        <v/>
      </c>
      <c r="CH301" t="e">
        <f>IF(CI301,IF(ISNUMBER(BO301),BO301,100000)+CV301/10000+IF(ISNUMBER(BJ301),BJ301,2)/10000-P301/100000+ROW()/10000000,"")</f>
        <v>#N/A</v>
      </c>
      <c r="CI301" t="e">
        <f t="shared" si="761"/>
        <v>#N/A</v>
      </c>
      <c r="CJ301" s="6" t="e">
        <f t="shared" si="11"/>
        <v>#N/A</v>
      </c>
      <c r="CK301" s="6">
        <f t="shared" si="12"/>
        <v>1</v>
      </c>
      <c r="CL301" s="6">
        <f t="shared" si="26"/>
        <v>1</v>
      </c>
      <c r="CM301" s="6">
        <f t="shared" si="13"/>
        <v>1</v>
      </c>
      <c r="CN301" s="6">
        <f t="shared" si="14"/>
        <v>1</v>
      </c>
      <c r="CO301" s="6">
        <f t="shared" si="15"/>
        <v>0</v>
      </c>
      <c r="CP301" s="6">
        <f t="shared" si="16"/>
        <v>1</v>
      </c>
      <c r="CQ301" s="6">
        <f t="shared" si="762"/>
        <v>1</v>
      </c>
      <c r="CR301" s="81" t="str">
        <f t="shared" si="17"/>
        <v/>
      </c>
      <c r="CS301">
        <f t="shared" si="763"/>
        <v>0</v>
      </c>
      <c r="CT301">
        <f t="shared" si="766"/>
        <v>99</v>
      </c>
      <c r="CU301" t="str">
        <f t="shared" si="29"/>
        <v/>
      </c>
      <c r="CV301" s="81">
        <f t="shared" si="764"/>
        <v>99</v>
      </c>
      <c r="CW301" s="81">
        <f>(CV301/25)^1.5*(Calculator!$BU$4/10000)*CW$5</f>
        <v>4.0981975578080165</v>
      </c>
      <c r="CX301" t="str">
        <f t="shared" si="765"/>
        <v>$99</v>
      </c>
    </row>
    <row r="302" spans="2:102" x14ac:dyDescent="0.25">
      <c r="B302" s="115" t="s">
        <v>233</v>
      </c>
      <c r="C302" s="13">
        <v>46303.582638888889</v>
      </c>
      <c r="D302">
        <v>29339</v>
      </c>
      <c r="E302" s="54" t="s">
        <v>237</v>
      </c>
      <c r="F302" s="54" t="s">
        <v>590</v>
      </c>
      <c r="G302" s="54" t="s">
        <v>1500</v>
      </c>
      <c r="H302" s="55">
        <v>14.899999999999999</v>
      </c>
      <c r="I302" s="55">
        <v>14.000000000000002</v>
      </c>
      <c r="J302" s="55">
        <v>13.600000000000001</v>
      </c>
      <c r="K302" s="54"/>
      <c r="L302" s="56" t="b">
        <v>0</v>
      </c>
      <c r="M302" s="56" t="b">
        <v>0</v>
      </c>
      <c r="N302" s="54">
        <v>1</v>
      </c>
      <c r="O302" s="54" t="s">
        <v>228</v>
      </c>
      <c r="P302" s="54">
        <v>6</v>
      </c>
      <c r="Q302" s="54">
        <v>36</v>
      </c>
      <c r="R302" s="54">
        <v>249</v>
      </c>
      <c r="S302" s="54" t="s">
        <v>1469</v>
      </c>
      <c r="T302" s="54" t="s">
        <v>1465</v>
      </c>
      <c r="U302" s="54" t="s">
        <v>1462</v>
      </c>
      <c r="V302" s="54" t="s">
        <v>1470</v>
      </c>
      <c r="W302" s="54" t="b">
        <v>0</v>
      </c>
      <c r="X302" s="54"/>
      <c r="Y302" s="57" t="s">
        <v>1985</v>
      </c>
      <c r="Z302" s="54" t="s">
        <v>1473</v>
      </c>
      <c r="AA302" s="54"/>
      <c r="AB302" s="54" t="s">
        <v>1472</v>
      </c>
      <c r="AC302" s="56" t="b">
        <v>1</v>
      </c>
      <c r="AD302" s="56" t="b">
        <v>0</v>
      </c>
      <c r="AE302" s="54" t="s">
        <v>302</v>
      </c>
      <c r="AF302" s="58">
        <v>46302</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6.2378000000000003E-2</v>
      </c>
      <c r="BC302" s="60"/>
      <c r="BD302" s="61"/>
      <c r="BE302" s="62" t="s">
        <v>293</v>
      </c>
      <c r="BF302" s="35">
        <f t="shared" si="754"/>
        <v>4.0600000000000005</v>
      </c>
      <c r="BG302" s="35">
        <f t="shared" si="754"/>
        <v>6.8672999999999998E-2</v>
      </c>
      <c r="BH302" s="35" t="str">
        <f t="shared" si="755"/>
        <v>Med</v>
      </c>
      <c r="BI302" s="110">
        <f t="shared" si="756"/>
        <v>0</v>
      </c>
      <c r="BJ302" s="83">
        <f>VLOOKUP($F302,REP_Info!$D$6:$H$250,5,FALSE)</f>
        <v>1.694</v>
      </c>
      <c r="BK302" s="30">
        <f t="shared" si="757"/>
        <v>14.907100000000002</v>
      </c>
      <c r="BL302" s="30">
        <f t="shared" si="757"/>
        <v>14.0061</v>
      </c>
      <c r="BM302" s="30">
        <f t="shared" si="757"/>
        <v>13.555599999999998</v>
      </c>
      <c r="BN302" s="29">
        <f t="shared" si="757"/>
        <v>13.405433333333335</v>
      </c>
      <c r="BO302" s="85" t="str">
        <f t="shared" si="2"/>
        <v>$$$</v>
      </c>
      <c r="BP302" s="88" t="str">
        <f t="shared" si="758"/>
        <v>$$$</v>
      </c>
      <c r="BQ302" s="88" t="str">
        <f t="shared" si="4"/>
        <v>$$$</v>
      </c>
      <c r="BR302" s="88" t="str">
        <f t="shared" si="5"/>
        <v>$$$</v>
      </c>
      <c r="BS302" s="29" t="e">
        <f t="shared" si="759"/>
        <v>#N/A</v>
      </c>
      <c r="BT302" s="29" t="e">
        <f t="shared" si="759"/>
        <v>#N/A</v>
      </c>
      <c r="BU302" s="29" t="e">
        <f t="shared" si="759"/>
        <v>#N/A</v>
      </c>
      <c r="BV302" s="29" t="e">
        <f t="shared" si="759"/>
        <v>#N/A</v>
      </c>
      <c r="BW302" s="29" t="e">
        <f t="shared" si="759"/>
        <v>#N/A</v>
      </c>
      <c r="BX302" s="29" t="e">
        <f t="shared" si="759"/>
        <v>#N/A</v>
      </c>
      <c r="BY302" s="29" t="e">
        <f t="shared" si="759"/>
        <v>#N/A</v>
      </c>
      <c r="BZ302" s="29" t="e">
        <f t="shared" si="759"/>
        <v>#N/A</v>
      </c>
      <c r="CA302" s="29" t="e">
        <f t="shared" si="759"/>
        <v>#N/A</v>
      </c>
      <c r="CB302" s="29" t="e">
        <f t="shared" si="759"/>
        <v>#N/A</v>
      </c>
      <c r="CC302" s="29" t="e">
        <f t="shared" si="759"/>
        <v>#N/A</v>
      </c>
      <c r="CD302" s="29" t="e">
        <f t="shared" si="759"/>
        <v>#N/A</v>
      </c>
      <c r="CE302" s="6" t="str">
        <f t="shared" si="650"/>
        <v/>
      </c>
      <c r="CF302" s="27" t="e">
        <f>IF(AND(CI302,NOT(AD302)),LOOKUP(CF$5,{0,750,1500},H302:J302),"")</f>
        <v>#N/A</v>
      </c>
      <c r="CG302" s="6" t="str">
        <f t="shared" si="651"/>
        <v/>
      </c>
      <c r="CH302" t="e">
        <f t="shared" si="760"/>
        <v>#N/A</v>
      </c>
      <c r="CI302" t="e">
        <f t="shared" si="761"/>
        <v>#N/A</v>
      </c>
      <c r="CJ302" s="6" t="e">
        <f t="shared" si="11"/>
        <v>#N/A</v>
      </c>
      <c r="CK302" s="6">
        <f t="shared" si="12"/>
        <v>1</v>
      </c>
      <c r="CL302" s="6">
        <f t="shared" si="26"/>
        <v>1</v>
      </c>
      <c r="CM302" s="6">
        <f t="shared" si="13"/>
        <v>1</v>
      </c>
      <c r="CN302" s="6">
        <f t="shared" si="14"/>
        <v>1</v>
      </c>
      <c r="CO302" s="6">
        <f t="shared" si="15"/>
        <v>0</v>
      </c>
      <c r="CP302" s="6">
        <f t="shared" si="16"/>
        <v>1</v>
      </c>
      <c r="CQ302" s="6">
        <f t="shared" si="762"/>
        <v>1</v>
      </c>
      <c r="CR302" s="81" t="str">
        <f t="shared" si="17"/>
        <v/>
      </c>
      <c r="CS302">
        <f t="shared" si="763"/>
        <v>0</v>
      </c>
      <c r="CT302">
        <f t="shared" si="766"/>
        <v>249</v>
      </c>
      <c r="CU302" t="str">
        <f t="shared" si="29"/>
        <v/>
      </c>
      <c r="CV302" s="81">
        <f t="shared" si="764"/>
        <v>249</v>
      </c>
      <c r="CW302" s="81">
        <f>(CV302/25)^1.5*(Calculator!$BU$4/10000)*CW$5</f>
        <v>16.347039759684691</v>
      </c>
      <c r="CX302" t="str">
        <f t="shared" si="765"/>
        <v>$249</v>
      </c>
    </row>
    <row r="303" spans="2:102" x14ac:dyDescent="0.25">
      <c r="B303" s="115" t="s">
        <v>233</v>
      </c>
      <c r="C303" s="13">
        <v>46296.854166666664</v>
      </c>
      <c r="D303">
        <v>29342</v>
      </c>
      <c r="E303" s="54" t="s">
        <v>235</v>
      </c>
      <c r="F303" s="54" t="s">
        <v>590</v>
      </c>
      <c r="G303" s="54" t="s">
        <v>1500</v>
      </c>
      <c r="H303" s="55">
        <v>14.499999999999998</v>
      </c>
      <c r="I303" s="55">
        <v>13.5</v>
      </c>
      <c r="J303" s="55">
        <v>13</v>
      </c>
      <c r="K303" s="54"/>
      <c r="L303" s="56" t="b">
        <v>0</v>
      </c>
      <c r="M303" s="56" t="b">
        <v>0</v>
      </c>
      <c r="N303" s="54">
        <v>1</v>
      </c>
      <c r="O303" s="54" t="s">
        <v>228</v>
      </c>
      <c r="P303" s="54">
        <v>6</v>
      </c>
      <c r="Q303" s="54">
        <v>36</v>
      </c>
      <c r="R303" s="54">
        <v>249</v>
      </c>
      <c r="S303" s="54" t="s">
        <v>1469</v>
      </c>
      <c r="T303" s="54" t="s">
        <v>1465</v>
      </c>
      <c r="U303" s="54" t="s">
        <v>1462</v>
      </c>
      <c r="V303" s="54" t="s">
        <v>1470</v>
      </c>
      <c r="W303" s="54" t="b">
        <v>0</v>
      </c>
      <c r="X303" s="54"/>
      <c r="Y303" s="57" t="s">
        <v>1878</v>
      </c>
      <c r="Z303" s="54" t="s">
        <v>1473</v>
      </c>
      <c r="AA303" s="54"/>
      <c r="AB303" s="54" t="s">
        <v>1472</v>
      </c>
      <c r="AC303" s="56" t="b">
        <v>1</v>
      </c>
      <c r="AD303" s="56" t="b">
        <v>0</v>
      </c>
      <c r="AE303" s="54" t="s">
        <v>302</v>
      </c>
      <c r="AF303" s="58">
        <v>46296</v>
      </c>
      <c r="AG303" s="62" t="s">
        <v>293</v>
      </c>
      <c r="AH303" s="54">
        <v>0</v>
      </c>
      <c r="AI303" s="54"/>
      <c r="AJ303" s="54"/>
      <c r="AK303" s="54"/>
      <c r="AL303" s="54"/>
      <c r="AM303" s="54">
        <v>4.95</v>
      </c>
      <c r="AN303" s="54"/>
      <c r="AO303" s="54"/>
      <c r="AP303" s="54"/>
      <c r="AQ303" s="54"/>
      <c r="AR303" s="54"/>
      <c r="AS303" s="54"/>
      <c r="AT303" s="54"/>
      <c r="AU303" s="54"/>
      <c r="AV303" s="54"/>
      <c r="AW303" s="54"/>
      <c r="AX303" s="59"/>
      <c r="AY303" s="59"/>
      <c r="AZ303" s="59"/>
      <c r="BA303" s="59"/>
      <c r="BB303" s="59">
        <v>6.0236999999999999E-2</v>
      </c>
      <c r="BC303" s="60"/>
      <c r="BD303" s="61"/>
      <c r="BE303" s="62" t="s">
        <v>293</v>
      </c>
      <c r="BF303" s="35">
        <f t="shared" si="754"/>
        <v>4.9000000000000004</v>
      </c>
      <c r="BG303" s="35">
        <f t="shared" si="754"/>
        <v>6.5333000000000002E-2</v>
      </c>
      <c r="BH303" s="35" t="str">
        <f t="shared" si="755"/>
        <v>Med</v>
      </c>
      <c r="BI303" s="110">
        <f t="shared" si="756"/>
        <v>0</v>
      </c>
      <c r="BJ303" s="83">
        <f>VLOOKUP($F303,REP_Info!$D$6:$H$250,5,FALSE)</f>
        <v>1.694</v>
      </c>
      <c r="BK303" s="30">
        <f t="shared" si="757"/>
        <v>14.526999999999997</v>
      </c>
      <c r="BL303" s="30">
        <f t="shared" si="757"/>
        <v>13.542000000000002</v>
      </c>
      <c r="BM303" s="30">
        <f t="shared" si="757"/>
        <v>13.0495</v>
      </c>
      <c r="BN303" s="29">
        <f t="shared" si="757"/>
        <v>12.885333333333332</v>
      </c>
      <c r="BO303" s="85" t="str">
        <f t="shared" si="2"/>
        <v>$$$</v>
      </c>
      <c r="BP303" s="88" t="str">
        <f t="shared" si="758"/>
        <v>$$$</v>
      </c>
      <c r="BQ303" s="88" t="str">
        <f t="shared" si="4"/>
        <v>$$$</v>
      </c>
      <c r="BR303" s="88" t="str">
        <f t="shared" si="5"/>
        <v>$$$</v>
      </c>
      <c r="BS303" s="29" t="e">
        <f t="shared" si="759"/>
        <v>#N/A</v>
      </c>
      <c r="BT303" s="29" t="e">
        <f t="shared" si="759"/>
        <v>#N/A</v>
      </c>
      <c r="BU303" s="29" t="e">
        <f t="shared" si="759"/>
        <v>#N/A</v>
      </c>
      <c r="BV303" s="29" t="e">
        <f t="shared" si="759"/>
        <v>#N/A</v>
      </c>
      <c r="BW303" s="29" t="e">
        <f t="shared" si="759"/>
        <v>#N/A</v>
      </c>
      <c r="BX303" s="29" t="e">
        <f t="shared" si="759"/>
        <v>#N/A</v>
      </c>
      <c r="BY303" s="29" t="e">
        <f t="shared" si="759"/>
        <v>#N/A</v>
      </c>
      <c r="BZ303" s="29" t="e">
        <f t="shared" si="759"/>
        <v>#N/A</v>
      </c>
      <c r="CA303" s="29" t="e">
        <f t="shared" si="759"/>
        <v>#N/A</v>
      </c>
      <c r="CB303" s="29" t="e">
        <f t="shared" si="759"/>
        <v>#N/A</v>
      </c>
      <c r="CC303" s="29" t="e">
        <f t="shared" si="759"/>
        <v>#N/A</v>
      </c>
      <c r="CD303" s="29" t="e">
        <f t="shared" si="759"/>
        <v>#N/A</v>
      </c>
      <c r="CE303" s="6" t="str">
        <f t="shared" si="650"/>
        <v/>
      </c>
      <c r="CF303" s="27" t="e">
        <f>IF(AND(CI303,NOT(AD303)),LOOKUP(CF$5,{0,750,1500},H303:J303),"")</f>
        <v>#N/A</v>
      </c>
      <c r="CG303" s="6" t="str">
        <f t="shared" si="651"/>
        <v/>
      </c>
      <c r="CH303" t="e">
        <f t="shared" si="760"/>
        <v>#N/A</v>
      </c>
      <c r="CI303" t="e">
        <f t="shared" si="761"/>
        <v>#N/A</v>
      </c>
      <c r="CJ303" s="6" t="e">
        <f t="shared" si="11"/>
        <v>#N/A</v>
      </c>
      <c r="CK303" s="6">
        <f t="shared" si="12"/>
        <v>1</v>
      </c>
      <c r="CL303" s="6">
        <f t="shared" si="26"/>
        <v>1</v>
      </c>
      <c r="CM303" s="6">
        <f t="shared" si="13"/>
        <v>1</v>
      </c>
      <c r="CN303" s="6">
        <f t="shared" si="14"/>
        <v>1</v>
      </c>
      <c r="CO303" s="6">
        <f t="shared" si="15"/>
        <v>0</v>
      </c>
      <c r="CP303" s="6">
        <f t="shared" si="16"/>
        <v>1</v>
      </c>
      <c r="CQ303" s="6">
        <f t="shared" si="762"/>
        <v>1</v>
      </c>
      <c r="CR303" s="81" t="str">
        <f t="shared" si="17"/>
        <v/>
      </c>
      <c r="CS303">
        <f t="shared" si="763"/>
        <v>0</v>
      </c>
      <c r="CT303">
        <f t="shared" si="766"/>
        <v>249</v>
      </c>
      <c r="CU303" t="str">
        <f t="shared" si="29"/>
        <v/>
      </c>
      <c r="CV303" s="81">
        <f t="shared" si="764"/>
        <v>249</v>
      </c>
      <c r="CW303" s="81">
        <f>(CV303/25)^1.5*(Calculator!$BU$4/10000)*CW$5</f>
        <v>16.347039759684691</v>
      </c>
      <c r="CX303" t="str">
        <f t="shared" si="765"/>
        <v>$249</v>
      </c>
    </row>
    <row r="304" spans="2:102" x14ac:dyDescent="0.25">
      <c r="B304" s="115" t="s">
        <v>233</v>
      </c>
      <c r="C304" s="13">
        <v>46317.620833333334</v>
      </c>
      <c r="D304">
        <v>29354</v>
      </c>
      <c r="E304" s="54" t="s">
        <v>237</v>
      </c>
      <c r="F304" s="54" t="s">
        <v>590</v>
      </c>
      <c r="G304" s="54" t="s">
        <v>1986</v>
      </c>
      <c r="H304" s="55">
        <v>13</v>
      </c>
      <c r="I304" s="55">
        <v>12.1</v>
      </c>
      <c r="J304" s="55">
        <v>11.600000000000001</v>
      </c>
      <c r="K304" s="54"/>
      <c r="L304" s="56" t="b">
        <v>0</v>
      </c>
      <c r="M304" s="56" t="b">
        <v>0</v>
      </c>
      <c r="N304" s="54">
        <v>1</v>
      </c>
      <c r="O304" s="54" t="s">
        <v>228</v>
      </c>
      <c r="P304" s="54">
        <v>6</v>
      </c>
      <c r="Q304" s="54">
        <v>8</v>
      </c>
      <c r="R304" s="54">
        <v>99</v>
      </c>
      <c r="S304" s="54" t="s">
        <v>1469</v>
      </c>
      <c r="T304" s="54"/>
      <c r="U304" s="54" t="s">
        <v>1462</v>
      </c>
      <c r="V304" s="54" t="s">
        <v>1470</v>
      </c>
      <c r="W304" s="54" t="b">
        <v>0</v>
      </c>
      <c r="X304" s="54"/>
      <c r="Y304" s="57" t="s">
        <v>2226</v>
      </c>
      <c r="Z304" s="54" t="s">
        <v>1469</v>
      </c>
      <c r="AA304" s="54"/>
      <c r="AB304" s="54" t="s">
        <v>1472</v>
      </c>
      <c r="AC304" s="56" t="b">
        <v>0</v>
      </c>
      <c r="AD304" s="56" t="b">
        <v>0</v>
      </c>
      <c r="AE304" s="54" t="s">
        <v>302</v>
      </c>
      <c r="AF304" s="58">
        <v>46316</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4.3152000000000003E-2</v>
      </c>
      <c r="BC304" s="60"/>
      <c r="BD304" s="61"/>
      <c r="BE304" s="62" t="s">
        <v>293</v>
      </c>
      <c r="BF304" s="35">
        <f t="shared" si="754"/>
        <v>4.0600000000000005</v>
      </c>
      <c r="BG304" s="35">
        <f t="shared" si="754"/>
        <v>6.8672999999999998E-2</v>
      </c>
      <c r="BH304" s="35" t="str">
        <f t="shared" si="755"/>
        <v>Med</v>
      </c>
      <c r="BI304" s="110">
        <f t="shared" si="756"/>
        <v>0</v>
      </c>
      <c r="BJ304" s="83">
        <f>VLOOKUP($F304,REP_Info!$D$6:$H$250,5,FALSE)</f>
        <v>1.694</v>
      </c>
      <c r="BK304" s="30">
        <f t="shared" si="757"/>
        <v>12.984500000000001</v>
      </c>
      <c r="BL304" s="30">
        <f t="shared" si="757"/>
        <v>12.083500000000001</v>
      </c>
      <c r="BM304" s="30">
        <f t="shared" si="757"/>
        <v>11.633000000000003</v>
      </c>
      <c r="BN304" s="29">
        <f t="shared" si="757"/>
        <v>11.482833333333334</v>
      </c>
      <c r="BO304" s="85" t="str">
        <f t="shared" si="2"/>
        <v>$$$</v>
      </c>
      <c r="BP304" s="88" t="str">
        <f t="shared" si="758"/>
        <v>$$$</v>
      </c>
      <c r="BQ304" s="88" t="str">
        <f t="shared" si="4"/>
        <v>$$$</v>
      </c>
      <c r="BR304" s="88" t="str">
        <f t="shared" si="5"/>
        <v>$$$</v>
      </c>
      <c r="BS304" s="29" t="e">
        <f t="shared" si="759"/>
        <v>#N/A</v>
      </c>
      <c r="BT304" s="29" t="e">
        <f t="shared" si="759"/>
        <v>#N/A</v>
      </c>
      <c r="BU304" s="29" t="e">
        <f t="shared" si="759"/>
        <v>#N/A</v>
      </c>
      <c r="BV304" s="29" t="e">
        <f t="shared" si="759"/>
        <v>#N/A</v>
      </c>
      <c r="BW304" s="29" t="e">
        <f t="shared" si="759"/>
        <v>#N/A</v>
      </c>
      <c r="BX304" s="29" t="e">
        <f t="shared" si="759"/>
        <v>#N/A</v>
      </c>
      <c r="BY304" s="29" t="e">
        <f t="shared" si="759"/>
        <v>#N/A</v>
      </c>
      <c r="BZ304" s="29" t="e">
        <f t="shared" si="759"/>
        <v>#N/A</v>
      </c>
      <c r="CA304" s="29" t="e">
        <f t="shared" si="759"/>
        <v>#N/A</v>
      </c>
      <c r="CB304" s="29" t="e">
        <f t="shared" si="759"/>
        <v>#N/A</v>
      </c>
      <c r="CC304" s="29" t="e">
        <f t="shared" si="759"/>
        <v>#N/A</v>
      </c>
      <c r="CD304" s="29" t="e">
        <f t="shared" si="759"/>
        <v>#N/A</v>
      </c>
      <c r="CE304" s="6" t="str">
        <f t="shared" si="650"/>
        <v/>
      </c>
      <c r="CF304" s="27" t="e">
        <f>IF(AND(CI304,NOT(AD304)),LOOKUP(CF$5,{0,750,1500},H304:J304),"")</f>
        <v>#N/A</v>
      </c>
      <c r="CG304" s="6" t="str">
        <f t="shared" si="651"/>
        <v/>
      </c>
      <c r="CH304" t="e">
        <f t="shared" si="760"/>
        <v>#N/A</v>
      </c>
      <c r="CI304" t="e">
        <f t="shared" si="761"/>
        <v>#N/A</v>
      </c>
      <c r="CJ304" s="6" t="e">
        <f t="shared" si="11"/>
        <v>#N/A</v>
      </c>
      <c r="CK304" s="6">
        <f t="shared" si="12"/>
        <v>1</v>
      </c>
      <c r="CL304" s="6">
        <f t="shared" si="26"/>
        <v>1</v>
      </c>
      <c r="CM304" s="6">
        <f t="shared" si="13"/>
        <v>1</v>
      </c>
      <c r="CN304" s="6">
        <f t="shared" si="14"/>
        <v>0</v>
      </c>
      <c r="CO304" s="6">
        <f t="shared" si="15"/>
        <v>1</v>
      </c>
      <c r="CP304" s="6">
        <f t="shared" si="16"/>
        <v>1</v>
      </c>
      <c r="CQ304" s="6">
        <f t="shared" si="762"/>
        <v>1</v>
      </c>
      <c r="CR304" s="81" t="str">
        <f t="shared" si="17"/>
        <v/>
      </c>
      <c r="CS304">
        <f t="shared" si="763"/>
        <v>9</v>
      </c>
      <c r="CT304">
        <f t="shared" si="766"/>
        <v>99</v>
      </c>
      <c r="CU304" t="str">
        <f t="shared" si="29"/>
        <v/>
      </c>
      <c r="CV304" s="81">
        <f t="shared" si="764"/>
        <v>99</v>
      </c>
      <c r="CW304" s="81">
        <f>(CV304/25)^1.5*(Calculator!$BU$4/10000)*CW$5</f>
        <v>4.0981975578080165</v>
      </c>
      <c r="CX304" t="str">
        <f t="shared" si="765"/>
        <v>$99</v>
      </c>
    </row>
    <row r="305" spans="2:102" x14ac:dyDescent="0.25">
      <c r="B305" s="115" t="s">
        <v>233</v>
      </c>
      <c r="C305" s="13">
        <v>46316.611111111109</v>
      </c>
      <c r="D305">
        <v>29361</v>
      </c>
      <c r="E305" s="54" t="s">
        <v>237</v>
      </c>
      <c r="F305" s="54" t="s">
        <v>590</v>
      </c>
      <c r="G305" s="54" t="s">
        <v>1501</v>
      </c>
      <c r="H305" s="55">
        <v>10.9</v>
      </c>
      <c r="I305" s="55">
        <v>9.9</v>
      </c>
      <c r="J305" s="55">
        <v>9.5</v>
      </c>
      <c r="K305" s="54"/>
      <c r="L305" s="56" t="b">
        <v>0</v>
      </c>
      <c r="M305" s="56" t="b">
        <v>0</v>
      </c>
      <c r="N305" s="54">
        <v>0</v>
      </c>
      <c r="O305" s="54" t="s">
        <v>238</v>
      </c>
      <c r="P305" s="54">
        <v>6</v>
      </c>
      <c r="Q305" s="54">
        <v>1</v>
      </c>
      <c r="R305" s="54">
        <v>0</v>
      </c>
      <c r="S305" s="54" t="s">
        <v>1469</v>
      </c>
      <c r="T305" s="54"/>
      <c r="U305" s="54" t="s">
        <v>1462</v>
      </c>
      <c r="V305" s="54" t="s">
        <v>1470</v>
      </c>
      <c r="W305" s="54" t="b">
        <v>0</v>
      </c>
      <c r="X305" s="54"/>
      <c r="Y305" s="57" t="s">
        <v>2206</v>
      </c>
      <c r="Z305" s="54" t="s">
        <v>1471</v>
      </c>
      <c r="AA305" s="54"/>
      <c r="AB305" s="54" t="s">
        <v>1472</v>
      </c>
      <c r="AC305" s="56" t="b">
        <v>1</v>
      </c>
      <c r="AD305" s="56" t="b">
        <v>0</v>
      </c>
      <c r="AE305" s="54"/>
      <c r="AF305" s="58"/>
      <c r="AG305" s="62" t="s">
        <v>293</v>
      </c>
      <c r="AH305" s="54"/>
      <c r="AI305" s="54"/>
      <c r="AJ305" s="54"/>
      <c r="AK305" s="54"/>
      <c r="AL305" s="54"/>
      <c r="AM305" s="54">
        <v>0</v>
      </c>
      <c r="AN305" s="54"/>
      <c r="AO305" s="54"/>
      <c r="AP305" s="54"/>
      <c r="AQ305" s="54"/>
      <c r="AR305" s="54"/>
      <c r="AS305" s="54"/>
      <c r="AT305" s="54"/>
      <c r="AU305" s="54"/>
      <c r="AV305" s="54"/>
      <c r="AW305" s="54"/>
      <c r="AX305" s="59"/>
      <c r="AY305" s="59"/>
      <c r="AZ305" s="59"/>
      <c r="BA305" s="59"/>
      <c r="BB305" s="59"/>
      <c r="BC305" s="60"/>
      <c r="BD305" s="61"/>
      <c r="BE305" s="62"/>
      <c r="BF305" s="35">
        <f t="shared" si="754"/>
        <v>4.0600000000000005</v>
      </c>
      <c r="BG305" s="35">
        <f t="shared" si="754"/>
        <v>6.8672999999999998E-2</v>
      </c>
      <c r="BH305" s="35" t="str">
        <f t="shared" si="755"/>
        <v>?</v>
      </c>
      <c r="BI305" s="110" t="str">
        <f t="shared" si="756"/>
        <v/>
      </c>
      <c r="BJ305" s="83">
        <f>VLOOKUP($F305,REP_Info!$D$6:$H$250,5,FALSE)</f>
        <v>1.694</v>
      </c>
      <c r="BK305" s="30" t="e">
        <f t="shared" si="757"/>
        <v>#N/A</v>
      </c>
      <c r="BL305" s="30" t="e">
        <f t="shared" si="757"/>
        <v>#N/A</v>
      </c>
      <c r="BM305" s="30" t="e">
        <f t="shared" si="757"/>
        <v>#N/A</v>
      </c>
      <c r="BN305" s="29" t="e">
        <f t="shared" si="757"/>
        <v>#N/A</v>
      </c>
      <c r="BO305" s="85" t="str">
        <f t="shared" si="2"/>
        <v>$$$</v>
      </c>
      <c r="BP305" s="88" t="str">
        <f t="shared" si="758"/>
        <v>$$$</v>
      </c>
      <c r="BQ305" s="88" t="str">
        <f t="shared" si="4"/>
        <v>$$$</v>
      </c>
      <c r="BR305" s="88" t="str">
        <f t="shared" si="5"/>
        <v>$$$</v>
      </c>
      <c r="BS305" s="29" t="e">
        <f t="shared" si="759"/>
        <v>#N/A</v>
      </c>
      <c r="BT305" s="29" t="e">
        <f t="shared" si="759"/>
        <v>#N/A</v>
      </c>
      <c r="BU305" s="29" t="e">
        <f t="shared" si="759"/>
        <v>#N/A</v>
      </c>
      <c r="BV305" s="29" t="e">
        <f t="shared" si="759"/>
        <v>#N/A</v>
      </c>
      <c r="BW305" s="29" t="e">
        <f t="shared" si="759"/>
        <v>#N/A</v>
      </c>
      <c r="BX305" s="29" t="e">
        <f t="shared" si="759"/>
        <v>#N/A</v>
      </c>
      <c r="BY305" s="29" t="e">
        <f t="shared" si="759"/>
        <v>#N/A</v>
      </c>
      <c r="BZ305" s="29" t="e">
        <f t="shared" si="759"/>
        <v>#N/A</v>
      </c>
      <c r="CA305" s="29" t="e">
        <f t="shared" si="759"/>
        <v>#N/A</v>
      </c>
      <c r="CB305" s="29" t="e">
        <f t="shared" si="759"/>
        <v>#N/A</v>
      </c>
      <c r="CC305" s="29" t="e">
        <f t="shared" si="759"/>
        <v>#N/A</v>
      </c>
      <c r="CD305" s="29" t="e">
        <f t="shared" si="759"/>
        <v>#N/A</v>
      </c>
      <c r="CE305" s="6" t="str">
        <f t="shared" si="650"/>
        <v/>
      </c>
      <c r="CF305" s="27" t="e">
        <f>IF(AND(CI305,NOT(AD305)),LOOKUP(CF$5,{0,750,1500},H305:J305),"")</f>
        <v>#N/A</v>
      </c>
      <c r="CG305" s="6" t="str">
        <f t="shared" si="651"/>
        <v/>
      </c>
      <c r="CH305" t="e">
        <f t="shared" si="760"/>
        <v>#N/A</v>
      </c>
      <c r="CI305" t="e">
        <f t="shared" si="761"/>
        <v>#N/A</v>
      </c>
      <c r="CJ305" s="6" t="e">
        <f t="shared" si="11"/>
        <v>#N/A</v>
      </c>
      <c r="CK305" s="6">
        <f t="shared" si="12"/>
        <v>1</v>
      </c>
      <c r="CL305" s="6">
        <f t="shared" si="26"/>
        <v>1</v>
      </c>
      <c r="CM305" s="6">
        <f t="shared" si="13"/>
        <v>0</v>
      </c>
      <c r="CN305" s="6">
        <f t="shared" si="14"/>
        <v>0</v>
      </c>
      <c r="CO305" s="6">
        <f t="shared" si="15"/>
        <v>1</v>
      </c>
      <c r="CP305" s="6">
        <f t="shared" si="16"/>
        <v>1</v>
      </c>
      <c r="CQ305" s="6">
        <f t="shared" si="762"/>
        <v>1</v>
      </c>
      <c r="CR305" s="81" t="str">
        <f t="shared" si="17"/>
        <v/>
      </c>
      <c r="CS305">
        <f t="shared" si="763"/>
        <v>198</v>
      </c>
      <c r="CT305">
        <f t="shared" si="766"/>
        <v>0</v>
      </c>
      <c r="CU305" t="str">
        <f t="shared" si="29"/>
        <v/>
      </c>
      <c r="CV305" s="81">
        <f t="shared" si="764"/>
        <v>0</v>
      </c>
      <c r="CW305" s="81">
        <f>(CV305/25)^1.5*(Calculator!$BU$4/10000)*CW$5</f>
        <v>0</v>
      </c>
      <c r="CX305" t="str">
        <f t="shared" si="765"/>
        <v>$0</v>
      </c>
    </row>
    <row r="306" spans="2:102" x14ac:dyDescent="0.25">
      <c r="B306" s="115" t="s">
        <v>233</v>
      </c>
      <c r="C306" s="13">
        <v>46316.611111111109</v>
      </c>
      <c r="D306">
        <v>29362</v>
      </c>
      <c r="E306" s="54" t="s">
        <v>235</v>
      </c>
      <c r="F306" s="54" t="s">
        <v>590</v>
      </c>
      <c r="G306" s="54" t="s">
        <v>1501</v>
      </c>
      <c r="H306" s="55">
        <v>10.7</v>
      </c>
      <c r="I306" s="55">
        <v>9.7000000000000011</v>
      </c>
      <c r="J306" s="55">
        <v>9.3000000000000007</v>
      </c>
      <c r="K306" s="54"/>
      <c r="L306" s="56" t="b">
        <v>0</v>
      </c>
      <c r="M306" s="56" t="b">
        <v>0</v>
      </c>
      <c r="N306" s="54">
        <v>0</v>
      </c>
      <c r="O306" s="54" t="s">
        <v>238</v>
      </c>
      <c r="P306" s="54">
        <v>6</v>
      </c>
      <c r="Q306" s="54">
        <v>1</v>
      </c>
      <c r="R306" s="54">
        <v>0</v>
      </c>
      <c r="S306" s="54" t="s">
        <v>1469</v>
      </c>
      <c r="T306" s="54"/>
      <c r="U306" s="54" t="s">
        <v>1462</v>
      </c>
      <c r="V306" s="54" t="s">
        <v>1470</v>
      </c>
      <c r="W306" s="54" t="b">
        <v>0</v>
      </c>
      <c r="X306" s="54"/>
      <c r="Y306" s="57" t="s">
        <v>2207</v>
      </c>
      <c r="Z306" s="54" t="s">
        <v>1471</v>
      </c>
      <c r="AA306" s="54"/>
      <c r="AB306" s="54" t="s">
        <v>1472</v>
      </c>
      <c r="AC306" s="56" t="b">
        <v>1</v>
      </c>
      <c r="AD306" s="56" t="b">
        <v>0</v>
      </c>
      <c r="AE306" s="54"/>
      <c r="AF306" s="58"/>
      <c r="AG306" s="62" t="s">
        <v>293</v>
      </c>
      <c r="AH306" s="54"/>
      <c r="AI306" s="54"/>
      <c r="AJ306" s="54"/>
      <c r="AK306" s="54"/>
      <c r="AL306" s="54"/>
      <c r="AM306" s="54">
        <v>0</v>
      </c>
      <c r="AN306" s="54"/>
      <c r="AO306" s="54"/>
      <c r="AP306" s="54"/>
      <c r="AQ306" s="54"/>
      <c r="AR306" s="54"/>
      <c r="AS306" s="54"/>
      <c r="AT306" s="54"/>
      <c r="AU306" s="54"/>
      <c r="AV306" s="54"/>
      <c r="AW306" s="54"/>
      <c r="AX306" s="59"/>
      <c r="AY306" s="59"/>
      <c r="AZ306" s="59"/>
      <c r="BA306" s="59"/>
      <c r="BB306" s="59"/>
      <c r="BC306" s="60"/>
      <c r="BD306" s="61"/>
      <c r="BE306" s="62"/>
      <c r="BF306" s="35">
        <f t="shared" si="754"/>
        <v>4.9000000000000004</v>
      </c>
      <c r="BG306" s="35">
        <f t="shared" si="754"/>
        <v>6.5333000000000002E-2</v>
      </c>
      <c r="BH306" s="35" t="str">
        <f t="shared" si="755"/>
        <v>?</v>
      </c>
      <c r="BI306" s="110" t="str">
        <f t="shared" si="756"/>
        <v/>
      </c>
      <c r="BJ306" s="83">
        <f>VLOOKUP($F306,REP_Info!$D$6:$H$250,5,FALSE)</f>
        <v>1.694</v>
      </c>
      <c r="BK306" s="30" t="e">
        <f t="shared" si="757"/>
        <v>#N/A</v>
      </c>
      <c r="BL306" s="30" t="e">
        <f t="shared" si="757"/>
        <v>#N/A</v>
      </c>
      <c r="BM306" s="30" t="e">
        <f t="shared" si="757"/>
        <v>#N/A</v>
      </c>
      <c r="BN306" s="29" t="e">
        <f t="shared" si="757"/>
        <v>#N/A</v>
      </c>
      <c r="BO306" s="85" t="str">
        <f t="shared" si="2"/>
        <v>$$$</v>
      </c>
      <c r="BP306" s="88" t="str">
        <f t="shared" si="758"/>
        <v>$$$</v>
      </c>
      <c r="BQ306" s="88" t="str">
        <f t="shared" si="4"/>
        <v>$$$</v>
      </c>
      <c r="BR306" s="88" t="str">
        <f t="shared" si="5"/>
        <v>$$$</v>
      </c>
      <c r="BS306" s="29" t="e">
        <f t="shared" si="759"/>
        <v>#N/A</v>
      </c>
      <c r="BT306" s="29" t="e">
        <f t="shared" si="759"/>
        <v>#N/A</v>
      </c>
      <c r="BU306" s="29" t="e">
        <f t="shared" si="759"/>
        <v>#N/A</v>
      </c>
      <c r="BV306" s="29" t="e">
        <f t="shared" si="759"/>
        <v>#N/A</v>
      </c>
      <c r="BW306" s="29" t="e">
        <f t="shared" si="759"/>
        <v>#N/A</v>
      </c>
      <c r="BX306" s="29" t="e">
        <f t="shared" si="759"/>
        <v>#N/A</v>
      </c>
      <c r="BY306" s="29" t="e">
        <f t="shared" si="759"/>
        <v>#N/A</v>
      </c>
      <c r="BZ306" s="29" t="e">
        <f t="shared" si="759"/>
        <v>#N/A</v>
      </c>
      <c r="CA306" s="29" t="e">
        <f t="shared" si="759"/>
        <v>#N/A</v>
      </c>
      <c r="CB306" s="29" t="e">
        <f t="shared" si="759"/>
        <v>#N/A</v>
      </c>
      <c r="CC306" s="29" t="e">
        <f t="shared" si="759"/>
        <v>#N/A</v>
      </c>
      <c r="CD306" s="29" t="e">
        <f t="shared" si="759"/>
        <v>#N/A</v>
      </c>
      <c r="CE306" s="6" t="str">
        <f t="shared" si="650"/>
        <v/>
      </c>
      <c r="CF306" s="27" t="e">
        <f>IF(AND(CI306,NOT(AD306)),LOOKUP(CF$5,{0,750,1500},H306:J306),"")</f>
        <v>#N/A</v>
      </c>
      <c r="CG306" s="6" t="str">
        <f t="shared" si="651"/>
        <v/>
      </c>
      <c r="CH306" t="e">
        <f t="shared" si="760"/>
        <v>#N/A</v>
      </c>
      <c r="CI306" t="e">
        <f t="shared" si="761"/>
        <v>#N/A</v>
      </c>
      <c r="CJ306" s="6" t="e">
        <f t="shared" si="11"/>
        <v>#N/A</v>
      </c>
      <c r="CK306" s="6">
        <f t="shared" si="12"/>
        <v>1</v>
      </c>
      <c r="CL306" s="6">
        <f t="shared" si="26"/>
        <v>1</v>
      </c>
      <c r="CM306" s="6">
        <f t="shared" si="13"/>
        <v>0</v>
      </c>
      <c r="CN306" s="6">
        <f t="shared" si="14"/>
        <v>0</v>
      </c>
      <c r="CO306" s="6">
        <f t="shared" si="15"/>
        <v>1</v>
      </c>
      <c r="CP306" s="6">
        <f t="shared" si="16"/>
        <v>1</v>
      </c>
      <c r="CQ306" s="6">
        <f t="shared" si="762"/>
        <v>1</v>
      </c>
      <c r="CR306" s="81" t="str">
        <f t="shared" si="17"/>
        <v/>
      </c>
      <c r="CS306">
        <f t="shared" si="763"/>
        <v>198</v>
      </c>
      <c r="CT306">
        <f t="shared" si="766"/>
        <v>0</v>
      </c>
      <c r="CU306" t="str">
        <f t="shared" si="29"/>
        <v/>
      </c>
      <c r="CV306" s="81">
        <f t="shared" si="764"/>
        <v>0</v>
      </c>
      <c r="CW306" s="81">
        <f>(CV306/25)^1.5*(Calculator!$BU$4/10000)*CW$5</f>
        <v>0</v>
      </c>
      <c r="CX306" t="str">
        <f t="shared" si="765"/>
        <v>$0</v>
      </c>
    </row>
    <row r="307" spans="2:102" x14ac:dyDescent="0.25">
      <c r="B307" s="115" t="s">
        <v>233</v>
      </c>
      <c r="C307" s="13">
        <v>46317.620833333334</v>
      </c>
      <c r="D307">
        <v>36267</v>
      </c>
      <c r="E307" s="54" t="s">
        <v>235</v>
      </c>
      <c r="F307" s="54" t="s">
        <v>590</v>
      </c>
      <c r="G307" s="54" t="s">
        <v>1986</v>
      </c>
      <c r="H307" s="55">
        <v>12.8</v>
      </c>
      <c r="I307" s="55">
        <v>11.799999999999999</v>
      </c>
      <c r="J307" s="55">
        <v>11.3</v>
      </c>
      <c r="K307" s="54"/>
      <c r="L307" s="56" t="b">
        <v>0</v>
      </c>
      <c r="M307" s="56" t="b">
        <v>0</v>
      </c>
      <c r="N307" s="54">
        <v>1</v>
      </c>
      <c r="O307" s="54" t="s">
        <v>228</v>
      </c>
      <c r="P307" s="54">
        <v>6</v>
      </c>
      <c r="Q307" s="54">
        <v>8</v>
      </c>
      <c r="R307" s="54">
        <v>99</v>
      </c>
      <c r="S307" s="54" t="s">
        <v>1469</v>
      </c>
      <c r="T307" s="54"/>
      <c r="U307" s="54" t="s">
        <v>1462</v>
      </c>
      <c r="V307" s="54" t="s">
        <v>1470</v>
      </c>
      <c r="W307" s="54" t="b">
        <v>0</v>
      </c>
      <c r="X307" s="54"/>
      <c r="Y307" s="57" t="s">
        <v>2227</v>
      </c>
      <c r="Z307" s="54" t="s">
        <v>1469</v>
      </c>
      <c r="AA307" s="54"/>
      <c r="AB307" s="54" t="s">
        <v>1472</v>
      </c>
      <c r="AC307" s="56" t="b">
        <v>0</v>
      </c>
      <c r="AD307" s="56" t="b">
        <v>0</v>
      </c>
      <c r="AE307" s="54" t="s">
        <v>302</v>
      </c>
      <c r="AF307" s="58">
        <v>46316</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4.2770000000000002E-2</v>
      </c>
      <c r="BC307" s="60"/>
      <c r="BD307" s="61"/>
      <c r="BE307" s="62" t="s">
        <v>293</v>
      </c>
      <c r="BF307" s="35">
        <f t="shared" si="754"/>
        <v>4.9000000000000004</v>
      </c>
      <c r="BG307" s="35">
        <f t="shared" si="754"/>
        <v>6.5333000000000002E-2</v>
      </c>
      <c r="BH307" s="35" t="str">
        <f t="shared" si="755"/>
        <v>Med</v>
      </c>
      <c r="BI307" s="110">
        <f t="shared" si="756"/>
        <v>0</v>
      </c>
      <c r="BJ307" s="83">
        <f>VLOOKUP($F307,REP_Info!$D$6:$H$250,5,FALSE)</f>
        <v>1.694</v>
      </c>
      <c r="BK307" s="30">
        <f t="shared" si="757"/>
        <v>12.780299999999999</v>
      </c>
      <c r="BL307" s="30">
        <f t="shared" si="757"/>
        <v>11.795300000000001</v>
      </c>
      <c r="BM307" s="30">
        <f t="shared" si="757"/>
        <v>11.302800000000001</v>
      </c>
      <c r="BN307" s="29">
        <f t="shared" si="757"/>
        <v>11.138633333333333</v>
      </c>
      <c r="BO307" s="85" t="str">
        <f t="shared" si="2"/>
        <v>$$$</v>
      </c>
      <c r="BP307" s="88" t="str">
        <f t="shared" si="758"/>
        <v>$$$</v>
      </c>
      <c r="BQ307" s="88" t="str">
        <f t="shared" si="4"/>
        <v>$$$</v>
      </c>
      <c r="BR307" s="88" t="str">
        <f t="shared" si="5"/>
        <v>$$$</v>
      </c>
      <c r="BS307" s="29" t="e">
        <f t="shared" si="759"/>
        <v>#N/A</v>
      </c>
      <c r="BT307" s="29" t="e">
        <f t="shared" si="759"/>
        <v>#N/A</v>
      </c>
      <c r="BU307" s="29" t="e">
        <f t="shared" si="759"/>
        <v>#N/A</v>
      </c>
      <c r="BV307" s="29" t="e">
        <f t="shared" si="759"/>
        <v>#N/A</v>
      </c>
      <c r="BW307" s="29" t="e">
        <f t="shared" si="759"/>
        <v>#N/A</v>
      </c>
      <c r="BX307" s="29" t="e">
        <f t="shared" si="759"/>
        <v>#N/A</v>
      </c>
      <c r="BY307" s="29" t="e">
        <f t="shared" si="759"/>
        <v>#N/A</v>
      </c>
      <c r="BZ307" s="29" t="e">
        <f t="shared" si="759"/>
        <v>#N/A</v>
      </c>
      <c r="CA307" s="29" t="e">
        <f t="shared" si="759"/>
        <v>#N/A</v>
      </c>
      <c r="CB307" s="29" t="e">
        <f t="shared" si="759"/>
        <v>#N/A</v>
      </c>
      <c r="CC307" s="29" t="e">
        <f t="shared" si="759"/>
        <v>#N/A</v>
      </c>
      <c r="CD307" s="29" t="e">
        <f t="shared" si="759"/>
        <v>#N/A</v>
      </c>
      <c r="CE307" s="6" t="str">
        <f t="shared" si="650"/>
        <v/>
      </c>
      <c r="CF307" s="27" t="e">
        <f>IF(AND(CI307,NOT(AD307)),LOOKUP(CF$5,{0,750,1500},H307:J307),"")</f>
        <v>#N/A</v>
      </c>
      <c r="CG307" s="6" t="str">
        <f t="shared" si="651"/>
        <v/>
      </c>
      <c r="CH307" t="e">
        <f t="shared" si="760"/>
        <v>#N/A</v>
      </c>
      <c r="CI307" t="e">
        <f t="shared" si="761"/>
        <v>#N/A</v>
      </c>
      <c r="CJ307" s="6" t="e">
        <f t="shared" si="11"/>
        <v>#N/A</v>
      </c>
      <c r="CK307" s="6">
        <f t="shared" si="12"/>
        <v>1</v>
      </c>
      <c r="CL307" s="6">
        <f t="shared" si="26"/>
        <v>1</v>
      </c>
      <c r="CM307" s="6">
        <f t="shared" si="13"/>
        <v>1</v>
      </c>
      <c r="CN307" s="6">
        <f t="shared" si="14"/>
        <v>0</v>
      </c>
      <c r="CO307" s="6">
        <f t="shared" si="15"/>
        <v>1</v>
      </c>
      <c r="CP307" s="6">
        <f t="shared" si="16"/>
        <v>1</v>
      </c>
      <c r="CQ307" s="6">
        <f t="shared" si="762"/>
        <v>1</v>
      </c>
      <c r="CR307" s="81" t="str">
        <f t="shared" si="17"/>
        <v/>
      </c>
      <c r="CS307">
        <f t="shared" si="763"/>
        <v>9</v>
      </c>
      <c r="CT307">
        <f t="shared" si="766"/>
        <v>99</v>
      </c>
      <c r="CU307" t="str">
        <f t="shared" si="29"/>
        <v/>
      </c>
      <c r="CV307" s="81">
        <f t="shared" si="764"/>
        <v>99</v>
      </c>
      <c r="CW307" s="81">
        <f>(CV307/25)^1.5*(Calculator!$BU$4/10000)*CW$5</f>
        <v>4.0981975578080165</v>
      </c>
      <c r="CX307" t="str">
        <f t="shared" si="765"/>
        <v>$99</v>
      </c>
    </row>
    <row r="308" spans="2:102" x14ac:dyDescent="0.25">
      <c r="B308" s="115" t="s">
        <v>233</v>
      </c>
      <c r="C308" s="13">
        <v>46304.647222222222</v>
      </c>
      <c r="D308">
        <v>26309</v>
      </c>
      <c r="E308" s="54" t="s">
        <v>235</v>
      </c>
      <c r="F308" s="54" t="s">
        <v>591</v>
      </c>
      <c r="G308" s="54" t="s">
        <v>1763</v>
      </c>
      <c r="H308" s="55">
        <v>13.5</v>
      </c>
      <c r="I308" s="55">
        <v>13</v>
      </c>
      <c r="J308" s="55">
        <v>12.7</v>
      </c>
      <c r="K308" s="54"/>
      <c r="L308" s="56" t="b">
        <v>0</v>
      </c>
      <c r="M308" s="56" t="b">
        <v>0</v>
      </c>
      <c r="N308" s="54">
        <v>1</v>
      </c>
      <c r="O308" s="54" t="s">
        <v>228</v>
      </c>
      <c r="P308" s="54">
        <v>37</v>
      </c>
      <c r="Q308" s="54">
        <v>12</v>
      </c>
      <c r="R308" s="54">
        <v>100</v>
      </c>
      <c r="S308" s="54" t="s">
        <v>1811</v>
      </c>
      <c r="T308" s="54"/>
      <c r="U308" s="54" t="s">
        <v>1806</v>
      </c>
      <c r="V308" s="54" t="s">
        <v>1812</v>
      </c>
      <c r="W308" s="54" t="b">
        <v>0</v>
      </c>
      <c r="X308" s="54"/>
      <c r="Y308" s="57" t="s">
        <v>1813</v>
      </c>
      <c r="Z308" s="54" t="s">
        <v>1814</v>
      </c>
      <c r="AA308" s="54"/>
      <c r="AB308" s="54" t="s">
        <v>1815</v>
      </c>
      <c r="AC308" s="56" t="b">
        <v>1</v>
      </c>
      <c r="AD308" s="56" t="b">
        <v>0</v>
      </c>
      <c r="AE308" s="54" t="s">
        <v>302</v>
      </c>
      <c r="AF308" s="58">
        <v>46304</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6.0900000000000003E-2</v>
      </c>
      <c r="BC308" s="60">
        <v>4.9000000000000004</v>
      </c>
      <c r="BD308" s="61">
        <v>6.4130000000000006E-2</v>
      </c>
      <c r="BE308" s="62" t="s">
        <v>293</v>
      </c>
      <c r="BF308" s="35">
        <f t="shared" si="754"/>
        <v>4.9000000000000004</v>
      </c>
      <c r="BG308" s="35">
        <f t="shared" si="754"/>
        <v>6.5333000000000002E-2</v>
      </c>
      <c r="BH308" s="35" t="str">
        <f t="shared" si="755"/>
        <v>Low</v>
      </c>
      <c r="BI308" s="110">
        <f t="shared" si="756"/>
        <v>0</v>
      </c>
      <c r="BJ308" s="83">
        <f>VLOOKUP($F308,REP_Info!$D$6:$H$250,5,FALSE)</f>
        <v>1.159</v>
      </c>
      <c r="BK308" s="30">
        <f t="shared" si="757"/>
        <v>13.603300000000001</v>
      </c>
      <c r="BL308" s="30">
        <f t="shared" si="757"/>
        <v>13.113300000000001</v>
      </c>
      <c r="BM308" s="30">
        <f t="shared" si="757"/>
        <v>12.8683</v>
      </c>
      <c r="BN308" s="29">
        <f t="shared" si="757"/>
        <v>12.786633333333334</v>
      </c>
      <c r="BO308" s="85" t="str">
        <f t="shared" si="2"/>
        <v>$$$</v>
      </c>
      <c r="BP308" s="88" t="str">
        <f t="shared" si="758"/>
        <v>$$$</v>
      </c>
      <c r="BQ308" s="88" t="str">
        <f t="shared" si="4"/>
        <v>$$$</v>
      </c>
      <c r="BR308" s="88" t="str">
        <f t="shared" si="5"/>
        <v>$$$</v>
      </c>
      <c r="BS308" s="29" t="e">
        <f t="shared" si="759"/>
        <v>#N/A</v>
      </c>
      <c r="BT308" s="29" t="e">
        <f t="shared" si="759"/>
        <v>#N/A</v>
      </c>
      <c r="BU308" s="29" t="e">
        <f t="shared" si="759"/>
        <v>#N/A</v>
      </c>
      <c r="BV308" s="29" t="e">
        <f t="shared" si="759"/>
        <v>#N/A</v>
      </c>
      <c r="BW308" s="29" t="e">
        <f t="shared" si="759"/>
        <v>#N/A</v>
      </c>
      <c r="BX308" s="29" t="e">
        <f t="shared" si="759"/>
        <v>#N/A</v>
      </c>
      <c r="BY308" s="29" t="e">
        <f t="shared" si="759"/>
        <v>#N/A</v>
      </c>
      <c r="BZ308" s="29" t="e">
        <f t="shared" si="759"/>
        <v>#N/A</v>
      </c>
      <c r="CA308" s="29" t="e">
        <f t="shared" si="759"/>
        <v>#N/A</v>
      </c>
      <c r="CB308" s="29" t="e">
        <f t="shared" si="759"/>
        <v>#N/A</v>
      </c>
      <c r="CC308" s="29" t="e">
        <f t="shared" si="759"/>
        <v>#N/A</v>
      </c>
      <c r="CD308" s="29" t="e">
        <f t="shared" si="759"/>
        <v>#N/A</v>
      </c>
      <c r="CE308" s="6" t="str">
        <f t="shared" si="650"/>
        <v/>
      </c>
      <c r="CF308" s="27" t="e">
        <f>IF(AND(CI308,NOT(AD308)),LOOKUP(CF$5,{0,750,1500},H308:J308),"")</f>
        <v>#N/A</v>
      </c>
      <c r="CG308" s="6" t="str">
        <f t="shared" si="651"/>
        <v/>
      </c>
      <c r="CH308" t="e">
        <f t="shared" si="760"/>
        <v>#N/A</v>
      </c>
      <c r="CI308" t="e">
        <f t="shared" si="761"/>
        <v>#N/A</v>
      </c>
      <c r="CJ308" s="6" t="e">
        <f t="shared" si="11"/>
        <v>#N/A</v>
      </c>
      <c r="CK308" s="6">
        <f t="shared" si="12"/>
        <v>1</v>
      </c>
      <c r="CL308" s="6">
        <f t="shared" si="26"/>
        <v>1</v>
      </c>
      <c r="CM308" s="6">
        <f t="shared" si="13"/>
        <v>1</v>
      </c>
      <c r="CN308" s="6">
        <f t="shared" si="14"/>
        <v>1</v>
      </c>
      <c r="CO308" s="6">
        <f t="shared" si="15"/>
        <v>1</v>
      </c>
      <c r="CP308" s="6">
        <f t="shared" si="16"/>
        <v>1</v>
      </c>
      <c r="CQ308" s="6">
        <f t="shared" si="762"/>
        <v>1</v>
      </c>
      <c r="CR308" s="81" t="str">
        <f t="shared" si="17"/>
        <v/>
      </c>
      <c r="CS308">
        <f t="shared" si="763"/>
        <v>0</v>
      </c>
      <c r="CT308">
        <f t="shared" si="766"/>
        <v>100</v>
      </c>
      <c r="CU308" t="str">
        <f t="shared" si="29"/>
        <v/>
      </c>
      <c r="CV308" s="81">
        <f t="shared" si="764"/>
        <v>100</v>
      </c>
      <c r="CW308" s="81">
        <f>(CV308/25)^1.5*(Calculator!$BU$4/10000)*CW$5</f>
        <v>4.1604480000000077</v>
      </c>
      <c r="CX308" t="str">
        <f t="shared" si="765"/>
        <v>$100</v>
      </c>
    </row>
    <row r="309" spans="2:102" x14ac:dyDescent="0.25">
      <c r="B309" s="115" t="s">
        <v>233</v>
      </c>
      <c r="C309" s="13">
        <v>46304.647222222222</v>
      </c>
      <c r="D309">
        <v>26323</v>
      </c>
      <c r="E309" s="54" t="s">
        <v>235</v>
      </c>
      <c r="F309" s="54" t="s">
        <v>591</v>
      </c>
      <c r="G309" s="54" t="s">
        <v>1816</v>
      </c>
      <c r="H309" s="55">
        <v>13.600000000000001</v>
      </c>
      <c r="I309" s="55">
        <v>13.100000000000001</v>
      </c>
      <c r="J309" s="55">
        <v>12.8</v>
      </c>
      <c r="K309" s="54"/>
      <c r="L309" s="56" t="b">
        <v>0</v>
      </c>
      <c r="M309" s="56" t="b">
        <v>0</v>
      </c>
      <c r="N309" s="54">
        <v>1</v>
      </c>
      <c r="O309" s="54" t="s">
        <v>228</v>
      </c>
      <c r="P309" s="54">
        <v>37</v>
      </c>
      <c r="Q309" s="54">
        <v>15</v>
      </c>
      <c r="R309" s="54">
        <v>100</v>
      </c>
      <c r="S309" s="54" t="s">
        <v>1811</v>
      </c>
      <c r="T309" s="54"/>
      <c r="U309" s="54" t="s">
        <v>1807</v>
      </c>
      <c r="V309" s="54" t="s">
        <v>1812</v>
      </c>
      <c r="W309" s="54" t="b">
        <v>0</v>
      </c>
      <c r="X309" s="54"/>
      <c r="Y309" s="57" t="s">
        <v>1817</v>
      </c>
      <c r="Z309" s="54" t="s">
        <v>1814</v>
      </c>
      <c r="AA309" s="54"/>
      <c r="AB309" s="54" t="s">
        <v>1815</v>
      </c>
      <c r="AC309" s="56" t="b">
        <v>1</v>
      </c>
      <c r="AD309" s="56" t="b">
        <v>0</v>
      </c>
      <c r="AE309" s="54" t="s">
        <v>302</v>
      </c>
      <c r="AF309" s="58">
        <v>46304</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6.1899999999999997E-2</v>
      </c>
      <c r="BC309" s="60">
        <v>4.9000000000000004</v>
      </c>
      <c r="BD309" s="61">
        <v>6.4130000000000006E-2</v>
      </c>
      <c r="BE309" s="62" t="s">
        <v>293</v>
      </c>
      <c r="BF309" s="35">
        <f t="shared" si="754"/>
        <v>4.9000000000000004</v>
      </c>
      <c r="BG309" s="35">
        <f t="shared" si="754"/>
        <v>6.5333000000000002E-2</v>
      </c>
      <c r="BH309" s="35" t="str">
        <f t="shared" si="755"/>
        <v>Low</v>
      </c>
      <c r="BI309" s="110">
        <f t="shared" si="756"/>
        <v>0</v>
      </c>
      <c r="BJ309" s="83">
        <f>VLOOKUP($F309,REP_Info!$D$6:$H$250,5,FALSE)</f>
        <v>1.159</v>
      </c>
      <c r="BK309" s="30">
        <f t="shared" si="757"/>
        <v>13.7033</v>
      </c>
      <c r="BL309" s="30">
        <f t="shared" si="757"/>
        <v>13.213299999999997</v>
      </c>
      <c r="BM309" s="30">
        <f t="shared" si="757"/>
        <v>12.968299999999999</v>
      </c>
      <c r="BN309" s="29">
        <f t="shared" si="757"/>
        <v>12.886633333333334</v>
      </c>
      <c r="BO309" s="85" t="str">
        <f t="shared" si="2"/>
        <v>$$$</v>
      </c>
      <c r="BP309" s="88" t="str">
        <f t="shared" si="758"/>
        <v>$$$</v>
      </c>
      <c r="BQ309" s="88" t="str">
        <f t="shared" si="4"/>
        <v>$$$</v>
      </c>
      <c r="BR309" s="88" t="str">
        <f t="shared" si="5"/>
        <v>$$$</v>
      </c>
      <c r="BS309" s="29" t="e">
        <f t="shared" si="759"/>
        <v>#N/A</v>
      </c>
      <c r="BT309" s="29" t="e">
        <f t="shared" si="759"/>
        <v>#N/A</v>
      </c>
      <c r="BU309" s="29" t="e">
        <f t="shared" si="759"/>
        <v>#N/A</v>
      </c>
      <c r="BV309" s="29" t="e">
        <f t="shared" si="759"/>
        <v>#N/A</v>
      </c>
      <c r="BW309" s="29" t="e">
        <f t="shared" si="759"/>
        <v>#N/A</v>
      </c>
      <c r="BX309" s="29" t="e">
        <f t="shared" si="759"/>
        <v>#N/A</v>
      </c>
      <c r="BY309" s="29" t="e">
        <f t="shared" si="759"/>
        <v>#N/A</v>
      </c>
      <c r="BZ309" s="29" t="e">
        <f t="shared" si="759"/>
        <v>#N/A</v>
      </c>
      <c r="CA309" s="29" t="e">
        <f t="shared" si="759"/>
        <v>#N/A</v>
      </c>
      <c r="CB309" s="29" t="e">
        <f t="shared" si="759"/>
        <v>#N/A</v>
      </c>
      <c r="CC309" s="29" t="e">
        <f t="shared" si="759"/>
        <v>#N/A</v>
      </c>
      <c r="CD309" s="29" t="e">
        <f t="shared" si="759"/>
        <v>#N/A</v>
      </c>
      <c r="CE309" s="6" t="str">
        <f t="shared" si="650"/>
        <v/>
      </c>
      <c r="CF309" s="27" t="e">
        <f>IF(AND(CI309,NOT(AD309)),LOOKUP(CF$5,{0,750,1500},H309:J309),"")</f>
        <v>#N/A</v>
      </c>
      <c r="CG309" s="6" t="str">
        <f t="shared" si="651"/>
        <v/>
      </c>
      <c r="CH309" t="e">
        <f t="shared" si="760"/>
        <v>#N/A</v>
      </c>
      <c r="CI309" t="e">
        <f t="shared" si="761"/>
        <v>#N/A</v>
      </c>
      <c r="CJ309" s="6" t="e">
        <f t="shared" si="11"/>
        <v>#N/A</v>
      </c>
      <c r="CK309" s="6">
        <f t="shared" si="12"/>
        <v>1</v>
      </c>
      <c r="CL309" s="6">
        <f t="shared" si="26"/>
        <v>1</v>
      </c>
      <c r="CM309" s="6">
        <f t="shared" si="13"/>
        <v>1</v>
      </c>
      <c r="CN309" s="6">
        <f t="shared" si="14"/>
        <v>1</v>
      </c>
      <c r="CO309" s="6">
        <f t="shared" si="15"/>
        <v>0</v>
      </c>
      <c r="CP309" s="6">
        <f t="shared" si="16"/>
        <v>1</v>
      </c>
      <c r="CQ309" s="6">
        <f t="shared" si="762"/>
        <v>1</v>
      </c>
      <c r="CR309" s="81" t="str">
        <f t="shared" si="17"/>
        <v/>
      </c>
      <c r="CS309">
        <f t="shared" si="763"/>
        <v>0</v>
      </c>
      <c r="CT309">
        <f t="shared" si="766"/>
        <v>100</v>
      </c>
      <c r="CU309" t="str">
        <f t="shared" si="29"/>
        <v/>
      </c>
      <c r="CV309" s="81">
        <f t="shared" si="764"/>
        <v>100</v>
      </c>
      <c r="CW309" s="81">
        <f>(CV309/25)^1.5*(Calculator!$BU$4/10000)*CW$5</f>
        <v>4.1604480000000077</v>
      </c>
      <c r="CX309" t="str">
        <f t="shared" si="765"/>
        <v>$100</v>
      </c>
    </row>
    <row r="310" spans="2:102" x14ac:dyDescent="0.25">
      <c r="B310" s="115" t="s">
        <v>233</v>
      </c>
      <c r="C310" s="13">
        <v>46304.647222222222</v>
      </c>
      <c r="D310">
        <v>26333</v>
      </c>
      <c r="E310" s="54" t="s">
        <v>237</v>
      </c>
      <c r="F310" s="54" t="s">
        <v>591</v>
      </c>
      <c r="G310" s="54" t="s">
        <v>1763</v>
      </c>
      <c r="H310" s="55">
        <v>13.600000000000001</v>
      </c>
      <c r="I310" s="55">
        <v>13.200000000000001</v>
      </c>
      <c r="J310" s="55">
        <v>13</v>
      </c>
      <c r="K310" s="54"/>
      <c r="L310" s="56" t="b">
        <v>0</v>
      </c>
      <c r="M310" s="56" t="b">
        <v>0</v>
      </c>
      <c r="N310" s="54">
        <v>1</v>
      </c>
      <c r="O310" s="54" t="s">
        <v>228</v>
      </c>
      <c r="P310" s="54">
        <v>37</v>
      </c>
      <c r="Q310" s="54">
        <v>12</v>
      </c>
      <c r="R310" s="54">
        <v>100</v>
      </c>
      <c r="S310" s="54" t="s">
        <v>1811</v>
      </c>
      <c r="T310" s="54"/>
      <c r="U310" s="54" t="s">
        <v>1804</v>
      </c>
      <c r="V310" s="54" t="s">
        <v>1812</v>
      </c>
      <c r="W310" s="54" t="b">
        <v>0</v>
      </c>
      <c r="X310" s="54"/>
      <c r="Y310" s="57" t="s">
        <v>1818</v>
      </c>
      <c r="Z310" s="54" t="s">
        <v>1814</v>
      </c>
      <c r="AA310" s="54"/>
      <c r="AB310" s="54" t="s">
        <v>1815</v>
      </c>
      <c r="AC310" s="56" t="b">
        <v>1</v>
      </c>
      <c r="AD310" s="56" t="b">
        <v>0</v>
      </c>
      <c r="AE310" s="54" t="s">
        <v>302</v>
      </c>
      <c r="AF310" s="58">
        <v>46304</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5.8900000000000001E-2</v>
      </c>
      <c r="BC310" s="60">
        <v>4.0599999999999996</v>
      </c>
      <c r="BD310" s="61">
        <v>6.8672999999999998E-2</v>
      </c>
      <c r="BE310" s="62" t="s">
        <v>293</v>
      </c>
      <c r="BF310" s="35">
        <f t="shared" si="754"/>
        <v>4.0600000000000005</v>
      </c>
      <c r="BG310" s="35">
        <f t="shared" si="754"/>
        <v>6.8672999999999998E-2</v>
      </c>
      <c r="BH310" s="35" t="str">
        <f t="shared" si="755"/>
        <v>Low</v>
      </c>
      <c r="BI310" s="110">
        <f t="shared" si="756"/>
        <v>0</v>
      </c>
      <c r="BJ310" s="83">
        <f>VLOOKUP($F310,REP_Info!$D$6:$H$250,5,FALSE)</f>
        <v>1.159</v>
      </c>
      <c r="BK310" s="30">
        <f t="shared" si="757"/>
        <v>13.5693</v>
      </c>
      <c r="BL310" s="30">
        <f t="shared" si="757"/>
        <v>13.163300000000001</v>
      </c>
      <c r="BM310" s="30">
        <f t="shared" si="757"/>
        <v>12.960300000000002</v>
      </c>
      <c r="BN310" s="29">
        <f t="shared" si="757"/>
        <v>12.892633333333334</v>
      </c>
      <c r="BO310" s="85" t="str">
        <f t="shared" si="2"/>
        <v>$$$</v>
      </c>
      <c r="BP310" s="88" t="str">
        <f t="shared" si="758"/>
        <v>$$$</v>
      </c>
      <c r="BQ310" s="88" t="str">
        <f t="shared" si="4"/>
        <v>$$$</v>
      </c>
      <c r="BR310" s="88" t="str">
        <f t="shared" si="5"/>
        <v>$$$</v>
      </c>
      <c r="BS310" s="29" t="e">
        <f t="shared" si="759"/>
        <v>#N/A</v>
      </c>
      <c r="BT310" s="29" t="e">
        <f t="shared" si="759"/>
        <v>#N/A</v>
      </c>
      <c r="BU310" s="29" t="e">
        <f t="shared" si="759"/>
        <v>#N/A</v>
      </c>
      <c r="BV310" s="29" t="e">
        <f t="shared" si="759"/>
        <v>#N/A</v>
      </c>
      <c r="BW310" s="29" t="e">
        <f t="shared" si="759"/>
        <v>#N/A</v>
      </c>
      <c r="BX310" s="29" t="e">
        <f t="shared" si="759"/>
        <v>#N/A</v>
      </c>
      <c r="BY310" s="29" t="e">
        <f t="shared" si="759"/>
        <v>#N/A</v>
      </c>
      <c r="BZ310" s="29" t="e">
        <f t="shared" si="759"/>
        <v>#N/A</v>
      </c>
      <c r="CA310" s="29" t="e">
        <f t="shared" si="759"/>
        <v>#N/A</v>
      </c>
      <c r="CB310" s="29" t="e">
        <f t="shared" si="759"/>
        <v>#N/A</v>
      </c>
      <c r="CC310" s="29" t="e">
        <f t="shared" si="759"/>
        <v>#N/A</v>
      </c>
      <c r="CD310" s="29" t="e">
        <f t="shared" si="759"/>
        <v>#N/A</v>
      </c>
      <c r="CE310" s="6" t="str">
        <f t="shared" si="650"/>
        <v/>
      </c>
      <c r="CF310" s="27" t="e">
        <f>IF(AND(CI310,NOT(AD310)),LOOKUP(CF$5,{0,750,1500},H310:J310),"")</f>
        <v>#N/A</v>
      </c>
      <c r="CG310" s="6" t="str">
        <f t="shared" si="651"/>
        <v/>
      </c>
      <c r="CH310" t="e">
        <f t="shared" si="760"/>
        <v>#N/A</v>
      </c>
      <c r="CI310" t="e">
        <f t="shared" si="761"/>
        <v>#N/A</v>
      </c>
      <c r="CJ310" s="6" t="e">
        <f t="shared" si="11"/>
        <v>#N/A</v>
      </c>
      <c r="CK310" s="6">
        <f t="shared" si="12"/>
        <v>1</v>
      </c>
      <c r="CL310" s="6">
        <f t="shared" si="26"/>
        <v>1</v>
      </c>
      <c r="CM310" s="6">
        <f t="shared" si="13"/>
        <v>1</v>
      </c>
      <c r="CN310" s="6">
        <f t="shared" si="14"/>
        <v>1</v>
      </c>
      <c r="CO310" s="6">
        <f t="shared" si="15"/>
        <v>1</v>
      </c>
      <c r="CP310" s="6">
        <f t="shared" si="16"/>
        <v>1</v>
      </c>
      <c r="CQ310" s="6">
        <f t="shared" si="762"/>
        <v>1</v>
      </c>
      <c r="CR310" s="81" t="str">
        <f t="shared" si="17"/>
        <v/>
      </c>
      <c r="CS310">
        <f t="shared" si="763"/>
        <v>0</v>
      </c>
      <c r="CT310">
        <f t="shared" si="766"/>
        <v>100</v>
      </c>
      <c r="CU310" t="str">
        <f t="shared" si="29"/>
        <v/>
      </c>
      <c r="CV310" s="81">
        <f t="shared" si="764"/>
        <v>100</v>
      </c>
      <c r="CW310" s="81">
        <f>(CV310/25)^1.5*(Calculator!$BU$4/10000)*CW$5</f>
        <v>4.1604480000000077</v>
      </c>
      <c r="CX310" t="str">
        <f t="shared" si="765"/>
        <v>$100</v>
      </c>
    </row>
    <row r="311" spans="2:102" x14ac:dyDescent="0.25">
      <c r="B311" s="115" t="s">
        <v>233</v>
      </c>
      <c r="C311" s="13">
        <v>46304.647222222222</v>
      </c>
      <c r="D311">
        <v>26338</v>
      </c>
      <c r="E311" s="54" t="s">
        <v>237</v>
      </c>
      <c r="F311" s="54" t="s">
        <v>591</v>
      </c>
      <c r="G311" s="54" t="s">
        <v>1816</v>
      </c>
      <c r="H311" s="55">
        <v>13.700000000000001</v>
      </c>
      <c r="I311" s="55">
        <v>13.3</v>
      </c>
      <c r="J311" s="55">
        <v>13.100000000000001</v>
      </c>
      <c r="K311" s="54"/>
      <c r="L311" s="56" t="b">
        <v>0</v>
      </c>
      <c r="M311" s="56" t="b">
        <v>0</v>
      </c>
      <c r="N311" s="54">
        <v>1</v>
      </c>
      <c r="O311" s="54" t="s">
        <v>228</v>
      </c>
      <c r="P311" s="54">
        <v>37</v>
      </c>
      <c r="Q311" s="54">
        <v>15</v>
      </c>
      <c r="R311" s="54">
        <v>100</v>
      </c>
      <c r="S311" s="54" t="s">
        <v>1811</v>
      </c>
      <c r="T311" s="54"/>
      <c r="U311" s="54" t="s">
        <v>1804</v>
      </c>
      <c r="V311" s="54" t="s">
        <v>1819</v>
      </c>
      <c r="W311" s="54" t="b">
        <v>0</v>
      </c>
      <c r="X311" s="54"/>
      <c r="Y311" s="57" t="s">
        <v>1820</v>
      </c>
      <c r="Z311" s="54" t="s">
        <v>1814</v>
      </c>
      <c r="AA311" s="54"/>
      <c r="AB311" s="54" t="s">
        <v>1815</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4.0599999999999996</v>
      </c>
      <c r="BD311" s="61">
        <v>6.8672999999999998E-2</v>
      </c>
      <c r="BE311" s="62" t="s">
        <v>293</v>
      </c>
      <c r="BF311" s="35">
        <f t="shared" si="754"/>
        <v>4.0600000000000005</v>
      </c>
      <c r="BG311" s="35">
        <f t="shared" si="754"/>
        <v>6.8672999999999998E-2</v>
      </c>
      <c r="BH311" s="35" t="str">
        <f t="shared" si="755"/>
        <v>Low</v>
      </c>
      <c r="BI311" s="110">
        <f t="shared" si="756"/>
        <v>0</v>
      </c>
      <c r="BJ311" s="83">
        <f>VLOOKUP($F311,REP_Info!$D$6:$H$250,5,FALSE)</f>
        <v>1.159</v>
      </c>
      <c r="BK311" s="30">
        <f t="shared" si="757"/>
        <v>13.6693</v>
      </c>
      <c r="BL311" s="30">
        <f t="shared" si="757"/>
        <v>13.263300000000001</v>
      </c>
      <c r="BM311" s="30">
        <f t="shared" si="757"/>
        <v>13.060300000000002</v>
      </c>
      <c r="BN311" s="29">
        <f t="shared" si="757"/>
        <v>12.992633333333334</v>
      </c>
      <c r="BO311" s="85" t="str">
        <f t="shared" si="2"/>
        <v>$$$</v>
      </c>
      <c r="BP311" s="88" t="str">
        <f t="shared" si="758"/>
        <v>$$$</v>
      </c>
      <c r="BQ311" s="88" t="str">
        <f t="shared" si="4"/>
        <v>$$$</v>
      </c>
      <c r="BR311" s="88" t="str">
        <f t="shared" si="5"/>
        <v>$$$</v>
      </c>
      <c r="BS311" s="29" t="e">
        <f t="shared" si="759"/>
        <v>#N/A</v>
      </c>
      <c r="BT311" s="29" t="e">
        <f t="shared" si="759"/>
        <v>#N/A</v>
      </c>
      <c r="BU311" s="29" t="e">
        <f t="shared" si="759"/>
        <v>#N/A</v>
      </c>
      <c r="BV311" s="29" t="e">
        <f t="shared" si="759"/>
        <v>#N/A</v>
      </c>
      <c r="BW311" s="29" t="e">
        <f t="shared" si="759"/>
        <v>#N/A</v>
      </c>
      <c r="BX311" s="29" t="e">
        <f t="shared" si="759"/>
        <v>#N/A</v>
      </c>
      <c r="BY311" s="29" t="e">
        <f t="shared" si="759"/>
        <v>#N/A</v>
      </c>
      <c r="BZ311" s="29" t="e">
        <f t="shared" si="759"/>
        <v>#N/A</v>
      </c>
      <c r="CA311" s="29" t="e">
        <f t="shared" si="759"/>
        <v>#N/A</v>
      </c>
      <c r="CB311" s="29" t="e">
        <f t="shared" si="759"/>
        <v>#N/A</v>
      </c>
      <c r="CC311" s="29" t="e">
        <f t="shared" si="759"/>
        <v>#N/A</v>
      </c>
      <c r="CD311" s="29" t="e">
        <f t="shared" si="759"/>
        <v>#N/A</v>
      </c>
      <c r="CE311" s="6" t="str">
        <f t="shared" si="650"/>
        <v/>
      </c>
      <c r="CF311" s="27" t="e">
        <f>IF(AND(CI311,NOT(AD311)),LOOKUP(CF$5,{0,750,1500},H311:J311),"")</f>
        <v>#N/A</v>
      </c>
      <c r="CG311" s="6" t="str">
        <f t="shared" si="651"/>
        <v/>
      </c>
      <c r="CH311" t="e">
        <f t="shared" si="760"/>
        <v>#N/A</v>
      </c>
      <c r="CI311" t="e">
        <f t="shared" si="761"/>
        <v>#N/A</v>
      </c>
      <c r="CJ311" s="6" t="e">
        <f t="shared" si="11"/>
        <v>#N/A</v>
      </c>
      <c r="CK311" s="6">
        <f t="shared" si="12"/>
        <v>1</v>
      </c>
      <c r="CL311" s="6">
        <f t="shared" si="26"/>
        <v>1</v>
      </c>
      <c r="CM311" s="6">
        <f t="shared" si="13"/>
        <v>1</v>
      </c>
      <c r="CN311" s="6">
        <f t="shared" si="14"/>
        <v>1</v>
      </c>
      <c r="CO311" s="6">
        <f t="shared" si="15"/>
        <v>0</v>
      </c>
      <c r="CP311" s="6">
        <f t="shared" si="16"/>
        <v>1</v>
      </c>
      <c r="CQ311" s="6">
        <f t="shared" si="762"/>
        <v>1</v>
      </c>
      <c r="CR311" s="81" t="str">
        <f t="shared" si="17"/>
        <v/>
      </c>
      <c r="CS311">
        <f t="shared" si="763"/>
        <v>0</v>
      </c>
      <c r="CT311">
        <f t="shared" si="766"/>
        <v>100</v>
      </c>
      <c r="CU311" t="str">
        <f t="shared" si="29"/>
        <v/>
      </c>
      <c r="CV311" s="81">
        <f t="shared" si="764"/>
        <v>100</v>
      </c>
      <c r="CW311" s="81">
        <f>(CV311/25)^1.5*(Calculator!$BU$4/10000)*CW$5</f>
        <v>4.1604480000000077</v>
      </c>
      <c r="CX311" t="str">
        <f t="shared" si="765"/>
        <v>$100</v>
      </c>
    </row>
    <row r="312" spans="2:102" x14ac:dyDescent="0.25">
      <c r="B312" s="115" t="s">
        <v>233</v>
      </c>
      <c r="C312" s="13">
        <v>46304.647222222222</v>
      </c>
      <c r="D312">
        <v>29208</v>
      </c>
      <c r="E312" s="54" t="s">
        <v>235</v>
      </c>
      <c r="F312" s="54" t="s">
        <v>591</v>
      </c>
      <c r="G312" s="54" t="s">
        <v>1777</v>
      </c>
      <c r="H312" s="55">
        <v>13.100000000000001</v>
      </c>
      <c r="I312" s="55">
        <v>12.6</v>
      </c>
      <c r="J312" s="55">
        <v>12.3</v>
      </c>
      <c r="K312" s="54"/>
      <c r="L312" s="56" t="b">
        <v>0</v>
      </c>
      <c r="M312" s="56" t="b">
        <v>0</v>
      </c>
      <c r="N312" s="54">
        <v>1</v>
      </c>
      <c r="O312" s="54" t="s">
        <v>228</v>
      </c>
      <c r="P312" s="54">
        <v>37</v>
      </c>
      <c r="Q312" s="54">
        <v>6</v>
      </c>
      <c r="R312" s="54">
        <v>100</v>
      </c>
      <c r="S312" s="54" t="s">
        <v>1811</v>
      </c>
      <c r="T312" s="54"/>
      <c r="U312" s="54" t="s">
        <v>1808</v>
      </c>
      <c r="V312" s="54" t="s">
        <v>1821</v>
      </c>
      <c r="W312" s="54" t="b">
        <v>0</v>
      </c>
      <c r="X312" s="54"/>
      <c r="Y312" s="57" t="s">
        <v>1822</v>
      </c>
      <c r="Z312" s="54" t="s">
        <v>1814</v>
      </c>
      <c r="AA312" s="54"/>
      <c r="AB312" s="54" t="s">
        <v>1815</v>
      </c>
      <c r="AC312" s="56" t="b">
        <v>1</v>
      </c>
      <c r="AD312" s="56" t="b">
        <v>0</v>
      </c>
      <c r="AE312" s="54" t="s">
        <v>302</v>
      </c>
      <c r="AF312" s="58">
        <v>46304</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5.6899999999999999E-2</v>
      </c>
      <c r="BC312" s="60">
        <v>4.9000000000000004</v>
      </c>
      <c r="BD312" s="61">
        <v>6.4130000000000006E-2</v>
      </c>
      <c r="BE312" s="62" t="s">
        <v>293</v>
      </c>
      <c r="BF312" s="35">
        <f t="shared" si="754"/>
        <v>4.9000000000000004</v>
      </c>
      <c r="BG312" s="35">
        <f t="shared" si="754"/>
        <v>6.5333000000000002E-2</v>
      </c>
      <c r="BH312" s="35" t="str">
        <f t="shared" si="755"/>
        <v>Low</v>
      </c>
      <c r="BI312" s="110">
        <f t="shared" si="756"/>
        <v>0</v>
      </c>
      <c r="BJ312" s="83">
        <f>VLOOKUP($F312,REP_Info!$D$6:$H$250,5,FALSE)</f>
        <v>1.159</v>
      </c>
      <c r="BK312" s="30">
        <f t="shared" si="757"/>
        <v>13.2033</v>
      </c>
      <c r="BL312" s="30">
        <f t="shared" si="757"/>
        <v>12.713299999999998</v>
      </c>
      <c r="BM312" s="30">
        <f t="shared" si="757"/>
        <v>12.468299999999999</v>
      </c>
      <c r="BN312" s="29">
        <f t="shared" si="757"/>
        <v>12.386633333333334</v>
      </c>
      <c r="BO312" s="85" t="str">
        <f t="shared" si="2"/>
        <v>$$$</v>
      </c>
      <c r="BP312" s="88" t="str">
        <f t="shared" si="758"/>
        <v>$$$</v>
      </c>
      <c r="BQ312" s="88" t="str">
        <f t="shared" si="4"/>
        <v>$$$</v>
      </c>
      <c r="BR312" s="88" t="str">
        <f t="shared" si="5"/>
        <v>$$$</v>
      </c>
      <c r="BS312" s="29" t="e">
        <f t="shared" si="759"/>
        <v>#N/A</v>
      </c>
      <c r="BT312" s="29" t="e">
        <f t="shared" si="759"/>
        <v>#N/A</v>
      </c>
      <c r="BU312" s="29" t="e">
        <f t="shared" si="759"/>
        <v>#N/A</v>
      </c>
      <c r="BV312" s="29" t="e">
        <f t="shared" si="759"/>
        <v>#N/A</v>
      </c>
      <c r="BW312" s="29" t="e">
        <f t="shared" si="759"/>
        <v>#N/A</v>
      </c>
      <c r="BX312" s="29" t="e">
        <f t="shared" si="759"/>
        <v>#N/A</v>
      </c>
      <c r="BY312" s="29" t="e">
        <f t="shared" si="759"/>
        <v>#N/A</v>
      </c>
      <c r="BZ312" s="29" t="e">
        <f t="shared" si="759"/>
        <v>#N/A</v>
      </c>
      <c r="CA312" s="29" t="e">
        <f t="shared" si="759"/>
        <v>#N/A</v>
      </c>
      <c r="CB312" s="29" t="e">
        <f t="shared" si="759"/>
        <v>#N/A</v>
      </c>
      <c r="CC312" s="29" t="e">
        <f t="shared" si="759"/>
        <v>#N/A</v>
      </c>
      <c r="CD312" s="29" t="e">
        <f t="shared" si="759"/>
        <v>#N/A</v>
      </c>
      <c r="CE312" s="6" t="str">
        <f t="shared" si="650"/>
        <v/>
      </c>
      <c r="CF312" s="27" t="e">
        <f>IF(AND(CI312,NOT(AD312)),LOOKUP(CF$5,{0,750,1500},H312:J312),"")</f>
        <v>#N/A</v>
      </c>
      <c r="CG312" s="6" t="str">
        <f t="shared" si="651"/>
        <v/>
      </c>
      <c r="CH312" t="e">
        <f t="shared" si="760"/>
        <v>#N/A</v>
      </c>
      <c r="CI312" t="e">
        <f t="shared" si="761"/>
        <v>#N/A</v>
      </c>
      <c r="CJ312" s="6" t="e">
        <f t="shared" si="11"/>
        <v>#N/A</v>
      </c>
      <c r="CK312" s="6">
        <f t="shared" si="12"/>
        <v>1</v>
      </c>
      <c r="CL312" s="6">
        <f t="shared" si="26"/>
        <v>1</v>
      </c>
      <c r="CM312" s="6">
        <f t="shared" si="13"/>
        <v>1</v>
      </c>
      <c r="CN312" s="6">
        <f t="shared" si="14"/>
        <v>0</v>
      </c>
      <c r="CO312" s="6">
        <f t="shared" si="15"/>
        <v>1</v>
      </c>
      <c r="CP312" s="6">
        <f t="shared" si="16"/>
        <v>1</v>
      </c>
      <c r="CQ312" s="6">
        <f t="shared" si="762"/>
        <v>1</v>
      </c>
      <c r="CR312" s="81" t="str">
        <f t="shared" si="17"/>
        <v/>
      </c>
      <c r="CS312">
        <f t="shared" si="763"/>
        <v>18</v>
      </c>
      <c r="CT312">
        <f t="shared" si="766"/>
        <v>100</v>
      </c>
      <c r="CU312" t="str">
        <f t="shared" si="29"/>
        <v/>
      </c>
      <c r="CV312" s="81">
        <f t="shared" si="764"/>
        <v>100</v>
      </c>
      <c r="CW312" s="81">
        <f>(CV312/25)^1.5*(Calculator!$BU$4/10000)*CW$5</f>
        <v>4.1604480000000077</v>
      </c>
      <c r="CX312" t="str">
        <f t="shared" si="765"/>
        <v>$100</v>
      </c>
    </row>
    <row r="313" spans="2:102" x14ac:dyDescent="0.25">
      <c r="B313" s="115" t="s">
        <v>233</v>
      </c>
      <c r="C313" s="13">
        <v>46304.647222222222</v>
      </c>
      <c r="D313">
        <v>29213</v>
      </c>
      <c r="E313" s="54" t="s">
        <v>237</v>
      </c>
      <c r="F313" s="54" t="s">
        <v>591</v>
      </c>
      <c r="G313" s="54" t="s">
        <v>1777</v>
      </c>
      <c r="H313" s="55">
        <v>13.3</v>
      </c>
      <c r="I313" s="55">
        <v>12.9</v>
      </c>
      <c r="J313" s="55">
        <v>12.7</v>
      </c>
      <c r="K313" s="54"/>
      <c r="L313" s="56" t="b">
        <v>0</v>
      </c>
      <c r="M313" s="56" t="b">
        <v>0</v>
      </c>
      <c r="N313" s="54">
        <v>1</v>
      </c>
      <c r="O313" s="54" t="s">
        <v>228</v>
      </c>
      <c r="P313" s="54">
        <v>37</v>
      </c>
      <c r="Q313" s="54">
        <v>6</v>
      </c>
      <c r="R313" s="54">
        <v>100</v>
      </c>
      <c r="S313" s="54" t="s">
        <v>1811</v>
      </c>
      <c r="T313" s="54"/>
      <c r="U313" s="54" t="s">
        <v>1809</v>
      </c>
      <c r="V313" s="54" t="s">
        <v>1823</v>
      </c>
      <c r="W313" s="54" t="b">
        <v>0</v>
      </c>
      <c r="X313" s="54"/>
      <c r="Y313" s="57" t="s">
        <v>1824</v>
      </c>
      <c r="Z313" s="54" t="s">
        <v>1814</v>
      </c>
      <c r="AA313" s="54"/>
      <c r="AB313" s="54" t="s">
        <v>1815</v>
      </c>
      <c r="AC313" s="56" t="b">
        <v>1</v>
      </c>
      <c r="AD313" s="56" t="b">
        <v>0</v>
      </c>
      <c r="AE313" s="54" t="s">
        <v>302</v>
      </c>
      <c r="AF313" s="58">
        <v>46304</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5.5899999999999998E-2</v>
      </c>
      <c r="BC313" s="60">
        <v>4.0599999999999996</v>
      </c>
      <c r="BD313" s="61">
        <v>6.8672999999999998E-2</v>
      </c>
      <c r="BE313" s="62" t="s">
        <v>293</v>
      </c>
      <c r="BF313" s="35">
        <f t="shared" si="754"/>
        <v>4.0600000000000005</v>
      </c>
      <c r="BG313" s="35">
        <f t="shared" si="754"/>
        <v>6.8672999999999998E-2</v>
      </c>
      <c r="BH313" s="35" t="str">
        <f t="shared" si="755"/>
        <v>Low</v>
      </c>
      <c r="BI313" s="110">
        <f t="shared" si="756"/>
        <v>0</v>
      </c>
      <c r="BJ313" s="83">
        <f>VLOOKUP($F313,REP_Info!$D$6:$H$250,5,FALSE)</f>
        <v>1.159</v>
      </c>
      <c r="BK313" s="30">
        <f t="shared" si="757"/>
        <v>13.269299999999999</v>
      </c>
      <c r="BL313" s="30">
        <f t="shared" si="757"/>
        <v>12.863300000000001</v>
      </c>
      <c r="BM313" s="30">
        <f t="shared" si="757"/>
        <v>12.660300000000001</v>
      </c>
      <c r="BN313" s="29">
        <f t="shared" si="757"/>
        <v>12.592633333333334</v>
      </c>
      <c r="BO313" s="85" t="str">
        <f t="shared" si="2"/>
        <v>$$$</v>
      </c>
      <c r="BP313" s="88" t="str">
        <f t="shared" si="758"/>
        <v>$$$</v>
      </c>
      <c r="BQ313" s="88" t="str">
        <f t="shared" si="4"/>
        <v>$$$</v>
      </c>
      <c r="BR313" s="88" t="str">
        <f t="shared" si="5"/>
        <v>$$$</v>
      </c>
      <c r="BS313" s="29" t="e">
        <f t="shared" si="759"/>
        <v>#N/A</v>
      </c>
      <c r="BT313" s="29" t="e">
        <f t="shared" si="759"/>
        <v>#N/A</v>
      </c>
      <c r="BU313" s="29" t="e">
        <f t="shared" si="759"/>
        <v>#N/A</v>
      </c>
      <c r="BV313" s="29" t="e">
        <f t="shared" si="759"/>
        <v>#N/A</v>
      </c>
      <c r="BW313" s="29" t="e">
        <f t="shared" si="759"/>
        <v>#N/A</v>
      </c>
      <c r="BX313" s="29" t="e">
        <f t="shared" si="759"/>
        <v>#N/A</v>
      </c>
      <c r="BY313" s="29" t="e">
        <f t="shared" si="759"/>
        <v>#N/A</v>
      </c>
      <c r="BZ313" s="29" t="e">
        <f t="shared" si="759"/>
        <v>#N/A</v>
      </c>
      <c r="CA313" s="29" t="e">
        <f t="shared" si="759"/>
        <v>#N/A</v>
      </c>
      <c r="CB313" s="29" t="e">
        <f t="shared" si="759"/>
        <v>#N/A</v>
      </c>
      <c r="CC313" s="29" t="e">
        <f t="shared" si="759"/>
        <v>#N/A</v>
      </c>
      <c r="CD313" s="29" t="e">
        <f t="shared" si="759"/>
        <v>#N/A</v>
      </c>
      <c r="CE313" s="6" t="str">
        <f t="shared" si="650"/>
        <v/>
      </c>
      <c r="CF313" s="27" t="e">
        <f>IF(AND(CI313,NOT(AD313)),LOOKUP(CF$5,{0,750,1500},H313:J313),"")</f>
        <v>#N/A</v>
      </c>
      <c r="CG313" s="6" t="str">
        <f t="shared" si="651"/>
        <v/>
      </c>
      <c r="CH313" t="e">
        <f t="shared" si="760"/>
        <v>#N/A</v>
      </c>
      <c r="CI313" t="e">
        <f t="shared" si="761"/>
        <v>#N/A</v>
      </c>
      <c r="CJ313" s="6" t="e">
        <f t="shared" si="11"/>
        <v>#N/A</v>
      </c>
      <c r="CK313" s="6">
        <f t="shared" si="12"/>
        <v>1</v>
      </c>
      <c r="CL313" s="6">
        <f t="shared" si="26"/>
        <v>1</v>
      </c>
      <c r="CM313" s="6">
        <f t="shared" si="13"/>
        <v>1</v>
      </c>
      <c r="CN313" s="6">
        <f t="shared" si="14"/>
        <v>0</v>
      </c>
      <c r="CO313" s="6">
        <f t="shared" si="15"/>
        <v>1</v>
      </c>
      <c r="CP313" s="6">
        <f t="shared" si="16"/>
        <v>1</v>
      </c>
      <c r="CQ313" s="6">
        <f t="shared" si="762"/>
        <v>1</v>
      </c>
      <c r="CR313" s="81" t="str">
        <f t="shared" si="17"/>
        <v/>
      </c>
      <c r="CS313">
        <f t="shared" si="763"/>
        <v>18</v>
      </c>
      <c r="CT313">
        <f t="shared" si="766"/>
        <v>100</v>
      </c>
      <c r="CU313" t="str">
        <f t="shared" si="29"/>
        <v/>
      </c>
      <c r="CV313" s="81">
        <f t="shared" si="764"/>
        <v>100</v>
      </c>
      <c r="CW313" s="81">
        <f>(CV313/25)^1.5*(Calculator!$BU$4/10000)*CW$5</f>
        <v>4.1604480000000077</v>
      </c>
      <c r="CX313" t="str">
        <f t="shared" si="765"/>
        <v>$100</v>
      </c>
    </row>
    <row r="314" spans="2:102" x14ac:dyDescent="0.25">
      <c r="B314" s="115" t="s">
        <v>233</v>
      </c>
      <c r="C314" s="13">
        <v>46301.262499999997</v>
      </c>
      <c r="D314">
        <v>35848</v>
      </c>
      <c r="E314" s="54" t="s">
        <v>237</v>
      </c>
      <c r="F314" s="54" t="s">
        <v>591</v>
      </c>
      <c r="G314" s="54" t="s">
        <v>1825</v>
      </c>
      <c r="H314" s="55">
        <v>11.5</v>
      </c>
      <c r="I314" s="55">
        <v>11.1</v>
      </c>
      <c r="J314" s="55">
        <v>10.9</v>
      </c>
      <c r="K314" s="54"/>
      <c r="L314" s="56" t="b">
        <v>0</v>
      </c>
      <c r="M314" s="56" t="b">
        <v>0</v>
      </c>
      <c r="N314" s="54">
        <v>1</v>
      </c>
      <c r="O314" s="54" t="s">
        <v>228</v>
      </c>
      <c r="P314" s="54">
        <v>37</v>
      </c>
      <c r="Q314" s="54">
        <v>3</v>
      </c>
      <c r="R314" s="54">
        <v>100</v>
      </c>
      <c r="S314" s="54" t="s">
        <v>1811</v>
      </c>
      <c r="T314" s="54"/>
      <c r="U314" s="54" t="s">
        <v>1800</v>
      </c>
      <c r="V314" s="54" t="s">
        <v>1826</v>
      </c>
      <c r="W314" s="54" t="b">
        <v>0</v>
      </c>
      <c r="X314" s="54"/>
      <c r="Y314" s="57" t="s">
        <v>1827</v>
      </c>
      <c r="Z314" s="54" t="s">
        <v>1814</v>
      </c>
      <c r="AA314" s="54"/>
      <c r="AB314" s="54" t="s">
        <v>1815</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3.7900000000000003E-2</v>
      </c>
      <c r="BC314" s="60">
        <v>4.0599999999999996</v>
      </c>
      <c r="BD314" s="61">
        <v>6.8672999999999998E-2</v>
      </c>
      <c r="BE314" s="62" t="s">
        <v>293</v>
      </c>
      <c r="BF314" s="35">
        <f t="shared" si="754"/>
        <v>4.0600000000000005</v>
      </c>
      <c r="BG314" s="35">
        <f t="shared" si="754"/>
        <v>6.8672999999999998E-2</v>
      </c>
      <c r="BH314" s="35" t="str">
        <f t="shared" si="755"/>
        <v>Low</v>
      </c>
      <c r="BI314" s="110">
        <f t="shared" si="756"/>
        <v>0</v>
      </c>
      <c r="BJ314" s="83">
        <f>VLOOKUP($F314,REP_Info!$D$6:$H$250,5,FALSE)</f>
        <v>1.159</v>
      </c>
      <c r="BK314" s="30">
        <f t="shared" si="757"/>
        <v>11.4693</v>
      </c>
      <c r="BL314" s="30">
        <f t="shared" si="757"/>
        <v>11.063300000000002</v>
      </c>
      <c r="BM314" s="30">
        <f t="shared" si="757"/>
        <v>10.860300000000001</v>
      </c>
      <c r="BN314" s="29">
        <f t="shared" si="757"/>
        <v>10.792633333333335</v>
      </c>
      <c r="BO314" s="85" t="str">
        <f t="shared" si="2"/>
        <v>$$$</v>
      </c>
      <c r="BP314" s="88" t="str">
        <f t="shared" si="758"/>
        <v>$$$</v>
      </c>
      <c r="BQ314" s="88" t="str">
        <f t="shared" si="4"/>
        <v>$$$</v>
      </c>
      <c r="BR314" s="88" t="str">
        <f t="shared" si="5"/>
        <v>$$$</v>
      </c>
      <c r="BS314" s="29" t="e">
        <f t="shared" si="759"/>
        <v>#N/A</v>
      </c>
      <c r="BT314" s="29" t="e">
        <f t="shared" si="759"/>
        <v>#N/A</v>
      </c>
      <c r="BU314" s="29" t="e">
        <f t="shared" si="759"/>
        <v>#N/A</v>
      </c>
      <c r="BV314" s="29" t="e">
        <f t="shared" si="759"/>
        <v>#N/A</v>
      </c>
      <c r="BW314" s="29" t="e">
        <f t="shared" si="759"/>
        <v>#N/A</v>
      </c>
      <c r="BX314" s="29" t="e">
        <f t="shared" si="759"/>
        <v>#N/A</v>
      </c>
      <c r="BY314" s="29" t="e">
        <f t="shared" si="759"/>
        <v>#N/A</v>
      </c>
      <c r="BZ314" s="29" t="e">
        <f t="shared" si="759"/>
        <v>#N/A</v>
      </c>
      <c r="CA314" s="29" t="e">
        <f t="shared" si="759"/>
        <v>#N/A</v>
      </c>
      <c r="CB314" s="29" t="e">
        <f t="shared" si="759"/>
        <v>#N/A</v>
      </c>
      <c r="CC314" s="29" t="e">
        <f t="shared" si="759"/>
        <v>#N/A</v>
      </c>
      <c r="CD314" s="29" t="e">
        <f t="shared" si="759"/>
        <v>#N/A</v>
      </c>
      <c r="CE314" s="6" t="str">
        <f t="shared" si="650"/>
        <v/>
      </c>
      <c r="CF314" s="27" t="e">
        <f>IF(AND(CI314,NOT(AD314)),LOOKUP(CF$5,{0,750,1500},H314:J314),"")</f>
        <v>#N/A</v>
      </c>
      <c r="CG314" s="6" t="str">
        <f t="shared" si="651"/>
        <v/>
      </c>
      <c r="CH314" t="e">
        <f t="shared" si="760"/>
        <v>#N/A</v>
      </c>
      <c r="CI314" t="e">
        <f t="shared" si="761"/>
        <v>#N/A</v>
      </c>
      <c r="CJ314" s="6" t="e">
        <f t="shared" si="11"/>
        <v>#N/A</v>
      </c>
      <c r="CK314" s="6">
        <f t="shared" si="12"/>
        <v>1</v>
      </c>
      <c r="CL314" s="6">
        <f t="shared" si="26"/>
        <v>1</v>
      </c>
      <c r="CM314" s="6">
        <f t="shared" si="13"/>
        <v>1</v>
      </c>
      <c r="CN314" s="6">
        <f t="shared" si="14"/>
        <v>0</v>
      </c>
      <c r="CO314" s="6">
        <f t="shared" si="15"/>
        <v>1</v>
      </c>
      <c r="CP314" s="6">
        <f t="shared" si="16"/>
        <v>1</v>
      </c>
      <c r="CQ314" s="6">
        <f t="shared" si="762"/>
        <v>1</v>
      </c>
      <c r="CR314" s="81" t="str">
        <f t="shared" si="17"/>
        <v/>
      </c>
      <c r="CS314">
        <f t="shared" si="763"/>
        <v>54</v>
      </c>
      <c r="CT314">
        <f t="shared" si="766"/>
        <v>100</v>
      </c>
      <c r="CU314" t="str">
        <f t="shared" si="29"/>
        <v/>
      </c>
      <c r="CV314" s="81">
        <f t="shared" si="764"/>
        <v>100</v>
      </c>
      <c r="CW314" s="81">
        <f>(CV314/25)^1.5*(Calculator!$BU$4/10000)*CW$5</f>
        <v>4.1604480000000077</v>
      </c>
      <c r="CX314" t="str">
        <f t="shared" si="765"/>
        <v>$100</v>
      </c>
    </row>
    <row r="315" spans="2:102" x14ac:dyDescent="0.25">
      <c r="B315" s="115" t="s">
        <v>233</v>
      </c>
      <c r="C315" s="13">
        <v>46308.549305555556</v>
      </c>
      <c r="D315">
        <v>37300</v>
      </c>
      <c r="E315" s="54" t="s">
        <v>235</v>
      </c>
      <c r="F315" s="54" t="s">
        <v>591</v>
      </c>
      <c r="G315" s="54" t="s">
        <v>1828</v>
      </c>
      <c r="H315" s="55">
        <v>18.8</v>
      </c>
      <c r="I315" s="55">
        <v>8.3000000000000007</v>
      </c>
      <c r="J315" s="55">
        <v>13</v>
      </c>
      <c r="K315" s="54" t="s">
        <v>1829</v>
      </c>
      <c r="L315" s="56" t="b">
        <v>0</v>
      </c>
      <c r="M315" s="56" t="b">
        <v>0</v>
      </c>
      <c r="N315" s="54">
        <v>1</v>
      </c>
      <c r="O315" s="54" t="s">
        <v>228</v>
      </c>
      <c r="P315" s="54">
        <v>37</v>
      </c>
      <c r="Q315" s="54">
        <v>12</v>
      </c>
      <c r="R315" s="54">
        <v>100</v>
      </c>
      <c r="S315" s="54" t="s">
        <v>1811</v>
      </c>
      <c r="T315" s="54"/>
      <c r="U315" s="54" t="s">
        <v>1802</v>
      </c>
      <c r="V315" s="54" t="s">
        <v>1830</v>
      </c>
      <c r="W315" s="54" t="b">
        <v>0</v>
      </c>
      <c r="X315" s="54"/>
      <c r="Y315" s="57" t="s">
        <v>1831</v>
      </c>
      <c r="Z315" s="54" t="s">
        <v>1832</v>
      </c>
      <c r="AA315" s="54"/>
      <c r="AB315" s="54" t="s">
        <v>1815</v>
      </c>
      <c r="AC315" s="56" t="b">
        <v>1</v>
      </c>
      <c r="AD315" s="56" t="b">
        <v>1</v>
      </c>
      <c r="AE315" s="54" t="s">
        <v>302</v>
      </c>
      <c r="AF315" s="58">
        <v>46308</v>
      </c>
      <c r="AG315" s="62" t="s">
        <v>293</v>
      </c>
      <c r="AH315" s="54">
        <v>0</v>
      </c>
      <c r="AI315" s="54">
        <v>1000</v>
      </c>
      <c r="AJ315" s="54"/>
      <c r="AK315" s="54"/>
      <c r="AL315" s="54"/>
      <c r="AM315" s="54">
        <v>0</v>
      </c>
      <c r="AN315" s="54">
        <v>-100</v>
      </c>
      <c r="AO315" s="54"/>
      <c r="AP315" s="54"/>
      <c r="AQ315" s="54"/>
      <c r="AR315" s="54"/>
      <c r="AS315" s="54"/>
      <c r="AT315" s="54"/>
      <c r="AU315" s="54"/>
      <c r="AV315" s="54"/>
      <c r="AW315" s="54"/>
      <c r="AX315" s="59"/>
      <c r="AY315" s="59"/>
      <c r="AZ315" s="59"/>
      <c r="BA315" s="59"/>
      <c r="BB315" s="59">
        <v>0.1139</v>
      </c>
      <c r="BC315" s="60">
        <v>4.9000000000000004</v>
      </c>
      <c r="BD315" s="61">
        <v>6.4130000000000006E-2</v>
      </c>
      <c r="BE315" s="62" t="s">
        <v>293</v>
      </c>
      <c r="BF315" s="35">
        <f t="shared" si="754"/>
        <v>4.9000000000000004</v>
      </c>
      <c r="BG315" s="35">
        <f t="shared" si="754"/>
        <v>6.5333000000000002E-2</v>
      </c>
      <c r="BH315" s="35" t="str">
        <f t="shared" si="755"/>
        <v>High</v>
      </c>
      <c r="BI315" s="110">
        <f t="shared" si="756"/>
        <v>0</v>
      </c>
      <c r="BJ315" s="83">
        <f>VLOOKUP($F315,REP_Info!$D$6:$H$250,5,FALSE)</f>
        <v>1.159</v>
      </c>
      <c r="BK315" s="30">
        <f t="shared" si="757"/>
        <v>18.903300000000002</v>
      </c>
      <c r="BL315" s="30">
        <f t="shared" si="757"/>
        <v>8.4133000000000013</v>
      </c>
      <c r="BM315" s="30">
        <f t="shared" si="757"/>
        <v>13.168299999999999</v>
      </c>
      <c r="BN315" s="29">
        <f t="shared" si="757"/>
        <v>14.753300000000001</v>
      </c>
      <c r="BO315" s="85" t="str">
        <f t="shared" si="2"/>
        <v>$$$</v>
      </c>
      <c r="BP315" s="88" t="str">
        <f t="shared" si="758"/>
        <v>$$$</v>
      </c>
      <c r="BQ315" s="88" t="str">
        <f t="shared" si="4"/>
        <v>$$$</v>
      </c>
      <c r="BR315" s="88" t="str">
        <f t="shared" si="5"/>
        <v>$$$</v>
      </c>
      <c r="BS315" s="29" t="e">
        <f t="shared" si="759"/>
        <v>#N/A</v>
      </c>
      <c r="BT315" s="29" t="e">
        <f t="shared" si="759"/>
        <v>#N/A</v>
      </c>
      <c r="BU315" s="29" t="e">
        <f t="shared" si="759"/>
        <v>#N/A</v>
      </c>
      <c r="BV315" s="29" t="e">
        <f t="shared" si="759"/>
        <v>#N/A</v>
      </c>
      <c r="BW315" s="29" t="e">
        <f t="shared" si="759"/>
        <v>#N/A</v>
      </c>
      <c r="BX315" s="29" t="e">
        <f t="shared" si="759"/>
        <v>#N/A</v>
      </c>
      <c r="BY315" s="29" t="e">
        <f t="shared" si="759"/>
        <v>#N/A</v>
      </c>
      <c r="BZ315" s="29" t="e">
        <f t="shared" si="759"/>
        <v>#N/A</v>
      </c>
      <c r="CA315" s="29" t="e">
        <f t="shared" si="759"/>
        <v>#N/A</v>
      </c>
      <c r="CB315" s="29" t="e">
        <f t="shared" si="759"/>
        <v>#N/A</v>
      </c>
      <c r="CC315" s="29" t="e">
        <f t="shared" si="759"/>
        <v>#N/A</v>
      </c>
      <c r="CD315" s="29" t="e">
        <f t="shared" si="759"/>
        <v>#N/A</v>
      </c>
      <c r="CE315" s="6" t="str">
        <f t="shared" si="650"/>
        <v/>
      </c>
      <c r="CF315" s="27" t="e">
        <f>IF(AND(CI315,NOT(AD315)),LOOKUP(CF$5,{0,750,1500},H315:J315),"")</f>
        <v>#N/A</v>
      </c>
      <c r="CG315" s="6" t="str">
        <f t="shared" si="651"/>
        <v/>
      </c>
      <c r="CH315" t="e">
        <f t="shared" si="760"/>
        <v>#N/A</v>
      </c>
      <c r="CI315" t="e">
        <f t="shared" si="761"/>
        <v>#N/A</v>
      </c>
      <c r="CJ315" s="6" t="e">
        <f t="shared" si="11"/>
        <v>#N/A</v>
      </c>
      <c r="CK315" s="6">
        <f t="shared" si="12"/>
        <v>1</v>
      </c>
      <c r="CL315" s="6">
        <f t="shared" si="26"/>
        <v>1</v>
      </c>
      <c r="CM315" s="6">
        <f t="shared" si="13"/>
        <v>1</v>
      </c>
      <c r="CN315" s="6">
        <f t="shared" si="14"/>
        <v>1</v>
      </c>
      <c r="CO315" s="6">
        <f t="shared" si="15"/>
        <v>1</v>
      </c>
      <c r="CP315" s="6">
        <f t="shared" si="16"/>
        <v>1</v>
      </c>
      <c r="CQ315" s="6">
        <f t="shared" si="762"/>
        <v>1</v>
      </c>
      <c r="CR315" s="81" t="str">
        <f t="shared" si="17"/>
        <v/>
      </c>
      <c r="CS315">
        <f t="shared" si="763"/>
        <v>0</v>
      </c>
      <c r="CT315">
        <f t="shared" si="766"/>
        <v>100</v>
      </c>
      <c r="CU315" t="str">
        <f t="shared" si="29"/>
        <v/>
      </c>
      <c r="CV315" s="81">
        <f t="shared" si="764"/>
        <v>100</v>
      </c>
      <c r="CW315" s="81">
        <f>(CV315/25)^1.5*(Calculator!$BU$4/10000)*CW$5</f>
        <v>4.1604480000000077</v>
      </c>
      <c r="CX315" t="str">
        <f t="shared" si="765"/>
        <v>$100</v>
      </c>
    </row>
    <row r="316" spans="2:102" x14ac:dyDescent="0.25">
      <c r="B316" s="115" t="s">
        <v>233</v>
      </c>
      <c r="C316" s="13">
        <v>46308.549305555556</v>
      </c>
      <c r="D316">
        <v>37305</v>
      </c>
      <c r="E316" s="54" t="s">
        <v>237</v>
      </c>
      <c r="F316" s="54" t="s">
        <v>591</v>
      </c>
      <c r="G316" s="54" t="s">
        <v>1828</v>
      </c>
      <c r="H316" s="55">
        <v>18.3</v>
      </c>
      <c r="I316" s="55">
        <v>7.9</v>
      </c>
      <c r="J316" s="55">
        <v>12.7</v>
      </c>
      <c r="K316" s="54" t="s">
        <v>1829</v>
      </c>
      <c r="L316" s="56" t="b">
        <v>0</v>
      </c>
      <c r="M316" s="56" t="b">
        <v>0</v>
      </c>
      <c r="N316" s="54">
        <v>1</v>
      </c>
      <c r="O316" s="54" t="s">
        <v>228</v>
      </c>
      <c r="P316" s="54">
        <v>37</v>
      </c>
      <c r="Q316" s="54">
        <v>12</v>
      </c>
      <c r="R316" s="54">
        <v>100</v>
      </c>
      <c r="S316" s="54" t="s">
        <v>1811</v>
      </c>
      <c r="T316" s="54"/>
      <c r="U316" s="54" t="s">
        <v>1803</v>
      </c>
      <c r="V316" s="54" t="s">
        <v>1833</v>
      </c>
      <c r="W316" s="54" t="b">
        <v>0</v>
      </c>
      <c r="X316" s="54"/>
      <c r="Y316" s="57" t="s">
        <v>1834</v>
      </c>
      <c r="Z316" s="54" t="s">
        <v>1832</v>
      </c>
      <c r="AA316" s="54"/>
      <c r="AB316" s="54" t="s">
        <v>1815</v>
      </c>
      <c r="AC316" s="56" t="b">
        <v>1</v>
      </c>
      <c r="AD316" s="56" t="b">
        <v>1</v>
      </c>
      <c r="AE316" s="54" t="s">
        <v>302</v>
      </c>
      <c r="AF316" s="58">
        <v>46308</v>
      </c>
      <c r="AG316" s="62" t="s">
        <v>293</v>
      </c>
      <c r="AH316" s="54">
        <v>0</v>
      </c>
      <c r="AI316" s="54">
        <v>1000</v>
      </c>
      <c r="AJ316" s="54"/>
      <c r="AK316" s="54"/>
      <c r="AL316" s="54"/>
      <c r="AM316" s="54">
        <v>0</v>
      </c>
      <c r="AN316" s="54">
        <v>-100</v>
      </c>
      <c r="AO316" s="54"/>
      <c r="AP316" s="54"/>
      <c r="AQ316" s="54"/>
      <c r="AR316" s="54"/>
      <c r="AS316" s="54"/>
      <c r="AT316" s="54"/>
      <c r="AU316" s="54"/>
      <c r="AV316" s="54"/>
      <c r="AW316" s="54"/>
      <c r="AX316" s="59"/>
      <c r="AY316" s="59"/>
      <c r="AZ316" s="59"/>
      <c r="BA316" s="59"/>
      <c r="BB316" s="59">
        <v>0.10589999999999999</v>
      </c>
      <c r="BC316" s="60">
        <v>4.0599999999999996</v>
      </c>
      <c r="BD316" s="61">
        <v>6.8672999999999998E-2</v>
      </c>
      <c r="BE316" s="62" t="s">
        <v>293</v>
      </c>
      <c r="BF316" s="35">
        <f t="shared" ref="BF316:BG317" si="767">IF($E316=$E$4,BF$4,IF($E316=$E$5,BF$5,""))</f>
        <v>4.0600000000000005</v>
      </c>
      <c r="BG316" s="35">
        <f t="shared" si="767"/>
        <v>6.8672999999999998E-2</v>
      </c>
      <c r="BH316" s="35" t="str">
        <f t="shared" ref="BH316:BH317" si="768">IF(ISTEXT(BE316),IF(AND(AV316=0,SUM(AN316:AQ316)=0),IF(AM316&lt;=0,IF(BE316="Y","Low","Flat"),"Med"),"High"),"?")</f>
        <v>High</v>
      </c>
      <c r="BI316" s="110">
        <f t="shared" ref="BI316:BI317" si="769">IF(ISNUMBER(AH316),0*BI$5*SIN((EDATE($A$3,$Q316)-DATE(YEAR(EDATE($A$3,$Q316)),1,0)-BI$4)*2*PI()/365),"")</f>
        <v>0</v>
      </c>
      <c r="BJ316" s="83">
        <f>VLOOKUP($F316,REP_Info!$D$6:$H$250,5,FALSE)</f>
        <v>1.159</v>
      </c>
      <c r="BK316" s="30">
        <f t="shared" ref="BK316:BN317" si="770">IF(BK$7&gt;0,(LOOKUP(BK$7,$AH316:$AL316,$AM316:$AQ316)+IF($AG316="Y",SUMPRODUCT($AX316:$BB316-$AW316:$BA316,BK$7-$AR316:$AV316,N(BK$7&gt;$AR316:$AV316)),BK$7*LOOKUP(BK$7,$AR316:$AV316,$AX316:$BB316))+IF($BE316="Y",$BF316,$BC316)+BK$7*IF($BE316="Y",$BG316,$BD316))*100/BK$7,"")</f>
        <v>18.269299999999998</v>
      </c>
      <c r="BL316" s="30">
        <f t="shared" si="770"/>
        <v>7.8632999999999988</v>
      </c>
      <c r="BM316" s="30">
        <f t="shared" si="770"/>
        <v>12.660299999999999</v>
      </c>
      <c r="BN316" s="29">
        <f t="shared" si="770"/>
        <v>14.2593</v>
      </c>
      <c r="BO316" s="85" t="str">
        <f t="shared" ref="BO316:BO317" si="771">IFERROR(SUMPRODUCT($BS$7:$CD$7,$BS316:$CD316)/100,"$$$")</f>
        <v>$$$</v>
      </c>
      <c r="BP316" s="88" t="str">
        <f t="shared" ref="BP316:BP317" si="772">IFERROR(BO316*100/BO$5,"$$$")</f>
        <v>$$$</v>
      </c>
      <c r="BQ316" s="88" t="str">
        <f t="shared" ref="BQ316:BQ317" si="773">IFERROR(SUMPRODUCT($BS$7:$CD$7,$BS316:$CD316,--($BS$4:$CD$4&lt;=$Q316))/SUMPRODUCT(--($BS$4:$CD$4&lt;=$Q316),$BS$7:$CD$7),"$$$")</f>
        <v>$$$</v>
      </c>
      <c r="BR316" s="88" t="str">
        <f t="shared" ref="BR316:BR317" si="774">IFERROR($BQ316-$BF316*100*SUMPRODUCT(--($BS$4:$CD$4&lt;=$Q316))/SUMPRODUCT(--($BS$4:$CD$4&lt;=$Q316),$BS$7:$CD$7)-$BG316*100,"$$$")</f>
        <v>$$$</v>
      </c>
      <c r="BS316" s="29" t="e">
        <f t="shared" ref="BS316:CD317" si="775">IF($CI316,IF(BS$7&gt;0,IF(BS$4&gt;$Q316,$BF316+BS$7*(BS$5+$BG316+$BI316),LOOKUP(BS$7,$AH316:$AL316,$AM316:$AQ316)+IF($AG316="Y",SUMPRODUCT($AX316:$BB316-$AW316:$BA316,BS$7-$AR316:$AV316,N(BS$7&gt;$AR316:$AV316)),BS$7*LOOKUP(BS$7,$AR316:$AV316,$AX316:$BB316))+IF($BE316="Y",$BF316,$BC316)+BS$7*IF($BE316="Y",$BG316,$BD316))*100/BS$7,""),NA())</f>
        <v>#N/A</v>
      </c>
      <c r="BT316" s="29" t="e">
        <f t="shared" si="775"/>
        <v>#N/A</v>
      </c>
      <c r="BU316" s="29" t="e">
        <f t="shared" si="775"/>
        <v>#N/A</v>
      </c>
      <c r="BV316" s="29" t="e">
        <f t="shared" si="775"/>
        <v>#N/A</v>
      </c>
      <c r="BW316" s="29" t="e">
        <f t="shared" si="775"/>
        <v>#N/A</v>
      </c>
      <c r="BX316" s="29" t="e">
        <f t="shared" si="775"/>
        <v>#N/A</v>
      </c>
      <c r="BY316" s="29" t="e">
        <f t="shared" si="775"/>
        <v>#N/A</v>
      </c>
      <c r="BZ316" s="29" t="e">
        <f t="shared" si="775"/>
        <v>#N/A</v>
      </c>
      <c r="CA316" s="29" t="e">
        <f t="shared" si="775"/>
        <v>#N/A</v>
      </c>
      <c r="CB316" s="29" t="e">
        <f t="shared" si="775"/>
        <v>#N/A</v>
      </c>
      <c r="CC316" s="29" t="e">
        <f t="shared" si="775"/>
        <v>#N/A</v>
      </c>
      <c r="CD316" s="29" t="e">
        <f t="shared" si="775"/>
        <v>#N/A</v>
      </c>
      <c r="CE316" s="6" t="str">
        <f t="shared" si="650"/>
        <v/>
      </c>
      <c r="CF316" s="27" t="e">
        <f>IF(AND(CI316,NOT(AD316)),LOOKUP(CF$5,{0,750,1500},H316:J316),"")</f>
        <v>#N/A</v>
      </c>
      <c r="CG316" s="6" t="str">
        <f t="shared" si="651"/>
        <v/>
      </c>
      <c r="CH316" t="e">
        <f t="shared" ref="CH316:CH317" si="776">IF(CI316,IF(ISNUMBER(BO316),BO316,100000)+CV316/10000+IF(ISNUMBER(BJ316),BJ316,2)/10000-P316/100000+ROW()/10000000,"")</f>
        <v>#N/A</v>
      </c>
      <c r="CI316" t="e">
        <f t="shared" ref="CI316:CI317" si="777">PRODUCT(CJ316:CQ316)</f>
        <v>#N/A</v>
      </c>
      <c r="CJ316" s="6" t="e">
        <f t="shared" ref="CJ316:CJ317" si="778">IF($E316=CJ$5,1,0)</f>
        <v>#N/A</v>
      </c>
      <c r="CK316" s="6">
        <f t="shared" ref="CK316:CK317" si="779">IF(CK$5="[Any]",1,IF($F316=CK$5,1,0))</f>
        <v>1</v>
      </c>
      <c r="CL316" s="6">
        <f t="shared" si="26"/>
        <v>1</v>
      </c>
      <c r="CM316" s="6">
        <f t="shared" ref="CM316:CM317" si="780">IF($O316="Fixed",1,0)</f>
        <v>1</v>
      </c>
      <c r="CN316" s="6">
        <f t="shared" ref="CN316:CN317" si="781">IF($Q316&gt;=CN$5,1,0)</f>
        <v>1</v>
      </c>
      <c r="CO316" s="6">
        <f t="shared" ref="CO316:CO317" si="782">IF($Q316&lt;=CO$5,1,0)</f>
        <v>1</v>
      </c>
      <c r="CP316" s="6">
        <f t="shared" ref="CP316:CP317" si="783">IF($P316&gt;=CP$5,1,0)</f>
        <v>1</v>
      </c>
      <c r="CQ316" s="6">
        <f t="shared" ref="CQ316:CQ317" si="784">IF(CQ$5="Any",1,IF(AND(CQ$5="Med",AV316=0,SUM(AN316:AQ316)=0),1,IF(AND(CQ$5="Low",AV316=0,SUM(AN316:AQ316)=0,AM316=0),1,IF(AND(CQ$5="Flat",AV316=0,SUM(AN316:AQ316)=0,AM316=0,IFERROR(NOT(BE316="Y"),0)),1,0))))</f>
        <v>1</v>
      </c>
      <c r="CR316" s="81" t="str">
        <f t="shared" ref="CR316:CR317" si="785">IF(ISNUMBER($CH316),$CH316+$CS316+$CW316,"")</f>
        <v/>
      </c>
      <c r="CS316">
        <f t="shared" ref="CS316:CS317" si="786">CS$5*(12/(MIN(12,Q316))-1)</f>
        <v>0</v>
      </c>
      <c r="CT316">
        <f t="shared" si="766"/>
        <v>100</v>
      </c>
      <c r="CU316" t="str">
        <f t="shared" si="29"/>
        <v/>
      </c>
      <c r="CV316" s="81">
        <f t="shared" ref="CV316:CV317" si="787">CT316*IF(CU316="",1,Q316)</f>
        <v>100</v>
      </c>
      <c r="CW316" s="81">
        <f>(CV316/25)^1.5*(Calculator!$BU$4/10000)*CW$5</f>
        <v>4.1604480000000077</v>
      </c>
      <c r="CX316" t="str">
        <f t="shared" ref="CX316:CX317" si="788">"$"&amp;IF(LEFT(CU316,1)="r",CT316&amp;"/"&amp;CU316,CV316)</f>
        <v>$100</v>
      </c>
    </row>
    <row r="317" spans="2:102" x14ac:dyDescent="0.25">
      <c r="B317" s="115" t="s">
        <v>233</v>
      </c>
      <c r="C317" s="13">
        <v>46302.234722222223</v>
      </c>
      <c r="D317">
        <v>17263</v>
      </c>
      <c r="E317" s="54" t="s">
        <v>237</v>
      </c>
      <c r="F317" s="54" t="s">
        <v>592</v>
      </c>
      <c r="G317" s="54" t="s">
        <v>1638</v>
      </c>
      <c r="H317" s="55">
        <v>11.1</v>
      </c>
      <c r="I317" s="55">
        <v>10.299999999999999</v>
      </c>
      <c r="J317" s="55">
        <v>9.9</v>
      </c>
      <c r="K317" s="54"/>
      <c r="L317" s="56" t="b">
        <v>0</v>
      </c>
      <c r="M317" s="56" t="b">
        <v>1</v>
      </c>
      <c r="N317" s="54">
        <v>1</v>
      </c>
      <c r="O317" s="54" t="s">
        <v>228</v>
      </c>
      <c r="P317" s="54">
        <v>22</v>
      </c>
      <c r="Q317" s="54">
        <v>3</v>
      </c>
      <c r="R317" s="54">
        <v>175</v>
      </c>
      <c r="S317" s="54" t="s">
        <v>593</v>
      </c>
      <c r="T317" s="54" t="s">
        <v>594</v>
      </c>
      <c r="U317" s="54" t="s">
        <v>1621</v>
      </c>
      <c r="V317" s="54" t="s">
        <v>595</v>
      </c>
      <c r="W317" s="54" t="b">
        <v>0</v>
      </c>
      <c r="X317" s="54"/>
      <c r="Y317" s="57" t="s">
        <v>1639</v>
      </c>
      <c r="Z317" s="54" t="s">
        <v>596</v>
      </c>
      <c r="AA317" s="54"/>
      <c r="AB317" s="54" t="s">
        <v>597</v>
      </c>
      <c r="AC317" s="56" t="b">
        <v>1</v>
      </c>
      <c r="AD317" s="56" t="b">
        <v>0</v>
      </c>
      <c r="AE317" s="54" t="s">
        <v>302</v>
      </c>
      <c r="AF317" s="58">
        <v>46302</v>
      </c>
      <c r="AG317" s="62" t="s">
        <v>293</v>
      </c>
      <c r="AH317" s="54">
        <v>0</v>
      </c>
      <c r="AI317" s="54"/>
      <c r="AJ317" s="54"/>
      <c r="AK317" s="54"/>
      <c r="AL317" s="54"/>
      <c r="AM317" s="54">
        <v>16.663333333333334</v>
      </c>
      <c r="AN317" s="54"/>
      <c r="AO317" s="54"/>
      <c r="AP317" s="54"/>
      <c r="AQ317" s="54"/>
      <c r="AR317" s="54"/>
      <c r="AS317" s="54"/>
      <c r="AT317" s="54"/>
      <c r="AU317" s="54"/>
      <c r="AV317" s="54"/>
      <c r="AW317" s="54"/>
      <c r="AX317" s="59"/>
      <c r="AY317" s="59"/>
      <c r="AZ317" s="59"/>
      <c r="BA317" s="59"/>
      <c r="BB317" s="59">
        <v>2.613E-2</v>
      </c>
      <c r="BC317" s="60">
        <v>4.0599999999999996</v>
      </c>
      <c r="BD317" s="61">
        <v>6.8672999999999998E-2</v>
      </c>
      <c r="BE317" s="62" t="e">
        <v>#N/A</v>
      </c>
      <c r="BF317" s="35">
        <f t="shared" si="767"/>
        <v>4.0600000000000005</v>
      </c>
      <c r="BG317" s="35">
        <f t="shared" si="767"/>
        <v>6.8672999999999998E-2</v>
      </c>
      <c r="BH317" s="35" t="str">
        <f t="shared" si="768"/>
        <v>?</v>
      </c>
      <c r="BI317" s="110">
        <f t="shared" si="769"/>
        <v>0</v>
      </c>
      <c r="BJ317" s="83">
        <f>VLOOKUP($F317,REP_Info!$D$6:$H$250,5,FALSE)</f>
        <v>1.806</v>
      </c>
      <c r="BK317" s="30" t="e">
        <f t="shared" si="770"/>
        <v>#N/A</v>
      </c>
      <c r="BL317" s="30" t="e">
        <f t="shared" si="770"/>
        <v>#N/A</v>
      </c>
      <c r="BM317" s="30" t="e">
        <f t="shared" si="770"/>
        <v>#N/A</v>
      </c>
      <c r="BN317" s="29" t="e">
        <f t="shared" si="770"/>
        <v>#N/A</v>
      </c>
      <c r="BO317" s="85" t="str">
        <f t="shared" si="771"/>
        <v>$$$</v>
      </c>
      <c r="BP317" s="88" t="str">
        <f t="shared" si="772"/>
        <v>$$$</v>
      </c>
      <c r="BQ317" s="88" t="str">
        <f t="shared" si="773"/>
        <v>$$$</v>
      </c>
      <c r="BR317" s="88" t="str">
        <f t="shared" si="774"/>
        <v>$$$</v>
      </c>
      <c r="BS317" s="29" t="e">
        <f t="shared" si="775"/>
        <v>#N/A</v>
      </c>
      <c r="BT317" s="29" t="e">
        <f t="shared" si="775"/>
        <v>#N/A</v>
      </c>
      <c r="BU317" s="29" t="e">
        <f t="shared" si="775"/>
        <v>#N/A</v>
      </c>
      <c r="BV317" s="29" t="e">
        <f t="shared" si="775"/>
        <v>#N/A</v>
      </c>
      <c r="BW317" s="29" t="e">
        <f t="shared" si="775"/>
        <v>#N/A</v>
      </c>
      <c r="BX317" s="29" t="e">
        <f t="shared" si="775"/>
        <v>#N/A</v>
      </c>
      <c r="BY317" s="29" t="e">
        <f t="shared" si="775"/>
        <v>#N/A</v>
      </c>
      <c r="BZ317" s="29" t="e">
        <f t="shared" si="775"/>
        <v>#N/A</v>
      </c>
      <c r="CA317" s="29" t="e">
        <f t="shared" si="775"/>
        <v>#N/A</v>
      </c>
      <c r="CB317" s="29" t="e">
        <f t="shared" si="775"/>
        <v>#N/A</v>
      </c>
      <c r="CC317" s="29" t="e">
        <f t="shared" si="775"/>
        <v>#N/A</v>
      </c>
      <c r="CD317" s="29" t="e">
        <f t="shared" si="775"/>
        <v>#N/A</v>
      </c>
      <c r="CE317" s="6" t="str">
        <f t="shared" si="650"/>
        <v/>
      </c>
      <c r="CF317" s="27" t="e">
        <f>IF(AND(CI317,NOT(AD317)),LOOKUP(CF$5,{0,750,1500},H317:J317),"")</f>
        <v>#N/A</v>
      </c>
      <c r="CG317" s="6" t="str">
        <f t="shared" si="651"/>
        <v/>
      </c>
      <c r="CH317" t="e">
        <f t="shared" si="776"/>
        <v>#N/A</v>
      </c>
      <c r="CI317" t="e">
        <f t="shared" si="777"/>
        <v>#N/A</v>
      </c>
      <c r="CJ317" s="6" t="e">
        <f t="shared" si="778"/>
        <v>#N/A</v>
      </c>
      <c r="CK317" s="6">
        <f t="shared" si="779"/>
        <v>1</v>
      </c>
      <c r="CL317" s="6">
        <f t="shared" si="26"/>
        <v>1</v>
      </c>
      <c r="CM317" s="6">
        <f t="shared" si="780"/>
        <v>1</v>
      </c>
      <c r="CN317" s="6">
        <f t="shared" si="781"/>
        <v>0</v>
      </c>
      <c r="CO317" s="6">
        <f t="shared" si="782"/>
        <v>1</v>
      </c>
      <c r="CP317" s="6">
        <f t="shared" si="783"/>
        <v>1</v>
      </c>
      <c r="CQ317" s="6">
        <f t="shared" si="784"/>
        <v>1</v>
      </c>
      <c r="CR317" s="81" t="str">
        <f t="shared" si="785"/>
        <v/>
      </c>
      <c r="CS317">
        <f t="shared" si="786"/>
        <v>54</v>
      </c>
      <c r="CT317">
        <f t="shared" si="766"/>
        <v>175</v>
      </c>
      <c r="CU317" t="str">
        <f t="shared" si="29"/>
        <v/>
      </c>
      <c r="CV317" s="81">
        <f t="shared" si="787"/>
        <v>175</v>
      </c>
      <c r="CW317" s="81">
        <f>(CV317/25)^1.5*(Calculator!$BU$4/10000)*CW$5</f>
        <v>9.6315719067890644</v>
      </c>
      <c r="CX317" t="str">
        <f t="shared" si="788"/>
        <v>$175</v>
      </c>
    </row>
    <row r="318" spans="2:102" x14ac:dyDescent="0.25">
      <c r="B318" s="115" t="s">
        <v>233</v>
      </c>
      <c r="C318" s="13">
        <v>46304.647222222222</v>
      </c>
      <c r="D318">
        <v>17267</v>
      </c>
      <c r="E318" s="54" t="s">
        <v>235</v>
      </c>
      <c r="F318" s="54" t="s">
        <v>592</v>
      </c>
      <c r="G318" s="54" t="s">
        <v>1638</v>
      </c>
      <c r="H318" s="55">
        <v>11.4</v>
      </c>
      <c r="I318" s="55">
        <v>10.5</v>
      </c>
      <c r="J318" s="55">
        <v>10.100000000000001</v>
      </c>
      <c r="K318" s="54"/>
      <c r="L318" s="56" t="b">
        <v>0</v>
      </c>
      <c r="M318" s="56" t="b">
        <v>1</v>
      </c>
      <c r="N318" s="54">
        <v>1</v>
      </c>
      <c r="O318" s="54" t="s">
        <v>228</v>
      </c>
      <c r="P318" s="54">
        <v>22</v>
      </c>
      <c r="Q318" s="54">
        <v>3</v>
      </c>
      <c r="R318" s="54">
        <v>175</v>
      </c>
      <c r="S318" s="54" t="s">
        <v>593</v>
      </c>
      <c r="T318" s="54" t="s">
        <v>594</v>
      </c>
      <c r="U318" s="54" t="s">
        <v>1622</v>
      </c>
      <c r="V318" s="54" t="s">
        <v>595</v>
      </c>
      <c r="W318" s="54" t="b">
        <v>0</v>
      </c>
      <c r="X318" s="54"/>
      <c r="Y318" s="57" t="s">
        <v>1640</v>
      </c>
      <c r="Z318" s="54" t="s">
        <v>596</v>
      </c>
      <c r="AA318" s="54"/>
      <c r="AB318" s="54" t="s">
        <v>597</v>
      </c>
      <c r="AC318" s="56" t="b">
        <v>1</v>
      </c>
      <c r="AD318" s="56" t="b">
        <v>0</v>
      </c>
      <c r="AE318" s="54" t="s">
        <v>302</v>
      </c>
      <c r="AF318" s="58">
        <v>46304</v>
      </c>
      <c r="AG318" s="62" t="s">
        <v>293</v>
      </c>
      <c r="AH318" s="54">
        <v>0</v>
      </c>
      <c r="AI318" s="54"/>
      <c r="AJ318" s="54"/>
      <c r="AK318" s="54"/>
      <c r="AL318" s="54"/>
      <c r="AM318" s="54">
        <v>16.663333333333334</v>
      </c>
      <c r="AN318" s="54"/>
      <c r="AO318" s="54"/>
      <c r="AP318" s="54"/>
      <c r="AQ318" s="54"/>
      <c r="AR318" s="54"/>
      <c r="AS318" s="54"/>
      <c r="AT318" s="54"/>
      <c r="AU318" s="54"/>
      <c r="AV318" s="54"/>
      <c r="AW318" s="54"/>
      <c r="AX318" s="59"/>
      <c r="AY318" s="59"/>
      <c r="AZ318" s="59"/>
      <c r="BA318" s="59"/>
      <c r="BB318" s="59">
        <v>3.082E-2</v>
      </c>
      <c r="BC318" s="60">
        <v>4.9000000000000004</v>
      </c>
      <c r="BD318" s="61">
        <v>6.5333000000000002E-2</v>
      </c>
      <c r="BE318" s="62" t="e">
        <v>#N/A</v>
      </c>
      <c r="BF318" s="35">
        <f t="shared" si="0"/>
        <v>4.9000000000000004</v>
      </c>
      <c r="BG318" s="35">
        <f t="shared" si="0"/>
        <v>6.5333000000000002E-2</v>
      </c>
      <c r="BH318" s="35" t="str">
        <f t="shared" ref="BH318:BH328" si="789">IF(ISTEXT(BE318),IF(AND(AV318=0,SUM(AN318:AQ318)=0),IF(AM318&lt;=0,IF(BE318="Y","Low","Flat"),"Med"),"High"),"?")</f>
        <v>?</v>
      </c>
      <c r="BI318" s="110">
        <f t="shared" ref="BI318:BI328" si="790">IF(ISNUMBER(AH318),0*BI$5*SIN((EDATE($A$3,$Q318)-DATE(YEAR(EDATE($A$3,$Q318)),1,0)-BI$4)*2*PI()/365),"")</f>
        <v>0</v>
      </c>
      <c r="BJ318" s="83">
        <f>VLOOKUP($F318,REP_Info!$D$6:$H$250,5,FALSE)</f>
        <v>1.806</v>
      </c>
      <c r="BK318" s="30" t="e">
        <f t="shared" ref="BK318:BN328" si="791">IF(BK$7&gt;0,(LOOKUP(BK$7,$AH318:$AL318,$AM318:$AQ318)+IF($AG318="Y",SUMPRODUCT($AX318:$BB318-$AW318:$BA318,BK$7-$AR318:$AV318,N(BK$7&gt;$AR318:$AV318)),BK$7*LOOKUP(BK$7,$AR318:$AV318,$AX318:$BB318))+IF($BE318="Y",$BF318,$BC318)+BK$7*IF($BE318="Y",$BG318,$BD318))*100/BK$7,"")</f>
        <v>#N/A</v>
      </c>
      <c r="BL318" s="30" t="e">
        <f t="shared" si="791"/>
        <v>#N/A</v>
      </c>
      <c r="BM318" s="30" t="e">
        <f t="shared" si="791"/>
        <v>#N/A</v>
      </c>
      <c r="BN318" s="29" t="e">
        <f t="shared" si="791"/>
        <v>#N/A</v>
      </c>
      <c r="BO318" s="85" t="str">
        <f t="shared" si="2"/>
        <v>$$$</v>
      </c>
      <c r="BP318" s="88" t="str">
        <f t="shared" ref="BP318:BP328" si="792">IFERROR(BO318*100/BO$5,"$$$")</f>
        <v>$$$</v>
      </c>
      <c r="BQ318" s="88" t="str">
        <f t="shared" si="4"/>
        <v>$$$</v>
      </c>
      <c r="BR318" s="88" t="str">
        <f t="shared" si="5"/>
        <v>$$$</v>
      </c>
      <c r="BS318" s="29" t="e">
        <f t="shared" ref="BS318:CD328" si="793">IF($CI318,IF(BS$7&gt;0,IF(BS$4&gt;$Q318,$BF318+BS$7*(BS$5+$BG318+$BI318),LOOKUP(BS$7,$AH318:$AL318,$AM318:$AQ318)+IF($AG318="Y",SUMPRODUCT($AX318:$BB318-$AW318:$BA318,BS$7-$AR318:$AV318,N(BS$7&gt;$AR318:$AV318)),BS$7*LOOKUP(BS$7,$AR318:$AV318,$AX318:$BB318))+IF($BE318="Y",$BF318,$BC318)+BS$7*IF($BE318="Y",$BG318,$BD318))*100/BS$7,""),NA())</f>
        <v>#N/A</v>
      </c>
      <c r="BT318" s="29" t="e">
        <f t="shared" si="793"/>
        <v>#N/A</v>
      </c>
      <c r="BU318" s="29" t="e">
        <f t="shared" si="793"/>
        <v>#N/A</v>
      </c>
      <c r="BV318" s="29" t="e">
        <f t="shared" si="793"/>
        <v>#N/A</v>
      </c>
      <c r="BW318" s="29" t="e">
        <f t="shared" si="793"/>
        <v>#N/A</v>
      </c>
      <c r="BX318" s="29" t="e">
        <f t="shared" si="793"/>
        <v>#N/A</v>
      </c>
      <c r="BY318" s="29" t="e">
        <f t="shared" si="793"/>
        <v>#N/A</v>
      </c>
      <c r="BZ318" s="29" t="e">
        <f t="shared" si="793"/>
        <v>#N/A</v>
      </c>
      <c r="CA318" s="29" t="e">
        <f t="shared" si="793"/>
        <v>#N/A</v>
      </c>
      <c r="CB318" s="29" t="e">
        <f t="shared" si="793"/>
        <v>#N/A</v>
      </c>
      <c r="CC318" s="29" t="e">
        <f t="shared" si="793"/>
        <v>#N/A</v>
      </c>
      <c r="CD318" s="29" t="e">
        <f t="shared" si="793"/>
        <v>#N/A</v>
      </c>
      <c r="CE318" s="6" t="str">
        <f t="shared" si="650"/>
        <v/>
      </c>
      <c r="CF318" s="27" t="e">
        <f>IF(AND(CI318,NOT(AD318)),LOOKUP(CF$5,{0,750,1500},H318:J318),"")</f>
        <v>#N/A</v>
      </c>
      <c r="CG318" s="6" t="str">
        <f t="shared" si="651"/>
        <v/>
      </c>
      <c r="CH318" t="e">
        <f t="shared" ref="CH318:CH328" si="794">IF(CI318,IF(ISNUMBER(BO318),BO318,100000)+CV318/10000+IF(ISNUMBER(BJ318),BJ318,2)/10000-P318/100000+ROW()/10000000,"")</f>
        <v>#N/A</v>
      </c>
      <c r="CI318" t="e">
        <f t="shared" ref="CI318:CI328" si="795">PRODUCT(CJ318:CQ318)</f>
        <v>#N/A</v>
      </c>
      <c r="CJ318" s="6" t="e">
        <f t="shared" si="11"/>
        <v>#N/A</v>
      </c>
      <c r="CK318" s="6">
        <f t="shared" si="12"/>
        <v>1</v>
      </c>
      <c r="CL318" s="6">
        <f t="shared" si="26"/>
        <v>1</v>
      </c>
      <c r="CM318" s="6">
        <f t="shared" si="13"/>
        <v>1</v>
      </c>
      <c r="CN318" s="6">
        <f t="shared" si="14"/>
        <v>0</v>
      </c>
      <c r="CO318" s="6">
        <f t="shared" si="15"/>
        <v>1</v>
      </c>
      <c r="CP318" s="6">
        <f t="shared" si="16"/>
        <v>1</v>
      </c>
      <c r="CQ318" s="6">
        <f t="shared" ref="CQ318:CQ328" si="796">IF(CQ$5="Any",1,IF(AND(CQ$5="Med",AV318=0,SUM(AN318:AQ318)=0),1,IF(AND(CQ$5="Low",AV318=0,SUM(AN318:AQ318)=0,AM318=0),1,IF(AND(CQ$5="Flat",AV318=0,SUM(AN318:AQ318)=0,AM318=0,IFERROR(NOT(BE318="Y"),0)),1,0))))</f>
        <v>1</v>
      </c>
      <c r="CR318" s="81" t="str">
        <f t="shared" si="17"/>
        <v/>
      </c>
      <c r="CS318">
        <f t="shared" ref="CS318:CS328" si="797">CS$5*(12/(MIN(12,Q318))-1)</f>
        <v>54</v>
      </c>
      <c r="CT318">
        <f t="shared" si="766"/>
        <v>175</v>
      </c>
      <c r="CU318" t="str">
        <f t="shared" si="29"/>
        <v/>
      </c>
      <c r="CV318" s="81">
        <f t="shared" ref="CV318:CV328" si="798">CT318*IF(CU318="",1,Q318)</f>
        <v>175</v>
      </c>
      <c r="CW318" s="81">
        <f>(CV318/25)^1.5*(Calculator!$BU$4/10000)*CW$5</f>
        <v>9.6315719067890644</v>
      </c>
      <c r="CX318" t="str">
        <f t="shared" ref="CX318:CX328" si="799">"$"&amp;IF(LEFT(CU318,1)="r",CT318&amp;"/"&amp;CU318,CV318)</f>
        <v>$175</v>
      </c>
    </row>
    <row r="319" spans="2:102" x14ac:dyDescent="0.25">
      <c r="B319" s="115" t="s">
        <v>233</v>
      </c>
      <c r="C319" s="13">
        <v>46302.234722222223</v>
      </c>
      <c r="D319">
        <v>22159</v>
      </c>
      <c r="E319" s="54" t="s">
        <v>237</v>
      </c>
      <c r="F319" s="54" t="s">
        <v>592</v>
      </c>
      <c r="G319" s="54" t="s">
        <v>1641</v>
      </c>
      <c r="H319" s="55">
        <v>11.1</v>
      </c>
      <c r="I319" s="55">
        <v>10.299999999999999</v>
      </c>
      <c r="J319" s="55">
        <v>9.9</v>
      </c>
      <c r="K319" s="54"/>
      <c r="L319" s="56" t="b">
        <v>0</v>
      </c>
      <c r="M319" s="56" t="b">
        <v>0</v>
      </c>
      <c r="N319" s="54">
        <v>1</v>
      </c>
      <c r="O319" s="54" t="s">
        <v>228</v>
      </c>
      <c r="P319" s="54">
        <v>22</v>
      </c>
      <c r="Q319" s="54">
        <v>3</v>
      </c>
      <c r="R319" s="54">
        <v>175</v>
      </c>
      <c r="S319" s="54" t="s">
        <v>593</v>
      </c>
      <c r="T319" s="54" t="s">
        <v>598</v>
      </c>
      <c r="U319" s="54" t="s">
        <v>1623</v>
      </c>
      <c r="V319" s="54" t="s">
        <v>595</v>
      </c>
      <c r="W319" s="54" t="b">
        <v>0</v>
      </c>
      <c r="X319" s="54"/>
      <c r="Y319" s="57" t="s">
        <v>1642</v>
      </c>
      <c r="Z319" s="54" t="s">
        <v>596</v>
      </c>
      <c r="AA319" s="54"/>
      <c r="AB319" s="54" t="s">
        <v>597</v>
      </c>
      <c r="AC319" s="56" t="b">
        <v>1</v>
      </c>
      <c r="AD319" s="56" t="b">
        <v>0</v>
      </c>
      <c r="AE319" s="54" t="s">
        <v>302</v>
      </c>
      <c r="AF319" s="58">
        <v>46302</v>
      </c>
      <c r="AG319" s="62" t="s">
        <v>293</v>
      </c>
      <c r="AH319" s="54">
        <v>0</v>
      </c>
      <c r="AI319" s="54"/>
      <c r="AJ319" s="54"/>
      <c r="AK319" s="54"/>
      <c r="AL319" s="54"/>
      <c r="AM319" s="54">
        <v>16.663333333333334</v>
      </c>
      <c r="AN319" s="54"/>
      <c r="AO319" s="54"/>
      <c r="AP319" s="54"/>
      <c r="AQ319" s="54"/>
      <c r="AR319" s="54"/>
      <c r="AS319" s="54"/>
      <c r="AT319" s="54"/>
      <c r="AU319" s="54"/>
      <c r="AV319" s="54"/>
      <c r="AW319" s="54"/>
      <c r="AX319" s="59"/>
      <c r="AY319" s="59"/>
      <c r="AZ319" s="59"/>
      <c r="BA319" s="59"/>
      <c r="BB319" s="59">
        <v>2.5999999999999999E-2</v>
      </c>
      <c r="BC319" s="60">
        <v>4.0599999999999996</v>
      </c>
      <c r="BD319" s="61">
        <v>6.8672999999999998E-2</v>
      </c>
      <c r="BE319" s="62" t="s">
        <v>293</v>
      </c>
      <c r="BF319" s="35">
        <f t="shared" si="0"/>
        <v>4.0600000000000005</v>
      </c>
      <c r="BG319" s="35">
        <f t="shared" si="0"/>
        <v>6.8672999999999998E-2</v>
      </c>
      <c r="BH319" s="35" t="str">
        <f t="shared" si="789"/>
        <v>Med</v>
      </c>
      <c r="BI319" s="110">
        <f t="shared" si="790"/>
        <v>0</v>
      </c>
      <c r="BJ319" s="83">
        <f>VLOOKUP($F319,REP_Info!$D$6:$H$250,5,FALSE)</f>
        <v>1.806</v>
      </c>
      <c r="BK319" s="30">
        <f t="shared" si="791"/>
        <v>13.611966666666666</v>
      </c>
      <c r="BL319" s="30">
        <f t="shared" si="791"/>
        <v>11.539633333333333</v>
      </c>
      <c r="BM319" s="30">
        <f t="shared" si="791"/>
        <v>10.503466666666666</v>
      </c>
      <c r="BN319" s="29">
        <f t="shared" si="791"/>
        <v>10.158077777777779</v>
      </c>
      <c r="BO319" s="85" t="str">
        <f t="shared" si="2"/>
        <v>$$$</v>
      </c>
      <c r="BP319" s="88" t="str">
        <f t="shared" si="792"/>
        <v>$$$</v>
      </c>
      <c r="BQ319" s="88" t="str">
        <f t="shared" si="4"/>
        <v>$$$</v>
      </c>
      <c r="BR319" s="88" t="str">
        <f t="shared" si="5"/>
        <v>$$$</v>
      </c>
      <c r="BS319" s="29" t="e">
        <f t="shared" si="793"/>
        <v>#N/A</v>
      </c>
      <c r="BT319" s="29" t="e">
        <f t="shared" si="793"/>
        <v>#N/A</v>
      </c>
      <c r="BU319" s="29" t="e">
        <f t="shared" si="793"/>
        <v>#N/A</v>
      </c>
      <c r="BV319" s="29" t="e">
        <f t="shared" si="793"/>
        <v>#N/A</v>
      </c>
      <c r="BW319" s="29" t="e">
        <f t="shared" si="793"/>
        <v>#N/A</v>
      </c>
      <c r="BX319" s="29" t="e">
        <f t="shared" si="793"/>
        <v>#N/A</v>
      </c>
      <c r="BY319" s="29" t="e">
        <f t="shared" si="793"/>
        <v>#N/A</v>
      </c>
      <c r="BZ319" s="29" t="e">
        <f t="shared" si="793"/>
        <v>#N/A</v>
      </c>
      <c r="CA319" s="29" t="e">
        <f t="shared" si="793"/>
        <v>#N/A</v>
      </c>
      <c r="CB319" s="29" t="e">
        <f t="shared" si="793"/>
        <v>#N/A</v>
      </c>
      <c r="CC319" s="29" t="e">
        <f t="shared" si="793"/>
        <v>#N/A</v>
      </c>
      <c r="CD319" s="29" t="e">
        <f t="shared" si="793"/>
        <v>#N/A</v>
      </c>
      <c r="CE319" s="6" t="str">
        <f t="shared" si="650"/>
        <v/>
      </c>
      <c r="CF319" s="27" t="e">
        <f>IF(AND(CI319,NOT(AD319)),LOOKUP(CF$5,{0,750,1500},H319:J319),"")</f>
        <v>#N/A</v>
      </c>
      <c r="CG319" s="6" t="str">
        <f t="shared" si="651"/>
        <v/>
      </c>
      <c r="CH319" t="e">
        <f t="shared" si="794"/>
        <v>#N/A</v>
      </c>
      <c r="CI319" t="e">
        <f t="shared" si="795"/>
        <v>#N/A</v>
      </c>
      <c r="CJ319" s="6" t="e">
        <f t="shared" si="11"/>
        <v>#N/A</v>
      </c>
      <c r="CK319" s="6">
        <f t="shared" si="12"/>
        <v>1</v>
      </c>
      <c r="CL319" s="6">
        <f t="shared" si="26"/>
        <v>1</v>
      </c>
      <c r="CM319" s="6">
        <f t="shared" si="13"/>
        <v>1</v>
      </c>
      <c r="CN319" s="6">
        <f t="shared" si="14"/>
        <v>0</v>
      </c>
      <c r="CO319" s="6">
        <f t="shared" si="15"/>
        <v>1</v>
      </c>
      <c r="CP319" s="6">
        <f t="shared" si="16"/>
        <v>1</v>
      </c>
      <c r="CQ319" s="6">
        <f t="shared" si="796"/>
        <v>1</v>
      </c>
      <c r="CR319" s="81" t="str">
        <f t="shared" si="17"/>
        <v/>
      </c>
      <c r="CS319">
        <f t="shared" si="797"/>
        <v>54</v>
      </c>
      <c r="CT319">
        <f t="shared" si="766"/>
        <v>175</v>
      </c>
      <c r="CU319" t="str">
        <f t="shared" si="29"/>
        <v/>
      </c>
      <c r="CV319" s="81">
        <f t="shared" si="798"/>
        <v>175</v>
      </c>
      <c r="CW319" s="81">
        <f>(CV319/25)^1.5*(Calculator!$BU$4/10000)*CW$5</f>
        <v>9.6315719067890644</v>
      </c>
      <c r="CX319" t="str">
        <f t="shared" si="799"/>
        <v>$175</v>
      </c>
    </row>
    <row r="320" spans="2:102" x14ac:dyDescent="0.25">
      <c r="B320" s="115" t="s">
        <v>233</v>
      </c>
      <c r="C320" s="13">
        <v>46304.647222222222</v>
      </c>
      <c r="D320">
        <v>22161</v>
      </c>
      <c r="E320" s="54" t="s">
        <v>235</v>
      </c>
      <c r="F320" s="54" t="s">
        <v>592</v>
      </c>
      <c r="G320" s="54" t="s">
        <v>1641</v>
      </c>
      <c r="H320" s="55">
        <v>11.4</v>
      </c>
      <c r="I320" s="55">
        <v>10.5</v>
      </c>
      <c r="J320" s="55">
        <v>10.100000000000001</v>
      </c>
      <c r="K320" s="54"/>
      <c r="L320" s="56" t="b">
        <v>0</v>
      </c>
      <c r="M320" s="56" t="b">
        <v>0</v>
      </c>
      <c r="N320" s="54">
        <v>1</v>
      </c>
      <c r="O320" s="54" t="s">
        <v>228</v>
      </c>
      <c r="P320" s="54">
        <v>22</v>
      </c>
      <c r="Q320" s="54">
        <v>3</v>
      </c>
      <c r="R320" s="54">
        <v>175</v>
      </c>
      <c r="S320" s="54" t="s">
        <v>593</v>
      </c>
      <c r="T320" s="54" t="s">
        <v>598</v>
      </c>
      <c r="U320" s="54" t="s">
        <v>1625</v>
      </c>
      <c r="V320" s="54" t="s">
        <v>595</v>
      </c>
      <c r="W320" s="54" t="b">
        <v>0</v>
      </c>
      <c r="X320" s="54"/>
      <c r="Y320" s="57" t="s">
        <v>1643</v>
      </c>
      <c r="Z320" s="54" t="s">
        <v>596</v>
      </c>
      <c r="AA320" s="54"/>
      <c r="AB320" s="54" t="s">
        <v>597</v>
      </c>
      <c r="AC320" s="56" t="b">
        <v>1</v>
      </c>
      <c r="AD320" s="56" t="b">
        <v>0</v>
      </c>
      <c r="AE320" s="54" t="s">
        <v>302</v>
      </c>
      <c r="AF320" s="58">
        <v>46304</v>
      </c>
      <c r="AG320" s="62" t="s">
        <v>293</v>
      </c>
      <c r="AH320" s="54">
        <v>0</v>
      </c>
      <c r="AI320" s="54"/>
      <c r="AJ320" s="54"/>
      <c r="AK320" s="54"/>
      <c r="AL320" s="54"/>
      <c r="AM320" s="54">
        <v>16.663333333333334</v>
      </c>
      <c r="AN320" s="54"/>
      <c r="AO320" s="54"/>
      <c r="AP320" s="54"/>
      <c r="AQ320" s="54"/>
      <c r="AR320" s="54"/>
      <c r="AS320" s="54"/>
      <c r="AT320" s="54"/>
      <c r="AU320" s="54"/>
      <c r="AV320" s="54"/>
      <c r="AW320" s="54"/>
      <c r="AX320" s="59"/>
      <c r="AY320" s="59"/>
      <c r="AZ320" s="59"/>
      <c r="BA320" s="59"/>
      <c r="BB320" s="59">
        <v>3.1E-2</v>
      </c>
      <c r="BC320" s="60">
        <v>4.9000000000000004</v>
      </c>
      <c r="BD320" s="61">
        <v>6.5333000000000002E-2</v>
      </c>
      <c r="BE320" s="62" t="s">
        <v>293</v>
      </c>
      <c r="BF320" s="35">
        <f t="shared" si="0"/>
        <v>4.9000000000000004</v>
      </c>
      <c r="BG320" s="35">
        <f t="shared" si="0"/>
        <v>6.5333000000000002E-2</v>
      </c>
      <c r="BH320" s="35" t="str">
        <f t="shared" si="789"/>
        <v>Med</v>
      </c>
      <c r="BI320" s="110">
        <f t="shared" si="790"/>
        <v>0</v>
      </c>
      <c r="BJ320" s="83">
        <f>VLOOKUP($F320,REP_Info!$D$6:$H$250,5,FALSE)</f>
        <v>1.806</v>
      </c>
      <c r="BK320" s="30">
        <f t="shared" si="791"/>
        <v>13.945966666666667</v>
      </c>
      <c r="BL320" s="30">
        <f t="shared" si="791"/>
        <v>11.789633333333333</v>
      </c>
      <c r="BM320" s="30">
        <f t="shared" si="791"/>
        <v>10.711466666666666</v>
      </c>
      <c r="BN320" s="29">
        <f t="shared" si="791"/>
        <v>10.352077777777776</v>
      </c>
      <c r="BO320" s="85" t="str">
        <f t="shared" si="2"/>
        <v>$$$</v>
      </c>
      <c r="BP320" s="88" t="str">
        <f t="shared" si="792"/>
        <v>$$$</v>
      </c>
      <c r="BQ320" s="88" t="str">
        <f t="shared" si="4"/>
        <v>$$$</v>
      </c>
      <c r="BR320" s="88" t="str">
        <f t="shared" si="5"/>
        <v>$$$</v>
      </c>
      <c r="BS320" s="29" t="e">
        <f t="shared" si="793"/>
        <v>#N/A</v>
      </c>
      <c r="BT320" s="29" t="e">
        <f t="shared" si="793"/>
        <v>#N/A</v>
      </c>
      <c r="BU320" s="29" t="e">
        <f t="shared" si="793"/>
        <v>#N/A</v>
      </c>
      <c r="BV320" s="29" t="e">
        <f t="shared" si="793"/>
        <v>#N/A</v>
      </c>
      <c r="BW320" s="29" t="e">
        <f t="shared" si="793"/>
        <v>#N/A</v>
      </c>
      <c r="BX320" s="29" t="e">
        <f t="shared" si="793"/>
        <v>#N/A</v>
      </c>
      <c r="BY320" s="29" t="e">
        <f t="shared" si="793"/>
        <v>#N/A</v>
      </c>
      <c r="BZ320" s="29" t="e">
        <f t="shared" si="793"/>
        <v>#N/A</v>
      </c>
      <c r="CA320" s="29" t="e">
        <f t="shared" si="793"/>
        <v>#N/A</v>
      </c>
      <c r="CB320" s="29" t="e">
        <f t="shared" si="793"/>
        <v>#N/A</v>
      </c>
      <c r="CC320" s="29" t="e">
        <f t="shared" si="793"/>
        <v>#N/A</v>
      </c>
      <c r="CD320" s="29" t="e">
        <f t="shared" si="793"/>
        <v>#N/A</v>
      </c>
      <c r="CE320" s="6" t="str">
        <f t="shared" si="650"/>
        <v/>
      </c>
      <c r="CF320" s="27" t="e">
        <f>IF(AND(CI320,NOT(AD320)),LOOKUP(CF$5,{0,750,1500},H320:J320),"")</f>
        <v>#N/A</v>
      </c>
      <c r="CG320" s="6" t="str">
        <f t="shared" si="651"/>
        <v/>
      </c>
      <c r="CH320" t="e">
        <f t="shared" si="794"/>
        <v>#N/A</v>
      </c>
      <c r="CI320" t="e">
        <f t="shared" si="795"/>
        <v>#N/A</v>
      </c>
      <c r="CJ320" s="6" t="e">
        <f t="shared" si="11"/>
        <v>#N/A</v>
      </c>
      <c r="CK320" s="6">
        <f t="shared" si="12"/>
        <v>1</v>
      </c>
      <c r="CL320" s="6">
        <f t="shared" si="26"/>
        <v>1</v>
      </c>
      <c r="CM320" s="6">
        <f t="shared" si="13"/>
        <v>1</v>
      </c>
      <c r="CN320" s="6">
        <f t="shared" si="14"/>
        <v>0</v>
      </c>
      <c r="CO320" s="6">
        <f t="shared" si="15"/>
        <v>1</v>
      </c>
      <c r="CP320" s="6">
        <f t="shared" si="16"/>
        <v>1</v>
      </c>
      <c r="CQ320" s="6">
        <f t="shared" si="796"/>
        <v>1</v>
      </c>
      <c r="CR320" s="81" t="str">
        <f t="shared" si="17"/>
        <v/>
      </c>
      <c r="CS320">
        <f t="shared" si="797"/>
        <v>54</v>
      </c>
      <c r="CT320">
        <f t="shared" si="766"/>
        <v>175</v>
      </c>
      <c r="CU320" t="str">
        <f t="shared" si="29"/>
        <v/>
      </c>
      <c r="CV320" s="81">
        <f t="shared" si="798"/>
        <v>175</v>
      </c>
      <c r="CW320" s="81">
        <f>(CV320/25)^1.5*(Calculator!$BU$4/10000)*CW$5</f>
        <v>9.6315719067890644</v>
      </c>
      <c r="CX320" t="str">
        <f t="shared" si="799"/>
        <v>$175</v>
      </c>
    </row>
    <row r="321" spans="2:102" x14ac:dyDescent="0.25">
      <c r="B321" s="115" t="s">
        <v>233</v>
      </c>
      <c r="C321" s="13">
        <v>46302.234722222223</v>
      </c>
      <c r="D321">
        <v>22764</v>
      </c>
      <c r="E321" s="54" t="s">
        <v>237</v>
      </c>
      <c r="F321" s="54" t="s">
        <v>592</v>
      </c>
      <c r="G321" s="54" t="s">
        <v>599</v>
      </c>
      <c r="H321" s="55">
        <v>24.7</v>
      </c>
      <c r="I321" s="55">
        <v>11.799999999999999</v>
      </c>
      <c r="J321" s="55">
        <v>17.8</v>
      </c>
      <c r="K321" s="54" t="s">
        <v>312</v>
      </c>
      <c r="L321" s="56" t="b">
        <v>0</v>
      </c>
      <c r="M321" s="56" t="b">
        <v>0</v>
      </c>
      <c r="N321" s="54">
        <v>1</v>
      </c>
      <c r="O321" s="54" t="s">
        <v>228</v>
      </c>
      <c r="P321" s="54">
        <v>22</v>
      </c>
      <c r="Q321" s="54">
        <v>12</v>
      </c>
      <c r="R321" s="54">
        <v>175</v>
      </c>
      <c r="S321" s="54" t="s">
        <v>593</v>
      </c>
      <c r="T321" s="54" t="s">
        <v>600</v>
      </c>
      <c r="U321" s="54" t="s">
        <v>601</v>
      </c>
      <c r="V321" s="54" t="s">
        <v>595</v>
      </c>
      <c r="W321" s="54" t="b">
        <v>0</v>
      </c>
      <c r="X321" s="54"/>
      <c r="Y321" s="57" t="s">
        <v>602</v>
      </c>
      <c r="Z321" s="54" t="s">
        <v>603</v>
      </c>
      <c r="AA321" s="54"/>
      <c r="AB321" s="54" t="s">
        <v>597</v>
      </c>
      <c r="AC321" s="56" t="b">
        <v>1</v>
      </c>
      <c r="AD321" s="56" t="b">
        <v>1</v>
      </c>
      <c r="AE321" s="54" t="s">
        <v>302</v>
      </c>
      <c r="AF321" s="58">
        <v>46302</v>
      </c>
      <c r="AG321" s="62" t="s">
        <v>293</v>
      </c>
      <c r="AH321" s="54">
        <v>0</v>
      </c>
      <c r="AI321" s="54">
        <v>1000</v>
      </c>
      <c r="AJ321" s="54"/>
      <c r="AK321" s="54"/>
      <c r="AL321" s="54"/>
      <c r="AM321" s="54">
        <v>0</v>
      </c>
      <c r="AN321" s="54">
        <v>-125</v>
      </c>
      <c r="AO321" s="54"/>
      <c r="AP321" s="54"/>
      <c r="AQ321" s="54"/>
      <c r="AR321" s="54"/>
      <c r="AS321" s="54"/>
      <c r="AT321" s="54"/>
      <c r="AU321" s="54"/>
      <c r="AV321" s="54"/>
      <c r="AW321" s="54"/>
      <c r="AX321" s="59"/>
      <c r="AY321" s="59"/>
      <c r="AZ321" s="59"/>
      <c r="BA321" s="59"/>
      <c r="BB321" s="59">
        <v>0.17</v>
      </c>
      <c r="BC321" s="60">
        <v>4.0599999999999996</v>
      </c>
      <c r="BD321" s="61">
        <v>6.8672999999999998E-2</v>
      </c>
      <c r="BE321" s="62" t="s">
        <v>293</v>
      </c>
      <c r="BF321" s="35">
        <f t="shared" si="0"/>
        <v>4.0600000000000005</v>
      </c>
      <c r="BG321" s="35">
        <f t="shared" si="0"/>
        <v>6.8672999999999998E-2</v>
      </c>
      <c r="BH321" s="35" t="str">
        <f t="shared" si="789"/>
        <v>High</v>
      </c>
      <c r="BI321" s="110">
        <f t="shared" si="790"/>
        <v>0</v>
      </c>
      <c r="BJ321" s="83">
        <f>VLOOKUP($F321,REP_Info!$D$6:$H$250,5,FALSE)</f>
        <v>1.806</v>
      </c>
      <c r="BK321" s="30">
        <f t="shared" si="791"/>
        <v>24.679299999999998</v>
      </c>
      <c r="BL321" s="30">
        <f t="shared" si="791"/>
        <v>11.773300000000001</v>
      </c>
      <c r="BM321" s="30">
        <f t="shared" si="791"/>
        <v>17.8203</v>
      </c>
      <c r="BN321" s="29">
        <f t="shared" si="791"/>
        <v>19.835966666666671</v>
      </c>
      <c r="BO321" s="85" t="str">
        <f t="shared" si="2"/>
        <v>$$$</v>
      </c>
      <c r="BP321" s="88" t="str">
        <f t="shared" si="792"/>
        <v>$$$</v>
      </c>
      <c r="BQ321" s="88" t="str">
        <f t="shared" si="4"/>
        <v>$$$</v>
      </c>
      <c r="BR321" s="88" t="str">
        <f t="shared" si="5"/>
        <v>$$$</v>
      </c>
      <c r="BS321" s="29" t="e">
        <f t="shared" si="793"/>
        <v>#N/A</v>
      </c>
      <c r="BT321" s="29" t="e">
        <f t="shared" si="793"/>
        <v>#N/A</v>
      </c>
      <c r="BU321" s="29" t="e">
        <f t="shared" si="793"/>
        <v>#N/A</v>
      </c>
      <c r="BV321" s="29" t="e">
        <f t="shared" si="793"/>
        <v>#N/A</v>
      </c>
      <c r="BW321" s="29" t="e">
        <f t="shared" si="793"/>
        <v>#N/A</v>
      </c>
      <c r="BX321" s="29" t="e">
        <f t="shared" si="793"/>
        <v>#N/A</v>
      </c>
      <c r="BY321" s="29" t="e">
        <f t="shared" si="793"/>
        <v>#N/A</v>
      </c>
      <c r="BZ321" s="29" t="e">
        <f t="shared" si="793"/>
        <v>#N/A</v>
      </c>
      <c r="CA321" s="29" t="e">
        <f t="shared" si="793"/>
        <v>#N/A</v>
      </c>
      <c r="CB321" s="29" t="e">
        <f t="shared" si="793"/>
        <v>#N/A</v>
      </c>
      <c r="CC321" s="29" t="e">
        <f t="shared" si="793"/>
        <v>#N/A</v>
      </c>
      <c r="CD321" s="29" t="e">
        <f t="shared" si="793"/>
        <v>#N/A</v>
      </c>
      <c r="CE321" s="6" t="str">
        <f t="shared" si="650"/>
        <v/>
      </c>
      <c r="CF321" s="27" t="e">
        <f>IF(AND(CI321,NOT(AD321)),LOOKUP(CF$5,{0,750,1500},H321:J321),"")</f>
        <v>#N/A</v>
      </c>
      <c r="CG321" s="6" t="str">
        <f t="shared" si="651"/>
        <v/>
      </c>
      <c r="CH321" t="e">
        <f t="shared" si="794"/>
        <v>#N/A</v>
      </c>
      <c r="CI321" t="e">
        <f t="shared" si="795"/>
        <v>#N/A</v>
      </c>
      <c r="CJ321" s="6" t="e">
        <f t="shared" si="11"/>
        <v>#N/A</v>
      </c>
      <c r="CK321" s="6">
        <f t="shared" si="12"/>
        <v>1</v>
      </c>
      <c r="CL321" s="6">
        <f t="shared" si="26"/>
        <v>1</v>
      </c>
      <c r="CM321" s="6">
        <f t="shared" si="13"/>
        <v>1</v>
      </c>
      <c r="CN321" s="6">
        <f t="shared" si="14"/>
        <v>1</v>
      </c>
      <c r="CO321" s="6">
        <f t="shared" si="15"/>
        <v>1</v>
      </c>
      <c r="CP321" s="6">
        <f t="shared" si="16"/>
        <v>1</v>
      </c>
      <c r="CQ321" s="6">
        <f t="shared" si="796"/>
        <v>1</v>
      </c>
      <c r="CR321" s="81" t="str">
        <f t="shared" si="17"/>
        <v/>
      </c>
      <c r="CS321">
        <f t="shared" si="797"/>
        <v>0</v>
      </c>
      <c r="CT321">
        <f t="shared" si="766"/>
        <v>175</v>
      </c>
      <c r="CU321" t="str">
        <f t="shared" si="29"/>
        <v/>
      </c>
      <c r="CV321" s="81">
        <f t="shared" si="798"/>
        <v>175</v>
      </c>
      <c r="CW321" s="81">
        <f>(CV321/25)^1.5*(Calculator!$BU$4/10000)*CW$5</f>
        <v>9.6315719067890644</v>
      </c>
      <c r="CX321" t="str">
        <f t="shared" si="799"/>
        <v>$175</v>
      </c>
    </row>
    <row r="322" spans="2:102" x14ac:dyDescent="0.25">
      <c r="B322" s="115" t="s">
        <v>233</v>
      </c>
      <c r="C322" s="13">
        <v>46296.854166666664</v>
      </c>
      <c r="D322">
        <v>24340</v>
      </c>
      <c r="E322" s="54" t="s">
        <v>235</v>
      </c>
      <c r="F322" s="54" t="s">
        <v>592</v>
      </c>
      <c r="G322" s="54" t="s">
        <v>599</v>
      </c>
      <c r="H322" s="55">
        <v>22.900000000000002</v>
      </c>
      <c r="I322" s="55">
        <v>9.9</v>
      </c>
      <c r="J322" s="55">
        <v>15.9</v>
      </c>
      <c r="K322" s="54" t="s">
        <v>312</v>
      </c>
      <c r="L322" s="56" t="b">
        <v>0</v>
      </c>
      <c r="M322" s="56" t="b">
        <v>0</v>
      </c>
      <c r="N322" s="54">
        <v>1</v>
      </c>
      <c r="O322" s="54" t="s">
        <v>228</v>
      </c>
      <c r="P322" s="54">
        <v>22</v>
      </c>
      <c r="Q322" s="54">
        <v>12</v>
      </c>
      <c r="R322" s="54">
        <v>175</v>
      </c>
      <c r="S322" s="54" t="s">
        <v>593</v>
      </c>
      <c r="T322" s="54" t="s">
        <v>600</v>
      </c>
      <c r="U322" s="54" t="s">
        <v>604</v>
      </c>
      <c r="V322" s="54" t="s">
        <v>595</v>
      </c>
      <c r="W322" s="54" t="b">
        <v>0</v>
      </c>
      <c r="X322" s="54"/>
      <c r="Y322" s="57" t="s">
        <v>605</v>
      </c>
      <c r="Z322" s="54" t="s">
        <v>603</v>
      </c>
      <c r="AA322" s="54"/>
      <c r="AB322" s="54" t="s">
        <v>597</v>
      </c>
      <c r="AC322" s="56" t="b">
        <v>1</v>
      </c>
      <c r="AD322" s="56" t="b">
        <v>1</v>
      </c>
      <c r="AE322" s="54" t="s">
        <v>302</v>
      </c>
      <c r="AF322" s="58">
        <v>46296</v>
      </c>
      <c r="AG322" s="62" t="s">
        <v>293</v>
      </c>
      <c r="AH322" s="54">
        <v>0</v>
      </c>
      <c r="AI322" s="54">
        <v>1000</v>
      </c>
      <c r="AJ322" s="54"/>
      <c r="AK322" s="54"/>
      <c r="AL322" s="54"/>
      <c r="AM322" s="54">
        <v>0</v>
      </c>
      <c r="AN322" s="54">
        <v>-125</v>
      </c>
      <c r="AO322" s="54"/>
      <c r="AP322" s="54"/>
      <c r="AQ322" s="54"/>
      <c r="AR322" s="54"/>
      <c r="AS322" s="54"/>
      <c r="AT322" s="54"/>
      <c r="AU322" s="54"/>
      <c r="AV322" s="54"/>
      <c r="AW322" s="54"/>
      <c r="AX322" s="59"/>
      <c r="AY322" s="59"/>
      <c r="AZ322" s="59"/>
      <c r="BA322" s="59"/>
      <c r="BB322" s="59">
        <v>0.154</v>
      </c>
      <c r="BC322" s="60">
        <v>4.9000000000000004</v>
      </c>
      <c r="BD322" s="61">
        <v>6.5333000000000002E-2</v>
      </c>
      <c r="BE322" s="62" t="s">
        <v>293</v>
      </c>
      <c r="BF322" s="35">
        <f t="shared" si="0"/>
        <v>4.9000000000000004</v>
      </c>
      <c r="BG322" s="35">
        <f t="shared" si="0"/>
        <v>6.5333000000000002E-2</v>
      </c>
      <c r="BH322" s="35" t="str">
        <f t="shared" si="789"/>
        <v>High</v>
      </c>
      <c r="BI322" s="110">
        <f t="shared" si="790"/>
        <v>0</v>
      </c>
      <c r="BJ322" s="83">
        <f>VLOOKUP($F322,REP_Info!$D$6:$H$250,5,FALSE)</f>
        <v>1.806</v>
      </c>
      <c r="BK322" s="30">
        <f t="shared" si="791"/>
        <v>22.9133</v>
      </c>
      <c r="BL322" s="30">
        <f t="shared" si="791"/>
        <v>9.9233000000000011</v>
      </c>
      <c r="BM322" s="30">
        <f t="shared" si="791"/>
        <v>15.928300000000002</v>
      </c>
      <c r="BN322" s="29">
        <f t="shared" si="791"/>
        <v>17.929966666666669</v>
      </c>
      <c r="BO322" s="85" t="str">
        <f t="shared" si="2"/>
        <v>$$$</v>
      </c>
      <c r="BP322" s="88" t="str">
        <f t="shared" si="792"/>
        <v>$$$</v>
      </c>
      <c r="BQ322" s="88" t="str">
        <f t="shared" si="4"/>
        <v>$$$</v>
      </c>
      <c r="BR322" s="88" t="str">
        <f t="shared" si="5"/>
        <v>$$$</v>
      </c>
      <c r="BS322" s="29" t="e">
        <f t="shared" si="793"/>
        <v>#N/A</v>
      </c>
      <c r="BT322" s="29" t="e">
        <f t="shared" si="793"/>
        <v>#N/A</v>
      </c>
      <c r="BU322" s="29" t="e">
        <f t="shared" si="793"/>
        <v>#N/A</v>
      </c>
      <c r="BV322" s="29" t="e">
        <f t="shared" si="793"/>
        <v>#N/A</v>
      </c>
      <c r="BW322" s="29" t="e">
        <f t="shared" si="793"/>
        <v>#N/A</v>
      </c>
      <c r="BX322" s="29" t="e">
        <f t="shared" si="793"/>
        <v>#N/A</v>
      </c>
      <c r="BY322" s="29" t="e">
        <f t="shared" si="793"/>
        <v>#N/A</v>
      </c>
      <c r="BZ322" s="29" t="e">
        <f t="shared" si="793"/>
        <v>#N/A</v>
      </c>
      <c r="CA322" s="29" t="e">
        <f t="shared" si="793"/>
        <v>#N/A</v>
      </c>
      <c r="CB322" s="29" t="e">
        <f t="shared" si="793"/>
        <v>#N/A</v>
      </c>
      <c r="CC322" s="29" t="e">
        <f t="shared" si="793"/>
        <v>#N/A</v>
      </c>
      <c r="CD322" s="29" t="e">
        <f t="shared" si="793"/>
        <v>#N/A</v>
      </c>
      <c r="CE322" s="6" t="str">
        <f t="shared" si="650"/>
        <v/>
      </c>
      <c r="CF322" s="27" t="e">
        <f>IF(AND(CI322,NOT(AD322)),LOOKUP(CF$5,{0,750,1500},H322:J322),"")</f>
        <v>#N/A</v>
      </c>
      <c r="CG322" s="6" t="str">
        <f t="shared" si="651"/>
        <v/>
      </c>
      <c r="CH322" t="e">
        <f t="shared" si="794"/>
        <v>#N/A</v>
      </c>
      <c r="CI322" t="e">
        <f t="shared" si="795"/>
        <v>#N/A</v>
      </c>
      <c r="CJ322" s="6" t="e">
        <f t="shared" si="11"/>
        <v>#N/A</v>
      </c>
      <c r="CK322" s="6">
        <f t="shared" si="12"/>
        <v>1</v>
      </c>
      <c r="CL322" s="6">
        <f t="shared" si="26"/>
        <v>1</v>
      </c>
      <c r="CM322" s="6">
        <f t="shared" si="13"/>
        <v>1</v>
      </c>
      <c r="CN322" s="6">
        <f t="shared" si="14"/>
        <v>1</v>
      </c>
      <c r="CO322" s="6">
        <f t="shared" si="15"/>
        <v>1</v>
      </c>
      <c r="CP322" s="6">
        <f t="shared" si="16"/>
        <v>1</v>
      </c>
      <c r="CQ322" s="6">
        <f t="shared" si="796"/>
        <v>1</v>
      </c>
      <c r="CR322" s="81" t="str">
        <f t="shared" si="17"/>
        <v/>
      </c>
      <c r="CS322">
        <f t="shared" si="797"/>
        <v>0</v>
      </c>
      <c r="CT322">
        <f t="shared" si="766"/>
        <v>175</v>
      </c>
      <c r="CU322" t="str">
        <f t="shared" si="29"/>
        <v/>
      </c>
      <c r="CV322" s="81">
        <f t="shared" si="798"/>
        <v>175</v>
      </c>
      <c r="CW322" s="81">
        <f>(CV322/25)^1.5*(Calculator!$BU$4/10000)*CW$5</f>
        <v>9.6315719067890644</v>
      </c>
      <c r="CX322" t="str">
        <f t="shared" si="799"/>
        <v>$175</v>
      </c>
    </row>
    <row r="323" spans="2:102" x14ac:dyDescent="0.25">
      <c r="B323" s="115" t="s">
        <v>233</v>
      </c>
      <c r="C323" s="13">
        <v>46302.234722222223</v>
      </c>
      <c r="D323">
        <v>24348</v>
      </c>
      <c r="E323" s="54" t="s">
        <v>237</v>
      </c>
      <c r="F323" s="54" t="s">
        <v>592</v>
      </c>
      <c r="G323" s="54" t="s">
        <v>319</v>
      </c>
      <c r="H323" s="55">
        <v>15.9</v>
      </c>
      <c r="I323" s="55">
        <v>15.5</v>
      </c>
      <c r="J323" s="55">
        <v>15.299999999999999</v>
      </c>
      <c r="K323" s="54"/>
      <c r="L323" s="56" t="b">
        <v>0</v>
      </c>
      <c r="M323" s="56" t="b">
        <v>0</v>
      </c>
      <c r="N323" s="54">
        <v>1</v>
      </c>
      <c r="O323" s="54" t="s">
        <v>228</v>
      </c>
      <c r="P323" s="54">
        <v>22</v>
      </c>
      <c r="Q323" s="54">
        <v>36</v>
      </c>
      <c r="R323" s="54">
        <v>175</v>
      </c>
      <c r="S323" s="54" t="s">
        <v>593</v>
      </c>
      <c r="T323" s="54" t="s">
        <v>606</v>
      </c>
      <c r="U323" s="54" t="s">
        <v>607</v>
      </c>
      <c r="V323" s="54" t="s">
        <v>595</v>
      </c>
      <c r="W323" s="54" t="b">
        <v>0</v>
      </c>
      <c r="X323" s="54"/>
      <c r="Y323" s="57" t="s">
        <v>608</v>
      </c>
      <c r="Z323" s="54" t="s">
        <v>609</v>
      </c>
      <c r="AA323" s="54"/>
      <c r="AB323" s="54" t="s">
        <v>597</v>
      </c>
      <c r="AC323" s="56" t="b">
        <v>1</v>
      </c>
      <c r="AD323" s="56" t="b">
        <v>0</v>
      </c>
      <c r="AE323" s="54" t="s">
        <v>302</v>
      </c>
      <c r="AF323" s="58">
        <v>46302</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8.2000000000000003E-2</v>
      </c>
      <c r="BC323" s="60">
        <v>4.0599999999999996</v>
      </c>
      <c r="BD323" s="61">
        <v>6.8672999999999998E-2</v>
      </c>
      <c r="BE323" s="62" t="s">
        <v>293</v>
      </c>
      <c r="BF323" s="35">
        <f t="shared" si="0"/>
        <v>4.0600000000000005</v>
      </c>
      <c r="BG323" s="35">
        <f t="shared" si="0"/>
        <v>6.8672999999999998E-2</v>
      </c>
      <c r="BH323" s="35" t="str">
        <f t="shared" si="789"/>
        <v>Low</v>
      </c>
      <c r="BI323" s="110">
        <f t="shared" si="790"/>
        <v>0</v>
      </c>
      <c r="BJ323" s="83">
        <f>VLOOKUP($F323,REP_Info!$D$6:$H$250,5,FALSE)</f>
        <v>1.806</v>
      </c>
      <c r="BK323" s="30">
        <f t="shared" si="791"/>
        <v>15.879300000000001</v>
      </c>
      <c r="BL323" s="30">
        <f t="shared" si="791"/>
        <v>15.473300000000002</v>
      </c>
      <c r="BM323" s="30">
        <f t="shared" si="791"/>
        <v>15.270300000000001</v>
      </c>
      <c r="BN323" s="29">
        <f t="shared" si="791"/>
        <v>15.202633333333333</v>
      </c>
      <c r="BO323" s="85" t="str">
        <f t="shared" si="2"/>
        <v>$$$</v>
      </c>
      <c r="BP323" s="88" t="str">
        <f t="shared" si="792"/>
        <v>$$$</v>
      </c>
      <c r="BQ323" s="88" t="str">
        <f t="shared" si="4"/>
        <v>$$$</v>
      </c>
      <c r="BR323" s="88" t="str">
        <f t="shared" si="5"/>
        <v>$$$</v>
      </c>
      <c r="BS323" s="29" t="e">
        <f t="shared" si="793"/>
        <v>#N/A</v>
      </c>
      <c r="BT323" s="29" t="e">
        <f t="shared" si="793"/>
        <v>#N/A</v>
      </c>
      <c r="BU323" s="29" t="e">
        <f t="shared" si="793"/>
        <v>#N/A</v>
      </c>
      <c r="BV323" s="29" t="e">
        <f t="shared" si="793"/>
        <v>#N/A</v>
      </c>
      <c r="BW323" s="29" t="e">
        <f t="shared" si="793"/>
        <v>#N/A</v>
      </c>
      <c r="BX323" s="29" t="e">
        <f t="shared" si="793"/>
        <v>#N/A</v>
      </c>
      <c r="BY323" s="29" t="e">
        <f t="shared" si="793"/>
        <v>#N/A</v>
      </c>
      <c r="BZ323" s="29" t="e">
        <f t="shared" si="793"/>
        <v>#N/A</v>
      </c>
      <c r="CA323" s="29" t="e">
        <f t="shared" si="793"/>
        <v>#N/A</v>
      </c>
      <c r="CB323" s="29" t="e">
        <f t="shared" si="793"/>
        <v>#N/A</v>
      </c>
      <c r="CC323" s="29" t="e">
        <f t="shared" si="793"/>
        <v>#N/A</v>
      </c>
      <c r="CD323" s="29" t="e">
        <f t="shared" si="793"/>
        <v>#N/A</v>
      </c>
      <c r="CE323" s="6" t="str">
        <f t="shared" si="650"/>
        <v/>
      </c>
      <c r="CF323" s="27" t="e">
        <f>IF(AND(CI323,NOT(AD323)),LOOKUP(CF$5,{0,750,1500},H323:J323),"")</f>
        <v>#N/A</v>
      </c>
      <c r="CG323" s="6" t="str">
        <f t="shared" si="651"/>
        <v/>
      </c>
      <c r="CH323" t="e">
        <f t="shared" si="794"/>
        <v>#N/A</v>
      </c>
      <c r="CI323" t="e">
        <f t="shared" si="795"/>
        <v>#N/A</v>
      </c>
      <c r="CJ323" s="6" t="e">
        <f t="shared" si="11"/>
        <v>#N/A</v>
      </c>
      <c r="CK323" s="6">
        <f t="shared" si="12"/>
        <v>1</v>
      </c>
      <c r="CL323" s="6">
        <f t="shared" si="26"/>
        <v>1</v>
      </c>
      <c r="CM323" s="6">
        <f t="shared" si="13"/>
        <v>1</v>
      </c>
      <c r="CN323" s="6">
        <f t="shared" si="14"/>
        <v>1</v>
      </c>
      <c r="CO323" s="6">
        <f t="shared" si="15"/>
        <v>0</v>
      </c>
      <c r="CP323" s="6">
        <f t="shared" si="16"/>
        <v>1</v>
      </c>
      <c r="CQ323" s="6">
        <f t="shared" si="796"/>
        <v>1</v>
      </c>
      <c r="CR323" s="81" t="str">
        <f t="shared" si="17"/>
        <v/>
      </c>
      <c r="CS323">
        <f t="shared" si="797"/>
        <v>0</v>
      </c>
      <c r="CT323">
        <f t="shared" si="766"/>
        <v>175</v>
      </c>
      <c r="CU323" t="str">
        <f t="shared" si="29"/>
        <v/>
      </c>
      <c r="CV323" s="81">
        <f t="shared" si="798"/>
        <v>175</v>
      </c>
      <c r="CW323" s="81">
        <f>(CV323/25)^1.5*(Calculator!$BU$4/10000)*CW$5</f>
        <v>9.6315719067890644</v>
      </c>
      <c r="CX323" t="str">
        <f t="shared" si="799"/>
        <v>$175</v>
      </c>
    </row>
    <row r="324" spans="2:102" x14ac:dyDescent="0.25">
      <c r="B324" s="115" t="s">
        <v>233</v>
      </c>
      <c r="C324" s="13">
        <v>46266.661111111112</v>
      </c>
      <c r="D324">
        <v>27803</v>
      </c>
      <c r="E324" s="54" t="s">
        <v>235</v>
      </c>
      <c r="F324" s="54" t="s">
        <v>592</v>
      </c>
      <c r="G324" s="54" t="s">
        <v>319</v>
      </c>
      <c r="H324" s="55">
        <v>16</v>
      </c>
      <c r="I324" s="55">
        <v>15.5</v>
      </c>
      <c r="J324" s="55">
        <v>15.299999999999999</v>
      </c>
      <c r="K324" s="54"/>
      <c r="L324" s="56" t="b">
        <v>0</v>
      </c>
      <c r="M324" s="56" t="b">
        <v>0</v>
      </c>
      <c r="N324" s="54">
        <v>1</v>
      </c>
      <c r="O324" s="54" t="s">
        <v>228</v>
      </c>
      <c r="P324" s="54">
        <v>22</v>
      </c>
      <c r="Q324" s="54">
        <v>36</v>
      </c>
      <c r="R324" s="54">
        <v>175</v>
      </c>
      <c r="S324" s="54" t="s">
        <v>593</v>
      </c>
      <c r="T324" s="54" t="s">
        <v>606</v>
      </c>
      <c r="U324" s="54" t="s">
        <v>610</v>
      </c>
      <c r="V324" s="54" t="s">
        <v>595</v>
      </c>
      <c r="W324" s="54" t="b">
        <v>0</v>
      </c>
      <c r="X324" s="54"/>
      <c r="Y324" s="57" t="s">
        <v>611</v>
      </c>
      <c r="Z324" s="54" t="s">
        <v>609</v>
      </c>
      <c r="AA324" s="54"/>
      <c r="AB324" s="54" t="s">
        <v>597</v>
      </c>
      <c r="AC324" s="56" t="b">
        <v>1</v>
      </c>
      <c r="AD324" s="56" t="b">
        <v>0</v>
      </c>
      <c r="AE324" s="54" t="s">
        <v>302</v>
      </c>
      <c r="AF324" s="58">
        <v>46266</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8.5999999999999993E-2</v>
      </c>
      <c r="BC324" s="60">
        <v>4.9000000000000004</v>
      </c>
      <c r="BD324" s="61">
        <v>6.4130000000000006E-2</v>
      </c>
      <c r="BE324" s="62" t="s">
        <v>293</v>
      </c>
      <c r="BF324" s="35">
        <f t="shared" si="0"/>
        <v>4.9000000000000004</v>
      </c>
      <c r="BG324" s="35">
        <f t="shared" si="0"/>
        <v>6.5333000000000002E-2</v>
      </c>
      <c r="BH324" s="35" t="str">
        <f t="shared" si="789"/>
        <v>Low</v>
      </c>
      <c r="BI324" s="110">
        <f t="shared" si="790"/>
        <v>0</v>
      </c>
      <c r="BJ324" s="83">
        <f>VLOOKUP($F324,REP_Info!$D$6:$H$250,5,FALSE)</f>
        <v>1.806</v>
      </c>
      <c r="BK324" s="30">
        <f t="shared" si="791"/>
        <v>16.113299999999999</v>
      </c>
      <c r="BL324" s="30">
        <f t="shared" si="791"/>
        <v>15.6233</v>
      </c>
      <c r="BM324" s="30">
        <f t="shared" si="791"/>
        <v>15.378300000000001</v>
      </c>
      <c r="BN324" s="29">
        <f t="shared" si="791"/>
        <v>15.296633333333334</v>
      </c>
      <c r="BO324" s="85" t="str">
        <f t="shared" si="2"/>
        <v>$$$</v>
      </c>
      <c r="BP324" s="88" t="str">
        <f t="shared" si="792"/>
        <v>$$$</v>
      </c>
      <c r="BQ324" s="88" t="str">
        <f t="shared" si="4"/>
        <v>$$$</v>
      </c>
      <c r="BR324" s="88" t="str">
        <f t="shared" si="5"/>
        <v>$$$</v>
      </c>
      <c r="BS324" s="29" t="e">
        <f t="shared" si="793"/>
        <v>#N/A</v>
      </c>
      <c r="BT324" s="29" t="e">
        <f t="shared" si="793"/>
        <v>#N/A</v>
      </c>
      <c r="BU324" s="29" t="e">
        <f t="shared" si="793"/>
        <v>#N/A</v>
      </c>
      <c r="BV324" s="29" t="e">
        <f t="shared" si="793"/>
        <v>#N/A</v>
      </c>
      <c r="BW324" s="29" t="e">
        <f t="shared" si="793"/>
        <v>#N/A</v>
      </c>
      <c r="BX324" s="29" t="e">
        <f t="shared" si="793"/>
        <v>#N/A</v>
      </c>
      <c r="BY324" s="29" t="e">
        <f t="shared" si="793"/>
        <v>#N/A</v>
      </c>
      <c r="BZ324" s="29" t="e">
        <f t="shared" si="793"/>
        <v>#N/A</v>
      </c>
      <c r="CA324" s="29" t="e">
        <f t="shared" si="793"/>
        <v>#N/A</v>
      </c>
      <c r="CB324" s="29" t="e">
        <f t="shared" si="793"/>
        <v>#N/A</v>
      </c>
      <c r="CC324" s="29" t="e">
        <f t="shared" si="793"/>
        <v>#N/A</v>
      </c>
      <c r="CD324" s="29" t="e">
        <f t="shared" si="793"/>
        <v>#N/A</v>
      </c>
      <c r="CE324" s="6" t="str">
        <f t="shared" si="650"/>
        <v/>
      </c>
      <c r="CF324" s="27" t="e">
        <f>IF(AND(CI324,NOT(AD324)),LOOKUP(CF$5,{0,750,1500},H324:J324),"")</f>
        <v>#N/A</v>
      </c>
      <c r="CG324" s="6" t="str">
        <f t="shared" si="651"/>
        <v/>
      </c>
      <c r="CH324" t="e">
        <f t="shared" si="794"/>
        <v>#N/A</v>
      </c>
      <c r="CI324" t="e">
        <f t="shared" si="795"/>
        <v>#N/A</v>
      </c>
      <c r="CJ324" s="6" t="e">
        <f t="shared" si="11"/>
        <v>#N/A</v>
      </c>
      <c r="CK324" s="6">
        <f t="shared" si="12"/>
        <v>1</v>
      </c>
      <c r="CL324" s="6">
        <f t="shared" si="26"/>
        <v>1</v>
      </c>
      <c r="CM324" s="6">
        <f t="shared" si="13"/>
        <v>1</v>
      </c>
      <c r="CN324" s="6">
        <f t="shared" si="14"/>
        <v>1</v>
      </c>
      <c r="CO324" s="6">
        <f t="shared" si="15"/>
        <v>0</v>
      </c>
      <c r="CP324" s="6">
        <f t="shared" si="16"/>
        <v>1</v>
      </c>
      <c r="CQ324" s="6">
        <f t="shared" si="796"/>
        <v>1</v>
      </c>
      <c r="CR324" s="81" t="str">
        <f t="shared" si="17"/>
        <v/>
      </c>
      <c r="CS324">
        <f t="shared" si="797"/>
        <v>0</v>
      </c>
      <c r="CT324">
        <f t="shared" si="766"/>
        <v>175</v>
      </c>
      <c r="CU324" t="str">
        <f t="shared" si="29"/>
        <v/>
      </c>
      <c r="CV324" s="81">
        <f t="shared" si="798"/>
        <v>175</v>
      </c>
      <c r="CW324" s="81">
        <f>(CV324/25)^1.5*(Calculator!$BU$4/10000)*CW$5</f>
        <v>9.6315719067890644</v>
      </c>
      <c r="CX324" t="str">
        <f t="shared" si="799"/>
        <v>$175</v>
      </c>
    </row>
    <row r="325" spans="2:102" x14ac:dyDescent="0.25">
      <c r="B325" s="115" t="s">
        <v>233</v>
      </c>
      <c r="C325" s="13">
        <v>46302.234722222223</v>
      </c>
      <c r="D325">
        <v>31977</v>
      </c>
      <c r="E325" s="54" t="s">
        <v>237</v>
      </c>
      <c r="F325" s="54" t="s">
        <v>592</v>
      </c>
      <c r="G325" s="54" t="s">
        <v>326</v>
      </c>
      <c r="H325" s="55">
        <v>15.9</v>
      </c>
      <c r="I325" s="55">
        <v>15.5</v>
      </c>
      <c r="J325" s="55">
        <v>15.299999999999999</v>
      </c>
      <c r="K325" s="54"/>
      <c r="L325" s="56" t="b">
        <v>0</v>
      </c>
      <c r="M325" s="56" t="b">
        <v>0</v>
      </c>
      <c r="N325" s="54">
        <v>1</v>
      </c>
      <c r="O325" s="54" t="s">
        <v>228</v>
      </c>
      <c r="P325" s="54">
        <v>22</v>
      </c>
      <c r="Q325" s="54">
        <v>24</v>
      </c>
      <c r="R325" s="54">
        <v>175</v>
      </c>
      <c r="S325" s="54" t="s">
        <v>593</v>
      </c>
      <c r="T325" s="54" t="s">
        <v>606</v>
      </c>
      <c r="U325" s="54" t="s">
        <v>612</v>
      </c>
      <c r="V325" s="54" t="s">
        <v>595</v>
      </c>
      <c r="W325" s="54" t="b">
        <v>0</v>
      </c>
      <c r="X325" s="54"/>
      <c r="Y325" s="57" t="s">
        <v>613</v>
      </c>
      <c r="Z325" s="54" t="s">
        <v>609</v>
      </c>
      <c r="AA325" s="54"/>
      <c r="AB325" s="54" t="s">
        <v>597</v>
      </c>
      <c r="AC325" s="56" t="b">
        <v>1</v>
      </c>
      <c r="AD325" s="56" t="b">
        <v>0</v>
      </c>
      <c r="AE325" s="54" t="s">
        <v>302</v>
      </c>
      <c r="AF325" s="58">
        <v>46302</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8.2000000000000003E-2</v>
      </c>
      <c r="BC325" s="60">
        <v>4.0599999999999996</v>
      </c>
      <c r="BD325" s="61">
        <v>6.8672999999999998E-2</v>
      </c>
      <c r="BE325" s="62" t="s">
        <v>293</v>
      </c>
      <c r="BF325" s="35">
        <f t="shared" si="0"/>
        <v>4.0600000000000005</v>
      </c>
      <c r="BG325" s="35">
        <f t="shared" si="0"/>
        <v>6.8672999999999998E-2</v>
      </c>
      <c r="BH325" s="35" t="str">
        <f t="shared" si="789"/>
        <v>Low</v>
      </c>
      <c r="BI325" s="110">
        <f t="shared" si="790"/>
        <v>0</v>
      </c>
      <c r="BJ325" s="83">
        <f>VLOOKUP($F325,REP_Info!$D$6:$H$250,5,FALSE)</f>
        <v>1.806</v>
      </c>
      <c r="BK325" s="30">
        <f t="shared" si="791"/>
        <v>15.879300000000001</v>
      </c>
      <c r="BL325" s="30">
        <f t="shared" si="791"/>
        <v>15.473300000000002</v>
      </c>
      <c r="BM325" s="30">
        <f t="shared" si="791"/>
        <v>15.270300000000001</v>
      </c>
      <c r="BN325" s="29">
        <f t="shared" si="791"/>
        <v>15.202633333333333</v>
      </c>
      <c r="BO325" s="85" t="str">
        <f t="shared" si="2"/>
        <v>$$$</v>
      </c>
      <c r="BP325" s="88" t="str">
        <f t="shared" si="792"/>
        <v>$$$</v>
      </c>
      <c r="BQ325" s="88" t="str">
        <f t="shared" si="4"/>
        <v>$$$</v>
      </c>
      <c r="BR325" s="88" t="str">
        <f t="shared" si="5"/>
        <v>$$$</v>
      </c>
      <c r="BS325" s="29" t="e">
        <f t="shared" si="793"/>
        <v>#N/A</v>
      </c>
      <c r="BT325" s="29" t="e">
        <f t="shared" si="793"/>
        <v>#N/A</v>
      </c>
      <c r="BU325" s="29" t="e">
        <f t="shared" si="793"/>
        <v>#N/A</v>
      </c>
      <c r="BV325" s="29" t="e">
        <f t="shared" si="793"/>
        <v>#N/A</v>
      </c>
      <c r="BW325" s="29" t="e">
        <f t="shared" si="793"/>
        <v>#N/A</v>
      </c>
      <c r="BX325" s="29" t="e">
        <f t="shared" si="793"/>
        <v>#N/A</v>
      </c>
      <c r="BY325" s="29" t="e">
        <f t="shared" si="793"/>
        <v>#N/A</v>
      </c>
      <c r="BZ325" s="29" t="e">
        <f t="shared" si="793"/>
        <v>#N/A</v>
      </c>
      <c r="CA325" s="29" t="e">
        <f t="shared" si="793"/>
        <v>#N/A</v>
      </c>
      <c r="CB325" s="29" t="e">
        <f t="shared" si="793"/>
        <v>#N/A</v>
      </c>
      <c r="CC325" s="29" t="e">
        <f t="shared" si="793"/>
        <v>#N/A</v>
      </c>
      <c r="CD325" s="29" t="e">
        <f t="shared" si="793"/>
        <v>#N/A</v>
      </c>
      <c r="CE325" s="6" t="str">
        <f t="shared" si="650"/>
        <v/>
      </c>
      <c r="CF325" s="27" t="e">
        <f>IF(AND(CI325,NOT(AD325)),LOOKUP(CF$5,{0,750,1500},H325:J325),"")</f>
        <v>#N/A</v>
      </c>
      <c r="CG325" s="6" t="str">
        <f t="shared" si="651"/>
        <v/>
      </c>
      <c r="CH325" t="e">
        <f t="shared" si="794"/>
        <v>#N/A</v>
      </c>
      <c r="CI325" t="e">
        <f t="shared" si="795"/>
        <v>#N/A</v>
      </c>
      <c r="CJ325" s="6" t="e">
        <f t="shared" si="11"/>
        <v>#N/A</v>
      </c>
      <c r="CK325" s="6">
        <f t="shared" si="12"/>
        <v>1</v>
      </c>
      <c r="CL325" s="6">
        <f t="shared" si="26"/>
        <v>1</v>
      </c>
      <c r="CM325" s="6">
        <f t="shared" si="13"/>
        <v>1</v>
      </c>
      <c r="CN325" s="6">
        <f t="shared" si="14"/>
        <v>1</v>
      </c>
      <c r="CO325" s="6">
        <f t="shared" si="15"/>
        <v>0</v>
      </c>
      <c r="CP325" s="6">
        <f t="shared" si="16"/>
        <v>1</v>
      </c>
      <c r="CQ325" s="6">
        <f t="shared" si="796"/>
        <v>1</v>
      </c>
      <c r="CR325" s="81" t="str">
        <f t="shared" si="17"/>
        <v/>
      </c>
      <c r="CS325">
        <f t="shared" si="797"/>
        <v>0</v>
      </c>
      <c r="CT325">
        <f t="shared" si="766"/>
        <v>175</v>
      </c>
      <c r="CU325" t="str">
        <f t="shared" si="29"/>
        <v/>
      </c>
      <c r="CV325" s="81">
        <f t="shared" si="798"/>
        <v>175</v>
      </c>
      <c r="CW325" s="81">
        <f>(CV325/25)^1.5*(Calculator!$BU$4/10000)*CW$5</f>
        <v>9.6315719067890644</v>
      </c>
      <c r="CX325" t="str">
        <f t="shared" si="799"/>
        <v>$175</v>
      </c>
    </row>
    <row r="326" spans="2:102" x14ac:dyDescent="0.25">
      <c r="B326" s="115" t="s">
        <v>233</v>
      </c>
      <c r="C326" s="13">
        <v>46266.661111111112</v>
      </c>
      <c r="D326">
        <v>31979</v>
      </c>
      <c r="E326" s="54" t="s">
        <v>235</v>
      </c>
      <c r="F326" s="54" t="s">
        <v>592</v>
      </c>
      <c r="G326" s="54" t="s">
        <v>326</v>
      </c>
      <c r="H326" s="55">
        <v>16</v>
      </c>
      <c r="I326" s="55">
        <v>15.5</v>
      </c>
      <c r="J326" s="55">
        <v>15.299999999999999</v>
      </c>
      <c r="K326" s="54"/>
      <c r="L326" s="56" t="b">
        <v>0</v>
      </c>
      <c r="M326" s="56" t="b">
        <v>0</v>
      </c>
      <c r="N326" s="54">
        <v>1</v>
      </c>
      <c r="O326" s="54" t="s">
        <v>228</v>
      </c>
      <c r="P326" s="54">
        <v>22</v>
      </c>
      <c r="Q326" s="54">
        <v>24</v>
      </c>
      <c r="R326" s="54">
        <v>175</v>
      </c>
      <c r="S326" s="54" t="s">
        <v>593</v>
      </c>
      <c r="T326" s="54" t="s">
        <v>606</v>
      </c>
      <c r="U326" s="54" t="s">
        <v>614</v>
      </c>
      <c r="V326" s="54" t="s">
        <v>595</v>
      </c>
      <c r="W326" s="54" t="b">
        <v>0</v>
      </c>
      <c r="X326" s="54"/>
      <c r="Y326" s="57" t="s">
        <v>615</v>
      </c>
      <c r="Z326" s="54" t="s">
        <v>609</v>
      </c>
      <c r="AA326" s="54"/>
      <c r="AB326" s="54" t="s">
        <v>597</v>
      </c>
      <c r="AC326" s="56" t="b">
        <v>1</v>
      </c>
      <c r="AD326" s="56" t="b">
        <v>0</v>
      </c>
      <c r="AE326" s="54" t="s">
        <v>302</v>
      </c>
      <c r="AF326" s="58">
        <v>46266</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8.5999999999999993E-2</v>
      </c>
      <c r="BC326" s="60">
        <v>4.9000000000000004</v>
      </c>
      <c r="BD326" s="61">
        <v>6.4130000000000006E-2</v>
      </c>
      <c r="BE326" s="62" t="s">
        <v>293</v>
      </c>
      <c r="BF326" s="35">
        <f t="shared" si="0"/>
        <v>4.9000000000000004</v>
      </c>
      <c r="BG326" s="35">
        <f t="shared" si="0"/>
        <v>6.5333000000000002E-2</v>
      </c>
      <c r="BH326" s="35" t="str">
        <f t="shared" si="789"/>
        <v>Low</v>
      </c>
      <c r="BI326" s="110">
        <f t="shared" si="790"/>
        <v>0</v>
      </c>
      <c r="BJ326" s="83">
        <f>VLOOKUP($F326,REP_Info!$D$6:$H$250,5,FALSE)</f>
        <v>1.806</v>
      </c>
      <c r="BK326" s="30">
        <f t="shared" si="791"/>
        <v>16.113299999999999</v>
      </c>
      <c r="BL326" s="30">
        <f t="shared" si="791"/>
        <v>15.6233</v>
      </c>
      <c r="BM326" s="30">
        <f t="shared" si="791"/>
        <v>15.378300000000001</v>
      </c>
      <c r="BN326" s="29">
        <f t="shared" si="791"/>
        <v>15.296633333333334</v>
      </c>
      <c r="BO326" s="85" t="str">
        <f t="shared" si="2"/>
        <v>$$$</v>
      </c>
      <c r="BP326" s="88" t="str">
        <f t="shared" si="792"/>
        <v>$$$</v>
      </c>
      <c r="BQ326" s="88" t="str">
        <f t="shared" si="4"/>
        <v>$$$</v>
      </c>
      <c r="BR326" s="88" t="str">
        <f t="shared" si="5"/>
        <v>$$$</v>
      </c>
      <c r="BS326" s="29" t="e">
        <f t="shared" si="793"/>
        <v>#N/A</v>
      </c>
      <c r="BT326" s="29" t="e">
        <f t="shared" si="793"/>
        <v>#N/A</v>
      </c>
      <c r="BU326" s="29" t="e">
        <f t="shared" si="793"/>
        <v>#N/A</v>
      </c>
      <c r="BV326" s="29" t="e">
        <f t="shared" si="793"/>
        <v>#N/A</v>
      </c>
      <c r="BW326" s="29" t="e">
        <f t="shared" si="793"/>
        <v>#N/A</v>
      </c>
      <c r="BX326" s="29" t="e">
        <f t="shared" si="793"/>
        <v>#N/A</v>
      </c>
      <c r="BY326" s="29" t="e">
        <f t="shared" si="793"/>
        <v>#N/A</v>
      </c>
      <c r="BZ326" s="29" t="e">
        <f t="shared" si="793"/>
        <v>#N/A</v>
      </c>
      <c r="CA326" s="29" t="e">
        <f t="shared" si="793"/>
        <v>#N/A</v>
      </c>
      <c r="CB326" s="29" t="e">
        <f t="shared" si="793"/>
        <v>#N/A</v>
      </c>
      <c r="CC326" s="29" t="e">
        <f t="shared" si="793"/>
        <v>#N/A</v>
      </c>
      <c r="CD326" s="29" t="e">
        <f t="shared" si="793"/>
        <v>#N/A</v>
      </c>
      <c r="CE326" s="6" t="str">
        <f t="shared" si="650"/>
        <v/>
      </c>
      <c r="CF326" s="27" t="e">
        <f>IF(AND(CI326,NOT(AD326)),LOOKUP(CF$5,{0,750,1500},H326:J326),"")</f>
        <v>#N/A</v>
      </c>
      <c r="CG326" s="6" t="str">
        <f t="shared" si="651"/>
        <v/>
      </c>
      <c r="CH326" t="e">
        <f t="shared" si="794"/>
        <v>#N/A</v>
      </c>
      <c r="CI326" t="e">
        <f t="shared" si="795"/>
        <v>#N/A</v>
      </c>
      <c r="CJ326" s="6" t="e">
        <f t="shared" si="11"/>
        <v>#N/A</v>
      </c>
      <c r="CK326" s="6">
        <f t="shared" si="12"/>
        <v>1</v>
      </c>
      <c r="CL326" s="6">
        <f t="shared" si="26"/>
        <v>1</v>
      </c>
      <c r="CM326" s="6">
        <f t="shared" si="13"/>
        <v>1</v>
      </c>
      <c r="CN326" s="6">
        <f t="shared" si="14"/>
        <v>1</v>
      </c>
      <c r="CO326" s="6">
        <f t="shared" si="15"/>
        <v>0</v>
      </c>
      <c r="CP326" s="6">
        <f t="shared" si="16"/>
        <v>1</v>
      </c>
      <c r="CQ326" s="6">
        <f t="shared" si="796"/>
        <v>1</v>
      </c>
      <c r="CR326" s="81" t="str">
        <f t="shared" si="17"/>
        <v/>
      </c>
      <c r="CS326">
        <f t="shared" si="797"/>
        <v>0</v>
      </c>
      <c r="CT326">
        <f t="shared" si="766"/>
        <v>175</v>
      </c>
      <c r="CU326" t="str">
        <f t="shared" si="29"/>
        <v/>
      </c>
      <c r="CV326" s="81">
        <f t="shared" si="798"/>
        <v>175</v>
      </c>
      <c r="CW326" s="81">
        <f>(CV326/25)^1.5*(Calculator!$BU$4/10000)*CW$5</f>
        <v>9.6315719067890644</v>
      </c>
      <c r="CX326" t="str">
        <f t="shared" si="799"/>
        <v>$175</v>
      </c>
    </row>
    <row r="327" spans="2:102" x14ac:dyDescent="0.25">
      <c r="B327" s="115" t="s">
        <v>233</v>
      </c>
      <c r="C327" s="13">
        <v>46304.647222222222</v>
      </c>
      <c r="D327">
        <v>35956</v>
      </c>
      <c r="E327" s="54" t="s">
        <v>235</v>
      </c>
      <c r="F327" s="54" t="s">
        <v>616</v>
      </c>
      <c r="G327" s="54" t="s">
        <v>1763</v>
      </c>
      <c r="H327" s="55">
        <v>13.5</v>
      </c>
      <c r="I327" s="55">
        <v>13</v>
      </c>
      <c r="J327" s="55">
        <v>12.7</v>
      </c>
      <c r="K327" s="54"/>
      <c r="L327" s="56" t="b">
        <v>0</v>
      </c>
      <c r="M327" s="56" t="b">
        <v>0</v>
      </c>
      <c r="N327" s="54">
        <v>1</v>
      </c>
      <c r="O327" s="54" t="s">
        <v>228</v>
      </c>
      <c r="P327" s="54">
        <v>37</v>
      </c>
      <c r="Q327" s="54">
        <v>12</v>
      </c>
      <c r="R327" s="54">
        <v>100</v>
      </c>
      <c r="S327" s="54" t="s">
        <v>1764</v>
      </c>
      <c r="T327" s="54"/>
      <c r="U327" s="54" t="s">
        <v>1745</v>
      </c>
      <c r="V327" s="54" t="s">
        <v>1765</v>
      </c>
      <c r="W327" s="54" t="b">
        <v>0</v>
      </c>
      <c r="X327" s="54"/>
      <c r="Y327" s="57" t="s">
        <v>1766</v>
      </c>
      <c r="Z327" s="54" t="s">
        <v>1767</v>
      </c>
      <c r="AA327" s="54"/>
      <c r="AB327" s="54" t="s">
        <v>1768</v>
      </c>
      <c r="AC327" s="56" t="b">
        <v>1</v>
      </c>
      <c r="AD327" s="56" t="b">
        <v>0</v>
      </c>
      <c r="AE327" s="54" t="s">
        <v>302</v>
      </c>
      <c r="AF327" s="58">
        <v>46304</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6.0900000000000003E-2</v>
      </c>
      <c r="BC327" s="60">
        <v>4.9000000000000004</v>
      </c>
      <c r="BD327" s="61">
        <v>6.4130000000000006E-2</v>
      </c>
      <c r="BE327" s="62" t="s">
        <v>293</v>
      </c>
      <c r="BF327" s="35">
        <f t="shared" si="0"/>
        <v>4.9000000000000004</v>
      </c>
      <c r="BG327" s="35">
        <f t="shared" si="0"/>
        <v>6.5333000000000002E-2</v>
      </c>
      <c r="BH327" s="35" t="str">
        <f t="shared" si="789"/>
        <v>Low</v>
      </c>
      <c r="BI327" s="110">
        <f t="shared" si="790"/>
        <v>0</v>
      </c>
      <c r="BJ327" s="83" t="str">
        <f>VLOOKUP($F327,REP_Info!$D$6:$H$250,5,FALSE)</f>
        <v/>
      </c>
      <c r="BK327" s="30">
        <f t="shared" si="791"/>
        <v>13.603300000000001</v>
      </c>
      <c r="BL327" s="30">
        <f t="shared" si="791"/>
        <v>13.113300000000001</v>
      </c>
      <c r="BM327" s="30">
        <f t="shared" si="791"/>
        <v>12.8683</v>
      </c>
      <c r="BN327" s="29">
        <f t="shared" si="791"/>
        <v>12.786633333333334</v>
      </c>
      <c r="BO327" s="85" t="str">
        <f t="shared" si="2"/>
        <v>$$$</v>
      </c>
      <c r="BP327" s="88" t="str">
        <f t="shared" si="792"/>
        <v>$$$</v>
      </c>
      <c r="BQ327" s="88" t="str">
        <f t="shared" si="4"/>
        <v>$$$</v>
      </c>
      <c r="BR327" s="88" t="str">
        <f t="shared" si="5"/>
        <v>$$$</v>
      </c>
      <c r="BS327" s="29" t="e">
        <f t="shared" si="793"/>
        <v>#N/A</v>
      </c>
      <c r="BT327" s="29" t="e">
        <f t="shared" si="793"/>
        <v>#N/A</v>
      </c>
      <c r="BU327" s="29" t="e">
        <f t="shared" si="793"/>
        <v>#N/A</v>
      </c>
      <c r="BV327" s="29" t="e">
        <f t="shared" si="793"/>
        <v>#N/A</v>
      </c>
      <c r="BW327" s="29" t="e">
        <f t="shared" si="793"/>
        <v>#N/A</v>
      </c>
      <c r="BX327" s="29" t="e">
        <f t="shared" si="793"/>
        <v>#N/A</v>
      </c>
      <c r="BY327" s="29" t="e">
        <f t="shared" si="793"/>
        <v>#N/A</v>
      </c>
      <c r="BZ327" s="29" t="e">
        <f t="shared" si="793"/>
        <v>#N/A</v>
      </c>
      <c r="CA327" s="29" t="e">
        <f t="shared" si="793"/>
        <v>#N/A</v>
      </c>
      <c r="CB327" s="29" t="e">
        <f t="shared" si="793"/>
        <v>#N/A</v>
      </c>
      <c r="CC327" s="29" t="e">
        <f t="shared" si="793"/>
        <v>#N/A</v>
      </c>
      <c r="CD327" s="29" t="e">
        <f t="shared" si="793"/>
        <v>#N/A</v>
      </c>
      <c r="CE327" s="6" t="str">
        <f t="shared" si="650"/>
        <v/>
      </c>
      <c r="CF327" s="27" t="e">
        <f>IF(AND(CI327,NOT(AD327)),LOOKUP(CF$5,{0,750,1500},H327:J327),"")</f>
        <v>#N/A</v>
      </c>
      <c r="CG327" s="6" t="str">
        <f t="shared" si="651"/>
        <v/>
      </c>
      <c r="CH327" t="e">
        <f t="shared" si="794"/>
        <v>#N/A</v>
      </c>
      <c r="CI327" t="e">
        <f t="shared" si="795"/>
        <v>#N/A</v>
      </c>
      <c r="CJ327" s="6" t="e">
        <f t="shared" si="11"/>
        <v>#N/A</v>
      </c>
      <c r="CK327" s="6">
        <f t="shared" si="12"/>
        <v>1</v>
      </c>
      <c r="CL327" s="6">
        <f t="shared" si="26"/>
        <v>1</v>
      </c>
      <c r="CM327" s="6">
        <f t="shared" si="13"/>
        <v>1</v>
      </c>
      <c r="CN327" s="6">
        <f t="shared" si="14"/>
        <v>1</v>
      </c>
      <c r="CO327" s="6">
        <f t="shared" si="15"/>
        <v>1</v>
      </c>
      <c r="CP327" s="6">
        <f t="shared" si="16"/>
        <v>1</v>
      </c>
      <c r="CQ327" s="6">
        <f t="shared" si="796"/>
        <v>1</v>
      </c>
      <c r="CR327" s="81" t="str">
        <f t="shared" si="17"/>
        <v/>
      </c>
      <c r="CS327">
        <f t="shared" si="797"/>
        <v>0</v>
      </c>
      <c r="CT327">
        <f t="shared" si="766"/>
        <v>100</v>
      </c>
      <c r="CU327" t="str">
        <f t="shared" si="29"/>
        <v/>
      </c>
      <c r="CV327" s="81">
        <f t="shared" si="798"/>
        <v>100</v>
      </c>
      <c r="CW327" s="81">
        <f>(CV327/25)^1.5*(Calculator!$BU$4/10000)*CW$5</f>
        <v>4.1604480000000077</v>
      </c>
      <c r="CX327" t="str">
        <f t="shared" si="799"/>
        <v>$100</v>
      </c>
    </row>
    <row r="328" spans="2:102" x14ac:dyDescent="0.25">
      <c r="B328" s="115" t="s">
        <v>233</v>
      </c>
      <c r="C328" s="13">
        <v>46304.647222222222</v>
      </c>
      <c r="D328">
        <v>35960</v>
      </c>
      <c r="E328" s="54" t="s">
        <v>237</v>
      </c>
      <c r="F328" s="54" t="s">
        <v>616</v>
      </c>
      <c r="G328" s="54" t="s">
        <v>1763</v>
      </c>
      <c r="H328" s="55">
        <v>13.600000000000001</v>
      </c>
      <c r="I328" s="55">
        <v>13.200000000000001</v>
      </c>
      <c r="J328" s="55">
        <v>13</v>
      </c>
      <c r="K328" s="54"/>
      <c r="L328" s="56" t="b">
        <v>0</v>
      </c>
      <c r="M328" s="56" t="b">
        <v>0</v>
      </c>
      <c r="N328" s="54">
        <v>1</v>
      </c>
      <c r="O328" s="54" t="s">
        <v>228</v>
      </c>
      <c r="P328" s="54">
        <v>37</v>
      </c>
      <c r="Q328" s="54">
        <v>12</v>
      </c>
      <c r="R328" s="54">
        <v>100</v>
      </c>
      <c r="S328" s="54" t="s">
        <v>1764</v>
      </c>
      <c r="T328" s="54"/>
      <c r="U328" s="54" t="s">
        <v>1746</v>
      </c>
      <c r="V328" s="54" t="s">
        <v>1769</v>
      </c>
      <c r="W328" s="54" t="b">
        <v>0</v>
      </c>
      <c r="X328" s="54"/>
      <c r="Y328" s="57" t="s">
        <v>1770</v>
      </c>
      <c r="Z328" s="54" t="s">
        <v>1767</v>
      </c>
      <c r="AA328" s="54"/>
      <c r="AB328" s="54" t="s">
        <v>1768</v>
      </c>
      <c r="AC328" s="56" t="b">
        <v>1</v>
      </c>
      <c r="AD328" s="56" t="b">
        <v>0</v>
      </c>
      <c r="AE328" s="54" t="s">
        <v>302</v>
      </c>
      <c r="AF328" s="58">
        <v>46304</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5.8900000000000001E-2</v>
      </c>
      <c r="BC328" s="60">
        <v>4.0599999999999996</v>
      </c>
      <c r="BD328" s="61">
        <v>6.8672999999999998E-2</v>
      </c>
      <c r="BE328" s="62" t="s">
        <v>293</v>
      </c>
      <c r="BF328" s="35">
        <f t="shared" ref="BF328:BG328" si="800">IF($E328=$E$4,BF$4,IF($E328=$E$5,BF$5,""))</f>
        <v>4.0600000000000005</v>
      </c>
      <c r="BG328" s="35">
        <f t="shared" si="800"/>
        <v>6.8672999999999998E-2</v>
      </c>
      <c r="BH328" s="35" t="str">
        <f t="shared" si="789"/>
        <v>Low</v>
      </c>
      <c r="BI328" s="110">
        <f t="shared" si="790"/>
        <v>0</v>
      </c>
      <c r="BJ328" s="83" t="str">
        <f>VLOOKUP($F328,REP_Info!$D$6:$H$250,5,FALSE)</f>
        <v/>
      </c>
      <c r="BK328" s="30">
        <f t="shared" si="791"/>
        <v>13.5693</v>
      </c>
      <c r="BL328" s="30">
        <f t="shared" si="791"/>
        <v>13.163300000000001</v>
      </c>
      <c r="BM328" s="30">
        <f t="shared" si="791"/>
        <v>12.960300000000002</v>
      </c>
      <c r="BN328" s="29">
        <f t="shared" si="791"/>
        <v>12.892633333333334</v>
      </c>
      <c r="BO328" s="85" t="str">
        <f t="shared" ref="BO328" si="801">IFERROR(SUMPRODUCT($BS$7:$CD$7,$BS328:$CD328)/100,"$$$")</f>
        <v>$$$</v>
      </c>
      <c r="BP328" s="88" t="str">
        <f t="shared" si="792"/>
        <v>$$$</v>
      </c>
      <c r="BQ328" s="88" t="str">
        <f t="shared" ref="BQ328" si="802">IFERROR(SUMPRODUCT($BS$7:$CD$7,$BS328:$CD328,--($BS$4:$CD$4&lt;=$Q328))/SUMPRODUCT(--($BS$4:$CD$4&lt;=$Q328),$BS$7:$CD$7),"$$$")</f>
        <v>$$$</v>
      </c>
      <c r="BR328" s="88" t="str">
        <f t="shared" ref="BR328" si="803">IFERROR($BQ328-$BF328*100*SUMPRODUCT(--($BS$4:$CD$4&lt;=$Q328))/SUMPRODUCT(--($BS$4:$CD$4&lt;=$Q328),$BS$7:$CD$7)-$BG328*100,"$$$")</f>
        <v>$$$</v>
      </c>
      <c r="BS328" s="29" t="e">
        <f t="shared" si="793"/>
        <v>#N/A</v>
      </c>
      <c r="BT328" s="29" t="e">
        <f t="shared" si="793"/>
        <v>#N/A</v>
      </c>
      <c r="BU328" s="29" t="e">
        <f t="shared" si="793"/>
        <v>#N/A</v>
      </c>
      <c r="BV328" s="29" t="e">
        <f t="shared" si="793"/>
        <v>#N/A</v>
      </c>
      <c r="BW328" s="29" t="e">
        <f t="shared" si="793"/>
        <v>#N/A</v>
      </c>
      <c r="BX328" s="29" t="e">
        <f t="shared" si="793"/>
        <v>#N/A</v>
      </c>
      <c r="BY328" s="29" t="e">
        <f t="shared" si="793"/>
        <v>#N/A</v>
      </c>
      <c r="BZ328" s="29" t="e">
        <f t="shared" si="793"/>
        <v>#N/A</v>
      </c>
      <c r="CA328" s="29" t="e">
        <f t="shared" si="793"/>
        <v>#N/A</v>
      </c>
      <c r="CB328" s="29" t="e">
        <f t="shared" si="793"/>
        <v>#N/A</v>
      </c>
      <c r="CC328" s="29" t="e">
        <f t="shared" si="793"/>
        <v>#N/A</v>
      </c>
      <c r="CD328" s="29" t="e">
        <f t="shared" si="793"/>
        <v>#N/A</v>
      </c>
      <c r="CE328" s="6" t="str">
        <f t="shared" si="650"/>
        <v/>
      </c>
      <c r="CF328" s="27" t="e">
        <f>IF(AND(CI328,NOT(AD328)),LOOKUP(CF$5,{0,750,1500},H328:J328),"")</f>
        <v>#N/A</v>
      </c>
      <c r="CG328" s="6" t="str">
        <f t="shared" si="651"/>
        <v/>
      </c>
      <c r="CH328" t="e">
        <f t="shared" si="794"/>
        <v>#N/A</v>
      </c>
      <c r="CI328" t="e">
        <f t="shared" si="795"/>
        <v>#N/A</v>
      </c>
      <c r="CJ328" s="6" t="e">
        <f t="shared" ref="CJ328" si="804">IF($E328=CJ$5,1,0)</f>
        <v>#N/A</v>
      </c>
      <c r="CK328" s="6">
        <f t="shared" ref="CK328" si="805">IF(CK$5="[Any]",1,IF($F328=CK$5,1,0))</f>
        <v>1</v>
      </c>
      <c r="CL328" s="6">
        <f t="shared" si="26"/>
        <v>1</v>
      </c>
      <c r="CM328" s="6">
        <f t="shared" ref="CM328" si="806">IF($O328="Fixed",1,0)</f>
        <v>1</v>
      </c>
      <c r="CN328" s="6">
        <f t="shared" ref="CN328" si="807">IF($Q328&gt;=CN$5,1,0)</f>
        <v>1</v>
      </c>
      <c r="CO328" s="6">
        <f t="shared" ref="CO328" si="808">IF($Q328&lt;=CO$5,1,0)</f>
        <v>1</v>
      </c>
      <c r="CP328" s="6">
        <f t="shared" ref="CP328" si="809">IF($P328&gt;=CP$5,1,0)</f>
        <v>1</v>
      </c>
      <c r="CQ328" s="6">
        <f t="shared" si="796"/>
        <v>1</v>
      </c>
      <c r="CR328" s="81" t="str">
        <f t="shared" ref="CR328" si="810">IF(ISNUMBER($CH328),$CH328+$CS328+$CW328,"")</f>
        <v/>
      </c>
      <c r="CS328">
        <f t="shared" si="797"/>
        <v>0</v>
      </c>
      <c r="CT328">
        <f t="shared" si="766"/>
        <v>100</v>
      </c>
      <c r="CU328" t="str">
        <f t="shared" si="29"/>
        <v/>
      </c>
      <c r="CV328" s="81">
        <f t="shared" si="798"/>
        <v>100</v>
      </c>
      <c r="CW328" s="81">
        <f>(CV328/25)^1.5*(Calculator!$BU$4/10000)*CW$5</f>
        <v>4.1604480000000077</v>
      </c>
      <c r="CX328" t="str">
        <f t="shared" si="799"/>
        <v>$100</v>
      </c>
    </row>
    <row r="329" spans="2:102" x14ac:dyDescent="0.25">
      <c r="B329" s="115" t="s">
        <v>233</v>
      </c>
      <c r="C329" s="13">
        <v>46294.824999999997</v>
      </c>
      <c r="D329">
        <v>35975</v>
      </c>
      <c r="E329" s="54" t="s">
        <v>235</v>
      </c>
      <c r="F329" s="54" t="s">
        <v>616</v>
      </c>
      <c r="G329" s="54" t="s">
        <v>1771</v>
      </c>
      <c r="H329" s="55">
        <v>27</v>
      </c>
      <c r="I329" s="55">
        <v>13.5</v>
      </c>
      <c r="J329" s="55">
        <v>13.8</v>
      </c>
      <c r="K329" s="54" t="s">
        <v>1772</v>
      </c>
      <c r="L329" s="56" t="b">
        <v>0</v>
      </c>
      <c r="M329" s="56" t="b">
        <v>0</v>
      </c>
      <c r="N329" s="54">
        <v>1</v>
      </c>
      <c r="O329" s="54" t="s">
        <v>228</v>
      </c>
      <c r="P329" s="54">
        <v>37</v>
      </c>
      <c r="Q329" s="54">
        <v>12</v>
      </c>
      <c r="R329" s="54">
        <v>200</v>
      </c>
      <c r="S329" s="54" t="s">
        <v>1764</v>
      </c>
      <c r="T329" s="54"/>
      <c r="U329" s="54" t="s">
        <v>1742</v>
      </c>
      <c r="V329" s="54" t="s">
        <v>1773</v>
      </c>
      <c r="W329" s="54" t="b">
        <v>0</v>
      </c>
      <c r="X329" s="54"/>
      <c r="Y329" s="57" t="s">
        <v>1774</v>
      </c>
      <c r="Z329" s="54" t="s">
        <v>1767</v>
      </c>
      <c r="AA329" s="54"/>
      <c r="AB329" s="54" t="s">
        <v>1768</v>
      </c>
      <c r="AC329" s="56" t="b">
        <v>1</v>
      </c>
      <c r="AD329" s="56" t="b">
        <v>1</v>
      </c>
      <c r="AE329" s="54" t="s">
        <v>302</v>
      </c>
      <c r="AF329" s="58">
        <v>46294</v>
      </c>
      <c r="AG329" s="62" t="s">
        <v>293</v>
      </c>
      <c r="AH329" s="54">
        <v>0</v>
      </c>
      <c r="AI329" s="54"/>
      <c r="AJ329" s="54"/>
      <c r="AK329" s="54"/>
      <c r="AL329" s="54"/>
      <c r="AM329" s="54">
        <v>135</v>
      </c>
      <c r="AN329" s="54"/>
      <c r="AO329" s="54"/>
      <c r="AP329" s="54"/>
      <c r="AQ329" s="54"/>
      <c r="AR329" s="54"/>
      <c r="AS329" s="54"/>
      <c r="AT329" s="54"/>
      <c r="AU329" s="54">
        <v>0</v>
      </c>
      <c r="AV329" s="54">
        <v>1001</v>
      </c>
      <c r="AW329" s="54"/>
      <c r="AX329" s="59"/>
      <c r="AY329" s="59"/>
      <c r="AZ329" s="59"/>
      <c r="BA329" s="59">
        <v>0</v>
      </c>
      <c r="BB329" s="59">
        <v>0.14000000000000001</v>
      </c>
      <c r="BC329" s="60"/>
      <c r="BD329" s="61"/>
      <c r="BE329" s="62" t="s">
        <v>617</v>
      </c>
      <c r="BF329" s="35">
        <f t="shared" si="0"/>
        <v>4.9000000000000004</v>
      </c>
      <c r="BG329" s="35">
        <f t="shared" si="0"/>
        <v>6.5333000000000002E-2</v>
      </c>
      <c r="BH329" s="35" t="str">
        <f t="shared" ref="BH329:BH331" si="811">IF(ISTEXT(BE329),IF(AND(AV329=0,SUM(AN329:AQ329)=0),IF(AM329&lt;=0,IF(BE329="Y","Low","Flat"),"Med"),"High"),"?")</f>
        <v>High</v>
      </c>
      <c r="BI329" s="110">
        <f t="shared" ref="BI329:BI331" si="812">IF(ISNUMBER(AH329),0*BI$5*SIN((EDATE($A$3,$Q329)-DATE(YEAR(EDATE($A$3,$Q329)),1,0)-BI$4)*2*PI()/365),"")</f>
        <v>0</v>
      </c>
      <c r="BJ329" s="83" t="str">
        <f>VLOOKUP($F329,REP_Info!$D$6:$H$250,5,FALSE)</f>
        <v/>
      </c>
      <c r="BK329" s="30">
        <f t="shared" ref="BK329:BN331" si="813">IF(BK$7&gt;0,(LOOKUP(BK$7,$AH329:$AL329,$AM329:$AQ329)+IF($AG329="Y",SUMPRODUCT($AX329:$BB329-$AW329:$BA329,BK$7-$AR329:$AV329,N(BK$7&gt;$AR329:$AV329)),BK$7*LOOKUP(BK$7,$AR329:$AV329,$AX329:$BB329))+IF($BE329="Y",$BF329,$BC329)+BK$7*IF($BE329="Y",$BG329,$BD329))*100/BK$7,"")</f>
        <v>27</v>
      </c>
      <c r="BL329" s="30">
        <f t="shared" si="813"/>
        <v>13.5</v>
      </c>
      <c r="BM329" s="30">
        <f t="shared" si="813"/>
        <v>13.743</v>
      </c>
      <c r="BN329" s="29">
        <f t="shared" si="813"/>
        <v>13.828666666666667</v>
      </c>
      <c r="BO329" s="85" t="str">
        <f t="shared" si="2"/>
        <v>$$$</v>
      </c>
      <c r="BP329" s="88" t="str">
        <f t="shared" ref="BP329:BP331" si="814">IFERROR(BO329*100/BO$5,"$$$")</f>
        <v>$$$</v>
      </c>
      <c r="BQ329" s="88" t="str">
        <f t="shared" si="4"/>
        <v>$$$</v>
      </c>
      <c r="BR329" s="88" t="str">
        <f t="shared" si="5"/>
        <v>$$$</v>
      </c>
      <c r="BS329" s="29" t="e">
        <f t="shared" ref="BS329:CD331" si="815">IF($CI329,IF(BS$7&gt;0,IF(BS$4&gt;$Q329,$BF329+BS$7*(BS$5+$BG329+$BI329),LOOKUP(BS$7,$AH329:$AL329,$AM329:$AQ329)+IF($AG329="Y",SUMPRODUCT($AX329:$BB329-$AW329:$BA329,BS$7-$AR329:$AV329,N(BS$7&gt;$AR329:$AV329)),BS$7*LOOKUP(BS$7,$AR329:$AV329,$AX329:$BB329))+IF($BE329="Y",$BF329,$BC329)+BS$7*IF($BE329="Y",$BG329,$BD329))*100/BS$7,""),NA())</f>
        <v>#N/A</v>
      </c>
      <c r="BT329" s="29" t="e">
        <f t="shared" si="815"/>
        <v>#N/A</v>
      </c>
      <c r="BU329" s="29" t="e">
        <f t="shared" si="815"/>
        <v>#N/A</v>
      </c>
      <c r="BV329" s="29" t="e">
        <f t="shared" si="815"/>
        <v>#N/A</v>
      </c>
      <c r="BW329" s="29" t="e">
        <f t="shared" si="815"/>
        <v>#N/A</v>
      </c>
      <c r="BX329" s="29" t="e">
        <f t="shared" si="815"/>
        <v>#N/A</v>
      </c>
      <c r="BY329" s="29" t="e">
        <f t="shared" si="815"/>
        <v>#N/A</v>
      </c>
      <c r="BZ329" s="29" t="e">
        <f t="shared" si="815"/>
        <v>#N/A</v>
      </c>
      <c r="CA329" s="29" t="e">
        <f t="shared" si="815"/>
        <v>#N/A</v>
      </c>
      <c r="CB329" s="29" t="e">
        <f t="shared" si="815"/>
        <v>#N/A</v>
      </c>
      <c r="CC329" s="29" t="e">
        <f t="shared" si="815"/>
        <v>#N/A</v>
      </c>
      <c r="CD329" s="29" t="e">
        <f t="shared" si="815"/>
        <v>#N/A</v>
      </c>
      <c r="CE329" s="6" t="str">
        <f t="shared" si="650"/>
        <v/>
      </c>
      <c r="CF329" s="27" t="e">
        <f>IF(AND(CI329,NOT(AD329)),LOOKUP(CF$5,{0,750,1500},H329:J329),"")</f>
        <v>#N/A</v>
      </c>
      <c r="CG329" s="6" t="str">
        <f t="shared" si="651"/>
        <v/>
      </c>
      <c r="CH329" t="e">
        <f t="shared" ref="CH329:CH331" si="816">IF(CI329,IF(ISNUMBER(BO329),BO329,100000)+CV329/10000+IF(ISNUMBER(BJ329),BJ329,2)/10000-P329/100000+ROW()/10000000,"")</f>
        <v>#N/A</v>
      </c>
      <c r="CI329" t="e">
        <f t="shared" ref="CI329:CI331" si="817">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1" si="818">IF(CQ$5="Any",1,IF(AND(CQ$5="Med",AV329=0,SUM(AN329:AQ329)=0),1,IF(AND(CQ$5="Low",AV329=0,SUM(AN329:AQ329)=0,AM329=0),1,IF(AND(CQ$5="Flat",AV329=0,SUM(AN329:AQ329)=0,AM329=0,IFERROR(NOT(BE329="Y"),0)),1,0))))</f>
        <v>1</v>
      </c>
      <c r="CR329" s="81" t="str">
        <f t="shared" si="17"/>
        <v/>
      </c>
      <c r="CS329">
        <f t="shared" ref="CS329:CS331" si="819">CS$5*(12/(MIN(12,Q329))-1)</f>
        <v>0</v>
      </c>
      <c r="CT329">
        <f t="shared" si="766"/>
        <v>200</v>
      </c>
      <c r="CU329" t="str">
        <f t="shared" si="29"/>
        <v/>
      </c>
      <c r="CV329" s="81">
        <f t="shared" ref="CV329:CV331" si="820">CT329*IF(CU329="",1,Q329)</f>
        <v>200</v>
      </c>
      <c r="CW329" s="81">
        <f>(CV329/25)^1.5*(Calculator!$BU$4/10000)*CW$5</f>
        <v>11.767523974296054</v>
      </c>
      <c r="CX329" t="str">
        <f t="shared" ref="CX329:CX331" si="821">"$"&amp;IF(LEFT(CU329,1)="r",CT329&amp;"/"&amp;CU329,CV329)</f>
        <v>$200</v>
      </c>
    </row>
    <row r="330" spans="2:102" x14ac:dyDescent="0.25">
      <c r="B330" s="115" t="s">
        <v>233</v>
      </c>
      <c r="C330" s="13">
        <v>46308.549305555556</v>
      </c>
      <c r="D330">
        <v>35979</v>
      </c>
      <c r="E330" s="54" t="s">
        <v>237</v>
      </c>
      <c r="F330" s="54" t="s">
        <v>616</v>
      </c>
      <c r="G330" s="54" t="s">
        <v>1771</v>
      </c>
      <c r="H330" s="55">
        <v>27</v>
      </c>
      <c r="I330" s="55">
        <v>13.5</v>
      </c>
      <c r="J330" s="55">
        <v>13.8</v>
      </c>
      <c r="K330" s="54" t="s">
        <v>1772</v>
      </c>
      <c r="L330" s="56" t="b">
        <v>0</v>
      </c>
      <c r="M330" s="56" t="b">
        <v>0</v>
      </c>
      <c r="N330" s="54">
        <v>1</v>
      </c>
      <c r="O330" s="54" t="s">
        <v>228</v>
      </c>
      <c r="P330" s="54">
        <v>37</v>
      </c>
      <c r="Q330" s="54">
        <v>12</v>
      </c>
      <c r="R330" s="54">
        <v>200</v>
      </c>
      <c r="S330" s="54" t="s">
        <v>1764</v>
      </c>
      <c r="T330" s="54"/>
      <c r="U330" s="54" t="s">
        <v>1744</v>
      </c>
      <c r="V330" s="54" t="s">
        <v>1775</v>
      </c>
      <c r="W330" s="54" t="b">
        <v>0</v>
      </c>
      <c r="X330" s="54"/>
      <c r="Y330" s="57" t="s">
        <v>1776</v>
      </c>
      <c r="Z330" s="54" t="s">
        <v>1767</v>
      </c>
      <c r="AA330" s="54"/>
      <c r="AB330" s="54" t="s">
        <v>1768</v>
      </c>
      <c r="AC330" s="56" t="b">
        <v>1</v>
      </c>
      <c r="AD330" s="56" t="b">
        <v>1</v>
      </c>
      <c r="AE330" s="54" t="s">
        <v>302</v>
      </c>
      <c r="AF330" s="58">
        <v>46308</v>
      </c>
      <c r="AG330" s="62" t="s">
        <v>293</v>
      </c>
      <c r="AH330" s="54">
        <v>0</v>
      </c>
      <c r="AI330" s="54"/>
      <c r="AJ330" s="54"/>
      <c r="AK330" s="54"/>
      <c r="AL330" s="54"/>
      <c r="AM330" s="54">
        <v>135</v>
      </c>
      <c r="AN330" s="54"/>
      <c r="AO330" s="54"/>
      <c r="AP330" s="54"/>
      <c r="AQ330" s="54"/>
      <c r="AR330" s="54"/>
      <c r="AS330" s="54"/>
      <c r="AT330" s="54"/>
      <c r="AU330" s="54">
        <v>0</v>
      </c>
      <c r="AV330" s="54">
        <v>1001</v>
      </c>
      <c r="AW330" s="54"/>
      <c r="AX330" s="59"/>
      <c r="AY330" s="59"/>
      <c r="AZ330" s="59"/>
      <c r="BA330" s="59">
        <v>0</v>
      </c>
      <c r="BB330" s="59">
        <v>0.14000000000000001</v>
      </c>
      <c r="BC330" s="60"/>
      <c r="BD330" s="61"/>
      <c r="BE330" s="62" t="s">
        <v>617</v>
      </c>
      <c r="BF330" s="35">
        <f t="shared" si="0"/>
        <v>4.0600000000000005</v>
      </c>
      <c r="BG330" s="35">
        <f t="shared" si="0"/>
        <v>6.8672999999999998E-2</v>
      </c>
      <c r="BH330" s="35" t="str">
        <f t="shared" si="811"/>
        <v>High</v>
      </c>
      <c r="BI330" s="110">
        <f t="shared" si="812"/>
        <v>0</v>
      </c>
      <c r="BJ330" s="83" t="str">
        <f>VLOOKUP($F330,REP_Info!$D$6:$H$250,5,FALSE)</f>
        <v/>
      </c>
      <c r="BK330" s="30">
        <f t="shared" si="813"/>
        <v>27</v>
      </c>
      <c r="BL330" s="30">
        <f t="shared" si="813"/>
        <v>13.5</v>
      </c>
      <c r="BM330" s="30">
        <f t="shared" si="813"/>
        <v>13.743</v>
      </c>
      <c r="BN330" s="29">
        <f t="shared" si="813"/>
        <v>13.828666666666667</v>
      </c>
      <c r="BO330" s="85" t="str">
        <f t="shared" si="2"/>
        <v>$$$</v>
      </c>
      <c r="BP330" s="88" t="str">
        <f t="shared" si="814"/>
        <v>$$$</v>
      </c>
      <c r="BQ330" s="88" t="str">
        <f t="shared" si="4"/>
        <v>$$$</v>
      </c>
      <c r="BR330" s="88" t="str">
        <f t="shared" si="5"/>
        <v>$$$</v>
      </c>
      <c r="BS330" s="29" t="e">
        <f t="shared" si="815"/>
        <v>#N/A</v>
      </c>
      <c r="BT330" s="29" t="e">
        <f t="shared" si="815"/>
        <v>#N/A</v>
      </c>
      <c r="BU330" s="29" t="e">
        <f t="shared" si="815"/>
        <v>#N/A</v>
      </c>
      <c r="BV330" s="29" t="e">
        <f t="shared" si="815"/>
        <v>#N/A</v>
      </c>
      <c r="BW330" s="29" t="e">
        <f t="shared" si="815"/>
        <v>#N/A</v>
      </c>
      <c r="BX330" s="29" t="e">
        <f t="shared" si="815"/>
        <v>#N/A</v>
      </c>
      <c r="BY330" s="29" t="e">
        <f t="shared" si="815"/>
        <v>#N/A</v>
      </c>
      <c r="BZ330" s="29" t="e">
        <f t="shared" si="815"/>
        <v>#N/A</v>
      </c>
      <c r="CA330" s="29" t="e">
        <f t="shared" si="815"/>
        <v>#N/A</v>
      </c>
      <c r="CB330" s="29" t="e">
        <f t="shared" si="815"/>
        <v>#N/A</v>
      </c>
      <c r="CC330" s="29" t="e">
        <f t="shared" si="815"/>
        <v>#N/A</v>
      </c>
      <c r="CD330" s="29" t="e">
        <f t="shared" si="815"/>
        <v>#N/A</v>
      </c>
      <c r="CE330" s="6" t="str">
        <f t="shared" si="650"/>
        <v/>
      </c>
      <c r="CF330" s="27" t="e">
        <f>IF(AND(CI330,NOT(AD330)),LOOKUP(CF$5,{0,750,1500},H330:J330),"")</f>
        <v>#N/A</v>
      </c>
      <c r="CG330" s="6" t="str">
        <f t="shared" si="651"/>
        <v/>
      </c>
      <c r="CH330" t="e">
        <f t="shared" si="816"/>
        <v>#N/A</v>
      </c>
      <c r="CI330" t="e">
        <f t="shared" si="817"/>
        <v>#N/A</v>
      </c>
      <c r="CJ330" s="6" t="e">
        <f t="shared" si="11"/>
        <v>#N/A</v>
      </c>
      <c r="CK330" s="6">
        <f t="shared" si="12"/>
        <v>1</v>
      </c>
      <c r="CL330" s="6">
        <f t="shared" si="26"/>
        <v>1</v>
      </c>
      <c r="CM330" s="6">
        <f t="shared" si="13"/>
        <v>1</v>
      </c>
      <c r="CN330" s="6">
        <f t="shared" si="14"/>
        <v>1</v>
      </c>
      <c r="CO330" s="6">
        <f t="shared" si="15"/>
        <v>1</v>
      </c>
      <c r="CP330" s="6">
        <f t="shared" si="16"/>
        <v>1</v>
      </c>
      <c r="CQ330" s="6">
        <f t="shared" si="818"/>
        <v>1</v>
      </c>
      <c r="CR330" s="81" t="str">
        <f t="shared" si="17"/>
        <v/>
      </c>
      <c r="CS330">
        <f t="shared" si="819"/>
        <v>0</v>
      </c>
      <c r="CT330">
        <f t="shared" si="766"/>
        <v>200</v>
      </c>
      <c r="CU330" t="str">
        <f t="shared" si="29"/>
        <v/>
      </c>
      <c r="CV330" s="81">
        <f t="shared" si="820"/>
        <v>200</v>
      </c>
      <c r="CW330" s="81">
        <f>(CV330/25)^1.5*(Calculator!$BU$4/10000)*CW$5</f>
        <v>11.767523974296054</v>
      </c>
      <c r="CX330" t="str">
        <f t="shared" si="821"/>
        <v>$200</v>
      </c>
    </row>
    <row r="331" spans="2:102" x14ac:dyDescent="0.25">
      <c r="B331" s="115" t="s">
        <v>233</v>
      </c>
      <c r="C331" s="13">
        <v>46304.647222222222</v>
      </c>
      <c r="D331">
        <v>35986</v>
      </c>
      <c r="E331" s="54" t="s">
        <v>235</v>
      </c>
      <c r="F331" s="54" t="s">
        <v>616</v>
      </c>
      <c r="G331" s="54" t="s">
        <v>1777</v>
      </c>
      <c r="H331" s="55">
        <v>13.100000000000001</v>
      </c>
      <c r="I331" s="55">
        <v>12.6</v>
      </c>
      <c r="J331" s="55">
        <v>12.3</v>
      </c>
      <c r="K331" s="54"/>
      <c r="L331" s="56" t="b">
        <v>0</v>
      </c>
      <c r="M331" s="56" t="b">
        <v>0</v>
      </c>
      <c r="N331" s="54">
        <v>1</v>
      </c>
      <c r="O331" s="54" t="s">
        <v>228</v>
      </c>
      <c r="P331" s="54">
        <v>37</v>
      </c>
      <c r="Q331" s="54">
        <v>6</v>
      </c>
      <c r="R331" s="54">
        <v>100</v>
      </c>
      <c r="S331" s="54" t="s">
        <v>1764</v>
      </c>
      <c r="T331" s="54"/>
      <c r="U331" s="54" t="s">
        <v>1739</v>
      </c>
      <c r="V331" s="54" t="s">
        <v>1778</v>
      </c>
      <c r="W331" s="54" t="b">
        <v>0</v>
      </c>
      <c r="X331" s="54"/>
      <c r="Y331" s="57" t="s">
        <v>1779</v>
      </c>
      <c r="Z331" s="54" t="s">
        <v>1767</v>
      </c>
      <c r="AA331" s="54"/>
      <c r="AB331" s="54" t="s">
        <v>1768</v>
      </c>
      <c r="AC331" s="56" t="b">
        <v>1</v>
      </c>
      <c r="AD331" s="56" t="b">
        <v>0</v>
      </c>
      <c r="AE331" s="54" t="s">
        <v>302</v>
      </c>
      <c r="AF331" s="58">
        <v>46304</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5.6899999999999999E-2</v>
      </c>
      <c r="BC331" s="60">
        <v>4.9000000000000004</v>
      </c>
      <c r="BD331" s="61">
        <v>6.4130000000000006E-2</v>
      </c>
      <c r="BE331" s="62" t="s">
        <v>293</v>
      </c>
      <c r="BF331" s="35">
        <f t="shared" si="0"/>
        <v>4.9000000000000004</v>
      </c>
      <c r="BG331" s="35">
        <f t="shared" si="0"/>
        <v>6.5333000000000002E-2</v>
      </c>
      <c r="BH331" s="35" t="str">
        <f t="shared" si="811"/>
        <v>Low</v>
      </c>
      <c r="BI331" s="110">
        <f t="shared" si="812"/>
        <v>0</v>
      </c>
      <c r="BJ331" s="83" t="str">
        <f>VLOOKUP($F331,REP_Info!$D$6:$H$250,5,FALSE)</f>
        <v/>
      </c>
      <c r="BK331" s="30">
        <f t="shared" si="813"/>
        <v>13.2033</v>
      </c>
      <c r="BL331" s="30">
        <f t="shared" si="813"/>
        <v>12.713299999999998</v>
      </c>
      <c r="BM331" s="30">
        <f t="shared" si="813"/>
        <v>12.468299999999999</v>
      </c>
      <c r="BN331" s="29">
        <f t="shared" si="813"/>
        <v>12.386633333333334</v>
      </c>
      <c r="BO331" s="85" t="str">
        <f t="shared" si="2"/>
        <v>$$$</v>
      </c>
      <c r="BP331" s="88" t="str">
        <f t="shared" si="814"/>
        <v>$$$</v>
      </c>
      <c r="BQ331" s="88" t="str">
        <f t="shared" si="4"/>
        <v>$$$</v>
      </c>
      <c r="BR331" s="88" t="str">
        <f t="shared" si="5"/>
        <v>$$$</v>
      </c>
      <c r="BS331" s="29" t="e">
        <f t="shared" si="815"/>
        <v>#N/A</v>
      </c>
      <c r="BT331" s="29" t="e">
        <f t="shared" si="815"/>
        <v>#N/A</v>
      </c>
      <c r="BU331" s="29" t="e">
        <f t="shared" si="815"/>
        <v>#N/A</v>
      </c>
      <c r="BV331" s="29" t="e">
        <f t="shared" si="815"/>
        <v>#N/A</v>
      </c>
      <c r="BW331" s="29" t="e">
        <f t="shared" si="815"/>
        <v>#N/A</v>
      </c>
      <c r="BX331" s="29" t="e">
        <f t="shared" si="815"/>
        <v>#N/A</v>
      </c>
      <c r="BY331" s="29" t="e">
        <f t="shared" si="815"/>
        <v>#N/A</v>
      </c>
      <c r="BZ331" s="29" t="e">
        <f t="shared" si="815"/>
        <v>#N/A</v>
      </c>
      <c r="CA331" s="29" t="e">
        <f t="shared" si="815"/>
        <v>#N/A</v>
      </c>
      <c r="CB331" s="29" t="e">
        <f t="shared" si="815"/>
        <v>#N/A</v>
      </c>
      <c r="CC331" s="29" t="e">
        <f t="shared" si="815"/>
        <v>#N/A</v>
      </c>
      <c r="CD331" s="29" t="e">
        <f t="shared" si="815"/>
        <v>#N/A</v>
      </c>
      <c r="CE331" s="6" t="str">
        <f t="shared" si="650"/>
        <v/>
      </c>
      <c r="CF331" s="27" t="e">
        <f>IF(AND(CI331,NOT(AD331)),LOOKUP(CF$5,{0,750,1500},H331:J331),"")</f>
        <v>#N/A</v>
      </c>
      <c r="CG331" s="6" t="str">
        <f t="shared" si="651"/>
        <v/>
      </c>
      <c r="CH331" t="e">
        <f t="shared" si="816"/>
        <v>#N/A</v>
      </c>
      <c r="CI331" t="e">
        <f t="shared" si="817"/>
        <v>#N/A</v>
      </c>
      <c r="CJ331" s="6" t="e">
        <f t="shared" si="11"/>
        <v>#N/A</v>
      </c>
      <c r="CK331" s="6">
        <f t="shared" si="12"/>
        <v>1</v>
      </c>
      <c r="CL331" s="6">
        <f t="shared" si="26"/>
        <v>1</v>
      </c>
      <c r="CM331" s="6">
        <f t="shared" si="13"/>
        <v>1</v>
      </c>
      <c r="CN331" s="6">
        <f t="shared" si="14"/>
        <v>0</v>
      </c>
      <c r="CO331" s="6">
        <f t="shared" si="15"/>
        <v>1</v>
      </c>
      <c r="CP331" s="6">
        <f t="shared" si="16"/>
        <v>1</v>
      </c>
      <c r="CQ331" s="6">
        <f t="shared" si="818"/>
        <v>1</v>
      </c>
      <c r="CR331" s="81" t="str">
        <f t="shared" si="17"/>
        <v/>
      </c>
      <c r="CS331">
        <f t="shared" si="819"/>
        <v>18</v>
      </c>
      <c r="CT331">
        <f t="shared" si="766"/>
        <v>100</v>
      </c>
      <c r="CU331" t="str">
        <f t="shared" si="29"/>
        <v/>
      </c>
      <c r="CV331" s="81">
        <f t="shared" si="820"/>
        <v>100</v>
      </c>
      <c r="CW331" s="81">
        <f>(CV331/25)^1.5*(Calculator!$BU$4/10000)*CW$5</f>
        <v>4.1604480000000077</v>
      </c>
      <c r="CX331" t="str">
        <f t="shared" si="821"/>
        <v>$100</v>
      </c>
    </row>
    <row r="332" spans="2:102" x14ac:dyDescent="0.25">
      <c r="B332" s="115" t="s">
        <v>233</v>
      </c>
      <c r="C332" s="13">
        <v>46304.647222222222</v>
      </c>
      <c r="D332">
        <v>35990</v>
      </c>
      <c r="E332" s="54" t="s">
        <v>237</v>
      </c>
      <c r="F332" s="54" t="s">
        <v>616</v>
      </c>
      <c r="G332" s="54" t="s">
        <v>1777</v>
      </c>
      <c r="H332" s="55">
        <v>13.3</v>
      </c>
      <c r="I332" s="55">
        <v>12.9</v>
      </c>
      <c r="J332" s="55">
        <v>12.7</v>
      </c>
      <c r="K332" s="54"/>
      <c r="L332" s="56" t="b">
        <v>0</v>
      </c>
      <c r="M332" s="56" t="b">
        <v>0</v>
      </c>
      <c r="N332" s="54">
        <v>1</v>
      </c>
      <c r="O332" s="54" t="s">
        <v>228</v>
      </c>
      <c r="P332" s="54">
        <v>37</v>
      </c>
      <c r="Q332" s="54">
        <v>6</v>
      </c>
      <c r="R332" s="54">
        <v>100</v>
      </c>
      <c r="S332" s="54" t="s">
        <v>1764</v>
      </c>
      <c r="T332" s="54"/>
      <c r="U332" s="54" t="s">
        <v>1741</v>
      </c>
      <c r="V332" s="54" t="s">
        <v>1780</v>
      </c>
      <c r="W332" s="54" t="b">
        <v>0</v>
      </c>
      <c r="X332" s="54"/>
      <c r="Y332" s="57" t="s">
        <v>1781</v>
      </c>
      <c r="Z332" s="54" t="s">
        <v>1767</v>
      </c>
      <c r="AA332" s="54"/>
      <c r="AB332" s="54" t="s">
        <v>1768</v>
      </c>
      <c r="AC332" s="56" t="b">
        <v>1</v>
      </c>
      <c r="AD332" s="56" t="b">
        <v>0</v>
      </c>
      <c r="AE332" s="54" t="s">
        <v>302</v>
      </c>
      <c r="AF332" s="58">
        <v>46304</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5.5899999999999998E-2</v>
      </c>
      <c r="BC332" s="60">
        <v>4.0599999999999996</v>
      </c>
      <c r="BD332" s="61">
        <v>6.8672999999999998E-2</v>
      </c>
      <c r="BE332" s="62" t="s">
        <v>293</v>
      </c>
      <c r="BF332" s="35">
        <f t="shared" si="0"/>
        <v>4.0600000000000005</v>
      </c>
      <c r="BG332" s="35">
        <f t="shared" si="0"/>
        <v>6.8672999999999998E-2</v>
      </c>
      <c r="BH332" s="35" t="str">
        <f t="shared" ref="BH332:BH333" si="822">IF(ISTEXT(BE332),IF(AND(AV332=0,SUM(AN332:AQ332)=0),IF(AM332&lt;=0,IF(BE332="Y","Low","Flat"),"Med"),"High"),"?")</f>
        <v>Low</v>
      </c>
      <c r="BI332" s="110">
        <f t="shared" ref="BI332:BI333" si="823">IF(ISNUMBER(AH332),0*BI$5*SIN((EDATE($A$3,$Q332)-DATE(YEAR(EDATE($A$3,$Q332)),1,0)-BI$4)*2*PI()/365),"")</f>
        <v>0</v>
      </c>
      <c r="BJ332" s="83" t="str">
        <f>VLOOKUP($F332,REP_Info!$D$6:$H$250,5,FALSE)</f>
        <v/>
      </c>
      <c r="BK332" s="30">
        <f t="shared" ref="BK332:BN333" si="824">IF(BK$7&gt;0,(LOOKUP(BK$7,$AH332:$AL332,$AM332:$AQ332)+IF($AG332="Y",SUMPRODUCT($AX332:$BB332-$AW332:$BA332,BK$7-$AR332:$AV332,N(BK$7&gt;$AR332:$AV332)),BK$7*LOOKUP(BK$7,$AR332:$AV332,$AX332:$BB332))+IF($BE332="Y",$BF332,$BC332)+BK$7*IF($BE332="Y",$BG332,$BD332))*100/BK$7,"")</f>
        <v>13.269299999999999</v>
      </c>
      <c r="BL332" s="30">
        <f t="shared" si="824"/>
        <v>12.863300000000001</v>
      </c>
      <c r="BM332" s="30">
        <f t="shared" si="824"/>
        <v>12.660300000000001</v>
      </c>
      <c r="BN332" s="29">
        <f t="shared" si="824"/>
        <v>12.592633333333334</v>
      </c>
      <c r="BO332" s="85" t="str">
        <f t="shared" si="2"/>
        <v>$$$</v>
      </c>
      <c r="BP332" s="88" t="str">
        <f t="shared" ref="BP332:BP333" si="825">IFERROR(BO332*100/BO$5,"$$$")</f>
        <v>$$$</v>
      </c>
      <c r="BQ332" s="88" t="str">
        <f t="shared" si="4"/>
        <v>$$$</v>
      </c>
      <c r="BR332" s="88" t="str">
        <f t="shared" si="5"/>
        <v>$$$</v>
      </c>
      <c r="BS332" s="29" t="e">
        <f t="shared" ref="BS332:CD333" si="826">IF($CI332,IF(BS$7&gt;0,IF(BS$4&gt;$Q332,$BF332+BS$7*(BS$5+$BG332+$BI332),LOOKUP(BS$7,$AH332:$AL332,$AM332:$AQ332)+IF($AG332="Y",SUMPRODUCT($AX332:$BB332-$AW332:$BA332,BS$7-$AR332:$AV332,N(BS$7&gt;$AR332:$AV332)),BS$7*LOOKUP(BS$7,$AR332:$AV332,$AX332:$BB332))+IF($BE332="Y",$BF332,$BC332)+BS$7*IF($BE332="Y",$BG332,$BD332))*100/BS$7,""),NA())</f>
        <v>#N/A</v>
      </c>
      <c r="BT332" s="29" t="e">
        <f t="shared" si="826"/>
        <v>#N/A</v>
      </c>
      <c r="BU332" s="29" t="e">
        <f t="shared" si="826"/>
        <v>#N/A</v>
      </c>
      <c r="BV332" s="29" t="e">
        <f t="shared" si="826"/>
        <v>#N/A</v>
      </c>
      <c r="BW332" s="29" t="e">
        <f t="shared" si="826"/>
        <v>#N/A</v>
      </c>
      <c r="BX332" s="29" t="e">
        <f t="shared" si="826"/>
        <v>#N/A</v>
      </c>
      <c r="BY332" s="29" t="e">
        <f t="shared" si="826"/>
        <v>#N/A</v>
      </c>
      <c r="BZ332" s="29" t="e">
        <f t="shared" si="826"/>
        <v>#N/A</v>
      </c>
      <c r="CA332" s="29" t="e">
        <f t="shared" si="826"/>
        <v>#N/A</v>
      </c>
      <c r="CB332" s="29" t="e">
        <f t="shared" si="826"/>
        <v>#N/A</v>
      </c>
      <c r="CC332" s="29" t="e">
        <f t="shared" si="826"/>
        <v>#N/A</v>
      </c>
      <c r="CD332" s="29" t="e">
        <f t="shared" si="826"/>
        <v>#N/A</v>
      </c>
      <c r="CE332" s="6" t="str">
        <f t="shared" si="650"/>
        <v/>
      </c>
      <c r="CF332" s="27" t="e">
        <f>IF(AND(CI332,NOT(AD332)),LOOKUP(CF$5,{0,750,1500},H332:J332),"")</f>
        <v>#N/A</v>
      </c>
      <c r="CG332" s="6" t="str">
        <f t="shared" si="651"/>
        <v/>
      </c>
      <c r="CH332" t="e">
        <f t="shared" ref="CH332:CH333" si="827">IF(CI332,IF(ISNUMBER(BO332),BO332,100000)+CV332/10000+IF(ISNUMBER(BJ332),BJ332,2)/10000-P332/100000+ROW()/10000000,"")</f>
        <v>#N/A</v>
      </c>
      <c r="CI332" t="e">
        <f t="shared" ref="CI332:CI333" si="828">PRODUCT(CJ332:CQ332)</f>
        <v>#N/A</v>
      </c>
      <c r="CJ332" s="6" t="e">
        <f t="shared" si="11"/>
        <v>#N/A</v>
      </c>
      <c r="CK332" s="6">
        <f t="shared" si="12"/>
        <v>1</v>
      </c>
      <c r="CL332" s="6">
        <f t="shared" si="26"/>
        <v>1</v>
      </c>
      <c r="CM332" s="6">
        <f t="shared" si="13"/>
        <v>1</v>
      </c>
      <c r="CN332" s="6">
        <f t="shared" si="14"/>
        <v>0</v>
      </c>
      <c r="CO332" s="6">
        <f t="shared" si="15"/>
        <v>1</v>
      </c>
      <c r="CP332" s="6">
        <f t="shared" si="16"/>
        <v>1</v>
      </c>
      <c r="CQ332" s="6">
        <f t="shared" ref="CQ332:CQ333" si="829">IF(CQ$5="Any",1,IF(AND(CQ$5="Med",AV332=0,SUM(AN332:AQ332)=0),1,IF(AND(CQ$5="Low",AV332=0,SUM(AN332:AQ332)=0,AM332=0),1,IF(AND(CQ$5="Flat",AV332=0,SUM(AN332:AQ332)=0,AM332=0,IFERROR(NOT(BE332="Y"),0)),1,0))))</f>
        <v>1</v>
      </c>
      <c r="CR332" s="81" t="str">
        <f t="shared" si="17"/>
        <v/>
      </c>
      <c r="CS332">
        <f t="shared" ref="CS332:CS333" si="830">CS$5*(12/(MIN(12,Q332))-1)</f>
        <v>18</v>
      </c>
      <c r="CT332">
        <f t="shared" si="766"/>
        <v>100</v>
      </c>
      <c r="CU332" t="str">
        <f t="shared" si="29"/>
        <v/>
      </c>
      <c r="CV332" s="81">
        <f t="shared" ref="CV332:CV333" si="831">CT332*IF(CU332="",1,Q332)</f>
        <v>100</v>
      </c>
      <c r="CW332" s="81">
        <f>(CV332/25)^1.5*(Calculator!$BU$4/10000)*CW$5</f>
        <v>4.1604480000000077</v>
      </c>
      <c r="CX332" t="str">
        <f t="shared" ref="CX332:CX333" si="832">"$"&amp;IF(LEFT(CU332,1)="r",CT332&amp;"/"&amp;CU332,CV332)</f>
        <v>$100</v>
      </c>
    </row>
    <row r="333" spans="2:102" x14ac:dyDescent="0.25">
      <c r="B333" s="115" t="s">
        <v>233</v>
      </c>
      <c r="C333" s="13">
        <v>46316.611111111109</v>
      </c>
      <c r="D333">
        <v>34445</v>
      </c>
      <c r="E333" s="54" t="s">
        <v>237</v>
      </c>
      <c r="F333" s="54" t="s">
        <v>618</v>
      </c>
      <c r="G333" s="54" t="s">
        <v>1930</v>
      </c>
      <c r="H333" s="55">
        <v>11.1</v>
      </c>
      <c r="I333" s="55">
        <v>10.199999999999999</v>
      </c>
      <c r="J333" s="55">
        <v>9.7000000000000011</v>
      </c>
      <c r="K333" s="54"/>
      <c r="L333" s="56" t="b">
        <v>0</v>
      </c>
      <c r="M333" s="56" t="b">
        <v>0</v>
      </c>
      <c r="N333" s="54">
        <v>1</v>
      </c>
      <c r="O333" s="54" t="s">
        <v>228</v>
      </c>
      <c r="P333" s="54">
        <v>25</v>
      </c>
      <c r="Q333" s="54">
        <v>3</v>
      </c>
      <c r="R333" s="54">
        <v>0</v>
      </c>
      <c r="S333" s="54" t="s">
        <v>620</v>
      </c>
      <c r="T333" s="54" t="s">
        <v>1931</v>
      </c>
      <c r="U333" s="54" t="s">
        <v>622</v>
      </c>
      <c r="V333" s="54" t="s">
        <v>623</v>
      </c>
      <c r="W333" s="54" t="b">
        <v>0</v>
      </c>
      <c r="X333" s="54"/>
      <c r="Y333" s="57" t="s">
        <v>1932</v>
      </c>
      <c r="Z333" s="54" t="s">
        <v>624</v>
      </c>
      <c r="AA333" s="54"/>
      <c r="AB333" s="54" t="s">
        <v>1933</v>
      </c>
      <c r="AC333" s="56" t="b">
        <v>1</v>
      </c>
      <c r="AD333" s="56" t="b">
        <v>0</v>
      </c>
      <c r="AE333" s="54" t="s">
        <v>302</v>
      </c>
      <c r="AF333" s="58">
        <v>46310</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2.4299999999999999E-2</v>
      </c>
      <c r="BC333" s="60">
        <v>4.0599999999999996</v>
      </c>
      <c r="BD333" s="61">
        <v>6.8672999999999998E-2</v>
      </c>
      <c r="BE333" s="62" t="s">
        <v>293</v>
      </c>
      <c r="BF333" s="35">
        <f t="shared" si="0"/>
        <v>4.0600000000000005</v>
      </c>
      <c r="BG333" s="35">
        <f t="shared" si="0"/>
        <v>6.8672999999999998E-2</v>
      </c>
      <c r="BH333" s="35" t="str">
        <f t="shared" si="822"/>
        <v>Med</v>
      </c>
      <c r="BI333" s="110">
        <f t="shared" si="823"/>
        <v>0</v>
      </c>
      <c r="BJ333" s="83" t="str">
        <f>VLOOKUP($F333,REP_Info!$D$6:$H$250,5,FALSE)</f>
        <v/>
      </c>
      <c r="BK333" s="30">
        <f t="shared" si="824"/>
        <v>11.099299999999999</v>
      </c>
      <c r="BL333" s="30">
        <f t="shared" si="824"/>
        <v>10.198300000000001</v>
      </c>
      <c r="BM333" s="30">
        <f t="shared" si="824"/>
        <v>9.7478000000000016</v>
      </c>
      <c r="BN333" s="29">
        <f t="shared" si="824"/>
        <v>9.5976333333333326</v>
      </c>
      <c r="BO333" s="85" t="str">
        <f t="shared" si="2"/>
        <v>$$$</v>
      </c>
      <c r="BP333" s="88" t="str">
        <f t="shared" si="825"/>
        <v>$$$</v>
      </c>
      <c r="BQ333" s="88" t="str">
        <f t="shared" si="4"/>
        <v>$$$</v>
      </c>
      <c r="BR333" s="88" t="str">
        <f t="shared" si="5"/>
        <v>$$$</v>
      </c>
      <c r="BS333" s="29" t="e">
        <f t="shared" si="826"/>
        <v>#N/A</v>
      </c>
      <c r="BT333" s="29" t="e">
        <f t="shared" si="826"/>
        <v>#N/A</v>
      </c>
      <c r="BU333" s="29" t="e">
        <f t="shared" si="826"/>
        <v>#N/A</v>
      </c>
      <c r="BV333" s="29" t="e">
        <f t="shared" si="826"/>
        <v>#N/A</v>
      </c>
      <c r="BW333" s="29" t="e">
        <f t="shared" si="826"/>
        <v>#N/A</v>
      </c>
      <c r="BX333" s="29" t="e">
        <f t="shared" si="826"/>
        <v>#N/A</v>
      </c>
      <c r="BY333" s="29" t="e">
        <f t="shared" si="826"/>
        <v>#N/A</v>
      </c>
      <c r="BZ333" s="29" t="e">
        <f t="shared" si="826"/>
        <v>#N/A</v>
      </c>
      <c r="CA333" s="29" t="e">
        <f t="shared" si="826"/>
        <v>#N/A</v>
      </c>
      <c r="CB333" s="29" t="e">
        <f t="shared" si="826"/>
        <v>#N/A</v>
      </c>
      <c r="CC333" s="29" t="e">
        <f t="shared" si="826"/>
        <v>#N/A</v>
      </c>
      <c r="CD333" s="29" t="e">
        <f t="shared" si="826"/>
        <v>#N/A</v>
      </c>
      <c r="CE333" s="6" t="str">
        <f t="shared" si="650"/>
        <v/>
      </c>
      <c r="CF333" s="27" t="e">
        <f>IF(AND(CI333,NOT(AD333)),LOOKUP(CF$5,{0,750,1500},H333:J333),"")</f>
        <v>#N/A</v>
      </c>
      <c r="CG333" s="6" t="str">
        <f t="shared" si="651"/>
        <v/>
      </c>
      <c r="CH333" t="e">
        <f t="shared" si="827"/>
        <v>#N/A</v>
      </c>
      <c r="CI333" t="e">
        <f t="shared" si="828"/>
        <v>#N/A</v>
      </c>
      <c r="CJ333" s="6" t="e">
        <f t="shared" si="11"/>
        <v>#N/A</v>
      </c>
      <c r="CK333" s="6">
        <f t="shared" si="12"/>
        <v>1</v>
      </c>
      <c r="CL333" s="6">
        <f t="shared" si="26"/>
        <v>1</v>
      </c>
      <c r="CM333" s="6">
        <f t="shared" si="13"/>
        <v>1</v>
      </c>
      <c r="CN333" s="6">
        <f t="shared" si="14"/>
        <v>0</v>
      </c>
      <c r="CO333" s="6">
        <f t="shared" si="15"/>
        <v>1</v>
      </c>
      <c r="CP333" s="6">
        <f t="shared" si="16"/>
        <v>1</v>
      </c>
      <c r="CQ333" s="6">
        <f t="shared" si="829"/>
        <v>1</v>
      </c>
      <c r="CR333" s="81" t="str">
        <f t="shared" si="17"/>
        <v/>
      </c>
      <c r="CS333">
        <f t="shared" si="830"/>
        <v>54</v>
      </c>
      <c r="CT333">
        <f t="shared" si="766"/>
        <v>0</v>
      </c>
      <c r="CU333" t="str">
        <f t="shared" si="29"/>
        <v/>
      </c>
      <c r="CV333" s="81">
        <f t="shared" si="831"/>
        <v>0</v>
      </c>
      <c r="CW333" s="81">
        <f>(CV333/25)^1.5*(Calculator!$BU$4/10000)*CW$5</f>
        <v>0</v>
      </c>
      <c r="CX333" t="str">
        <f t="shared" si="832"/>
        <v>$0</v>
      </c>
    </row>
    <row r="334" spans="2:102" x14ac:dyDescent="0.25">
      <c r="B334" s="115" t="s">
        <v>233</v>
      </c>
      <c r="C334" s="13">
        <v>46316.611111111109</v>
      </c>
      <c r="D334">
        <v>34446</v>
      </c>
      <c r="E334" s="54" t="s">
        <v>235</v>
      </c>
      <c r="F334" s="54" t="s">
        <v>618</v>
      </c>
      <c r="G334" s="54" t="s">
        <v>1930</v>
      </c>
      <c r="H334" s="55">
        <v>11.4</v>
      </c>
      <c r="I334" s="55">
        <v>10.4</v>
      </c>
      <c r="J334" s="55">
        <v>9.9</v>
      </c>
      <c r="K334" s="54"/>
      <c r="L334" s="56" t="b">
        <v>0</v>
      </c>
      <c r="M334" s="56" t="b">
        <v>0</v>
      </c>
      <c r="N334" s="54">
        <v>1</v>
      </c>
      <c r="O334" s="54" t="s">
        <v>228</v>
      </c>
      <c r="P334" s="54">
        <v>25</v>
      </c>
      <c r="Q334" s="54">
        <v>3</v>
      </c>
      <c r="R334" s="54">
        <v>0</v>
      </c>
      <c r="S334" s="54" t="s">
        <v>620</v>
      </c>
      <c r="T334" s="54" t="s">
        <v>2066</v>
      </c>
      <c r="U334" s="54" t="s">
        <v>622</v>
      </c>
      <c r="V334" s="54" t="s">
        <v>623</v>
      </c>
      <c r="W334" s="54" t="b">
        <v>0</v>
      </c>
      <c r="X334" s="54"/>
      <c r="Y334" s="57" t="s">
        <v>1934</v>
      </c>
      <c r="Z334" s="54" t="s">
        <v>624</v>
      </c>
      <c r="AA334" s="54"/>
      <c r="AB334" s="54" t="s">
        <v>1933</v>
      </c>
      <c r="AC334" s="56" t="b">
        <v>1</v>
      </c>
      <c r="AD334" s="56" t="b">
        <v>0</v>
      </c>
      <c r="AE334" s="54" t="s">
        <v>302</v>
      </c>
      <c r="AF334" s="58">
        <v>46310</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0.03</v>
      </c>
      <c r="BC334" s="60">
        <v>4.9000000000000004</v>
      </c>
      <c r="BD334" s="61">
        <v>6.4130000000000006E-2</v>
      </c>
      <c r="BE334" s="62" t="s">
        <v>293</v>
      </c>
      <c r="BF334" s="35">
        <f t="shared" si="0"/>
        <v>4.9000000000000004</v>
      </c>
      <c r="BG334" s="35">
        <f t="shared" si="0"/>
        <v>6.5333000000000002E-2</v>
      </c>
      <c r="BH334" s="35" t="str">
        <f t="shared" ref="BH334:BH337" si="833">IF(ISTEXT(BE334),IF(AND(AV334=0,SUM(AN334:AQ334)=0),IF(AM334&lt;=0,IF(BE334="Y","Low","Flat"),"Med"),"High"),"?")</f>
        <v>Med</v>
      </c>
      <c r="BI334" s="110">
        <f t="shared" ref="BI334:BI337" si="834">IF(ISNUMBER(AH334),0*BI$5*SIN((EDATE($A$3,$Q334)-DATE(YEAR(EDATE($A$3,$Q334)),1,0)-BI$4)*2*PI()/365),"")</f>
        <v>0</v>
      </c>
      <c r="BJ334" s="83" t="str">
        <f>VLOOKUP($F334,REP_Info!$D$6:$H$250,5,FALSE)</f>
        <v/>
      </c>
      <c r="BK334" s="30">
        <f t="shared" ref="BK334:BN337" si="835">IF(BK$7&gt;0,(LOOKUP(BK$7,$AH334:$AL334,$AM334:$AQ334)+IF($AG334="Y",SUMPRODUCT($AX334:$BB334-$AW334:$BA334,BK$7-$AR334:$AV334,N(BK$7&gt;$AR334:$AV334)),BK$7*LOOKUP(BK$7,$AR334:$AV334,$AX334:$BB334))+IF($BE334="Y",$BF334,$BC334)+BK$7*IF($BE334="Y",$BG334,$BD334))*100/BK$7,"")</f>
        <v>11.503299999999999</v>
      </c>
      <c r="BL334" s="30">
        <f t="shared" si="835"/>
        <v>10.5183</v>
      </c>
      <c r="BM334" s="30">
        <f t="shared" si="835"/>
        <v>10.0258</v>
      </c>
      <c r="BN334" s="29">
        <f t="shared" si="835"/>
        <v>9.8616333333333319</v>
      </c>
      <c r="BO334" s="85" t="str">
        <f t="shared" si="2"/>
        <v>$$$</v>
      </c>
      <c r="BP334" s="88" t="str">
        <f t="shared" ref="BP334:BP337" si="836">IFERROR(BO334*100/BO$5,"$$$")</f>
        <v>$$$</v>
      </c>
      <c r="BQ334" s="88" t="str">
        <f t="shared" si="4"/>
        <v>$$$</v>
      </c>
      <c r="BR334" s="88" t="str">
        <f t="shared" si="5"/>
        <v>$$$</v>
      </c>
      <c r="BS334" s="29" t="e">
        <f t="shared" ref="BS334:CD337" si="837">IF($CI334,IF(BS$7&gt;0,IF(BS$4&gt;$Q334,$BF334+BS$7*(BS$5+$BG334+$BI334),LOOKUP(BS$7,$AH334:$AL334,$AM334:$AQ334)+IF($AG334="Y",SUMPRODUCT($AX334:$BB334-$AW334:$BA334,BS$7-$AR334:$AV334,N(BS$7&gt;$AR334:$AV334)),BS$7*LOOKUP(BS$7,$AR334:$AV334,$AX334:$BB334))+IF($BE334="Y",$BF334,$BC334)+BS$7*IF($BE334="Y",$BG334,$BD334))*100/BS$7,""),NA())</f>
        <v>#N/A</v>
      </c>
      <c r="BT334" s="29" t="e">
        <f t="shared" si="837"/>
        <v>#N/A</v>
      </c>
      <c r="BU334" s="29" t="e">
        <f t="shared" si="837"/>
        <v>#N/A</v>
      </c>
      <c r="BV334" s="29" t="e">
        <f t="shared" si="837"/>
        <v>#N/A</v>
      </c>
      <c r="BW334" s="29" t="e">
        <f t="shared" si="837"/>
        <v>#N/A</v>
      </c>
      <c r="BX334" s="29" t="e">
        <f t="shared" si="837"/>
        <v>#N/A</v>
      </c>
      <c r="BY334" s="29" t="e">
        <f t="shared" si="837"/>
        <v>#N/A</v>
      </c>
      <c r="BZ334" s="29" t="e">
        <f t="shared" si="837"/>
        <v>#N/A</v>
      </c>
      <c r="CA334" s="29" t="e">
        <f t="shared" si="837"/>
        <v>#N/A</v>
      </c>
      <c r="CB334" s="29" t="e">
        <f t="shared" si="837"/>
        <v>#N/A</v>
      </c>
      <c r="CC334" s="29" t="e">
        <f t="shared" si="837"/>
        <v>#N/A</v>
      </c>
      <c r="CD334" s="29" t="e">
        <f t="shared" si="837"/>
        <v>#N/A</v>
      </c>
      <c r="CE334" s="6" t="str">
        <f t="shared" si="650"/>
        <v/>
      </c>
      <c r="CF334" s="27" t="e">
        <f>IF(AND(CI334,NOT(AD334)),LOOKUP(CF$5,{0,750,1500},H334:J334),"")</f>
        <v>#N/A</v>
      </c>
      <c r="CG334" s="6" t="str">
        <f t="shared" si="651"/>
        <v/>
      </c>
      <c r="CH334" t="e">
        <f t="shared" ref="CH334:CH337" si="838">IF(CI334,IF(ISNUMBER(BO334),BO334,100000)+CV334/10000+IF(ISNUMBER(BJ334),BJ334,2)/10000-P334/100000+ROW()/10000000,"")</f>
        <v>#N/A</v>
      </c>
      <c r="CI334" t="e">
        <f t="shared" ref="CI334:CI337" si="839">PRODUCT(CJ334:CQ334)</f>
        <v>#N/A</v>
      </c>
      <c r="CJ334" s="6" t="e">
        <f t="shared" si="11"/>
        <v>#N/A</v>
      </c>
      <c r="CK334" s="6">
        <f t="shared" si="12"/>
        <v>1</v>
      </c>
      <c r="CL334" s="6">
        <f t="shared" si="26"/>
        <v>1</v>
      </c>
      <c r="CM334" s="6">
        <f t="shared" si="13"/>
        <v>1</v>
      </c>
      <c r="CN334" s="6">
        <f t="shared" si="14"/>
        <v>0</v>
      </c>
      <c r="CO334" s="6">
        <f t="shared" si="15"/>
        <v>1</v>
      </c>
      <c r="CP334" s="6">
        <f t="shared" si="16"/>
        <v>1</v>
      </c>
      <c r="CQ334" s="6">
        <f t="shared" ref="CQ334:CQ337" si="840">IF(CQ$5="Any",1,IF(AND(CQ$5="Med",AV334=0,SUM(AN334:AQ334)=0),1,IF(AND(CQ$5="Low",AV334=0,SUM(AN334:AQ334)=0,AM334=0),1,IF(AND(CQ$5="Flat",AV334=0,SUM(AN334:AQ334)=0,AM334=0,IFERROR(NOT(BE334="Y"),0)),1,0))))</f>
        <v>1</v>
      </c>
      <c r="CR334" s="81" t="str">
        <f t="shared" si="17"/>
        <v/>
      </c>
      <c r="CS334">
        <f t="shared" ref="CS334:CS337" si="841">CS$5*(12/(MIN(12,Q334))-1)</f>
        <v>54</v>
      </c>
      <c r="CT334">
        <f t="shared" si="766"/>
        <v>0</v>
      </c>
      <c r="CU334" t="str">
        <f t="shared" si="29"/>
        <v/>
      </c>
      <c r="CV334" s="81">
        <f t="shared" ref="CV334:CV337" si="842">CT334*IF(CU334="",1,Q334)</f>
        <v>0</v>
      </c>
      <c r="CW334" s="81">
        <f>(CV334/25)^1.5*(Calculator!$BU$4/10000)*CW$5</f>
        <v>0</v>
      </c>
      <c r="CX334" t="str">
        <f t="shared" ref="CX334:CX337" si="843">"$"&amp;IF(LEFT(CU334,1)="r",CT334&amp;"/"&amp;CU334,CV334)</f>
        <v>$0</v>
      </c>
    </row>
    <row r="335" spans="2:102" x14ac:dyDescent="0.25">
      <c r="B335" s="115" t="s">
        <v>233</v>
      </c>
      <c r="C335" s="13">
        <v>46301.262499999997</v>
      </c>
      <c r="D335">
        <v>34473</v>
      </c>
      <c r="E335" s="54" t="s">
        <v>235</v>
      </c>
      <c r="F335" s="54" t="s">
        <v>618</v>
      </c>
      <c r="G335" s="54" t="s">
        <v>619</v>
      </c>
      <c r="H335" s="55">
        <v>15.1</v>
      </c>
      <c r="I335" s="55">
        <v>14.099999999999998</v>
      </c>
      <c r="J335" s="55">
        <v>13.600000000000001</v>
      </c>
      <c r="K335" s="54"/>
      <c r="L335" s="56" t="b">
        <v>0</v>
      </c>
      <c r="M335" s="56" t="b">
        <v>0</v>
      </c>
      <c r="N335" s="54">
        <v>1</v>
      </c>
      <c r="O335" s="54" t="s">
        <v>228</v>
      </c>
      <c r="P335" s="54">
        <v>100</v>
      </c>
      <c r="Q335" s="54">
        <v>12</v>
      </c>
      <c r="R335" s="54">
        <v>200</v>
      </c>
      <c r="S335" s="54" t="s">
        <v>620</v>
      </c>
      <c r="T335" s="54" t="s">
        <v>621</v>
      </c>
      <c r="U335" s="54" t="s">
        <v>622</v>
      </c>
      <c r="V335" s="54" t="s">
        <v>623</v>
      </c>
      <c r="W335" s="54" t="b">
        <v>0</v>
      </c>
      <c r="X335" s="54"/>
      <c r="Y335" s="57" t="s">
        <v>1935</v>
      </c>
      <c r="Z335" s="54" t="s">
        <v>624</v>
      </c>
      <c r="AA335" s="54"/>
      <c r="AB335" s="54" t="s">
        <v>625</v>
      </c>
      <c r="AC335" s="56" t="b">
        <v>1</v>
      </c>
      <c r="AD335" s="56" t="b">
        <v>0</v>
      </c>
      <c r="AE335" s="54" t="s">
        <v>302</v>
      </c>
      <c r="AF335" s="58">
        <v>46266</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6.7400000000000002E-2</v>
      </c>
      <c r="BC335" s="60">
        <v>4.9000000000000004</v>
      </c>
      <c r="BD335" s="61">
        <v>6.4130000000000006E-2</v>
      </c>
      <c r="BE335" s="62" t="s">
        <v>293</v>
      </c>
      <c r="BF335" s="35">
        <f t="shared" si="0"/>
        <v>4.9000000000000004</v>
      </c>
      <c r="BG335" s="35">
        <f t="shared" si="0"/>
        <v>6.5333000000000002E-2</v>
      </c>
      <c r="BH335" s="35" t="str">
        <f t="shared" si="833"/>
        <v>Med</v>
      </c>
      <c r="BI335" s="110">
        <f t="shared" si="834"/>
        <v>0</v>
      </c>
      <c r="BJ335" s="83" t="str">
        <f>VLOOKUP($F335,REP_Info!$D$6:$H$250,5,FALSE)</f>
        <v/>
      </c>
      <c r="BK335" s="30">
        <f t="shared" si="835"/>
        <v>15.2433</v>
      </c>
      <c r="BL335" s="30">
        <f t="shared" si="835"/>
        <v>14.258300000000004</v>
      </c>
      <c r="BM335" s="30">
        <f t="shared" si="835"/>
        <v>13.7658</v>
      </c>
      <c r="BN335" s="29">
        <f t="shared" si="835"/>
        <v>13.601633333333332</v>
      </c>
      <c r="BO335" s="85" t="str">
        <f t="shared" si="2"/>
        <v>$$$</v>
      </c>
      <c r="BP335" s="88" t="str">
        <f t="shared" si="836"/>
        <v>$$$</v>
      </c>
      <c r="BQ335" s="88" t="str">
        <f t="shared" si="4"/>
        <v>$$$</v>
      </c>
      <c r="BR335" s="88" t="str">
        <f t="shared" si="5"/>
        <v>$$$</v>
      </c>
      <c r="BS335" s="29" t="e">
        <f t="shared" si="837"/>
        <v>#N/A</v>
      </c>
      <c r="BT335" s="29" t="e">
        <f t="shared" si="837"/>
        <v>#N/A</v>
      </c>
      <c r="BU335" s="29" t="e">
        <f t="shared" si="837"/>
        <v>#N/A</v>
      </c>
      <c r="BV335" s="29" t="e">
        <f t="shared" si="837"/>
        <v>#N/A</v>
      </c>
      <c r="BW335" s="29" t="e">
        <f t="shared" si="837"/>
        <v>#N/A</v>
      </c>
      <c r="BX335" s="29" t="e">
        <f t="shared" si="837"/>
        <v>#N/A</v>
      </c>
      <c r="BY335" s="29" t="e">
        <f t="shared" si="837"/>
        <v>#N/A</v>
      </c>
      <c r="BZ335" s="29" t="e">
        <f t="shared" si="837"/>
        <v>#N/A</v>
      </c>
      <c r="CA335" s="29" t="e">
        <f t="shared" si="837"/>
        <v>#N/A</v>
      </c>
      <c r="CB335" s="29" t="e">
        <f t="shared" si="837"/>
        <v>#N/A</v>
      </c>
      <c r="CC335" s="29" t="e">
        <f t="shared" si="837"/>
        <v>#N/A</v>
      </c>
      <c r="CD335" s="29" t="e">
        <f t="shared" si="837"/>
        <v>#N/A</v>
      </c>
      <c r="CE335" s="6" t="str">
        <f t="shared" si="650"/>
        <v/>
      </c>
      <c r="CF335" s="27" t="e">
        <f>IF(AND(CI335,NOT(AD335)),LOOKUP(CF$5,{0,750,1500},H335:J335),"")</f>
        <v>#N/A</v>
      </c>
      <c r="CG335" s="6" t="str">
        <f t="shared" si="651"/>
        <v/>
      </c>
      <c r="CH335" t="e">
        <f t="shared" si="838"/>
        <v>#N/A</v>
      </c>
      <c r="CI335" t="e">
        <f t="shared" si="839"/>
        <v>#N/A</v>
      </c>
      <c r="CJ335" s="6" t="e">
        <f t="shared" si="11"/>
        <v>#N/A</v>
      </c>
      <c r="CK335" s="6">
        <f t="shared" si="12"/>
        <v>1</v>
      </c>
      <c r="CL335" s="6">
        <f t="shared" si="26"/>
        <v>1</v>
      </c>
      <c r="CM335" s="6">
        <f t="shared" si="13"/>
        <v>1</v>
      </c>
      <c r="CN335" s="6">
        <f t="shared" si="14"/>
        <v>1</v>
      </c>
      <c r="CO335" s="6">
        <f t="shared" si="15"/>
        <v>1</v>
      </c>
      <c r="CP335" s="6">
        <f t="shared" si="16"/>
        <v>1</v>
      </c>
      <c r="CQ335" s="6">
        <f t="shared" si="840"/>
        <v>1</v>
      </c>
      <c r="CR335" s="81" t="str">
        <f t="shared" si="17"/>
        <v/>
      </c>
      <c r="CS335">
        <f t="shared" si="841"/>
        <v>0</v>
      </c>
      <c r="CT335">
        <f t="shared" si="766"/>
        <v>200</v>
      </c>
      <c r="CU335" t="str">
        <f t="shared" si="29"/>
        <v/>
      </c>
      <c r="CV335" s="81">
        <f t="shared" si="842"/>
        <v>200</v>
      </c>
      <c r="CW335" s="81">
        <f>(CV335/25)^1.5*(Calculator!$BU$4/10000)*CW$5</f>
        <v>11.767523974296054</v>
      </c>
      <c r="CX335" t="str">
        <f t="shared" si="843"/>
        <v>$200</v>
      </c>
    </row>
    <row r="336" spans="2:102" x14ac:dyDescent="0.25">
      <c r="B336" s="115" t="s">
        <v>233</v>
      </c>
      <c r="C336" s="13">
        <v>46301.262499999997</v>
      </c>
      <c r="D336">
        <v>34475</v>
      </c>
      <c r="E336" s="54" t="s">
        <v>237</v>
      </c>
      <c r="F336" s="54" t="s">
        <v>618</v>
      </c>
      <c r="G336" s="54" t="s">
        <v>619</v>
      </c>
      <c r="H336" s="55">
        <v>15.299999999999999</v>
      </c>
      <c r="I336" s="55">
        <v>14.399999999999999</v>
      </c>
      <c r="J336" s="55">
        <v>14.000000000000002</v>
      </c>
      <c r="K336" s="54"/>
      <c r="L336" s="56" t="b">
        <v>0</v>
      </c>
      <c r="M336" s="56" t="b">
        <v>0</v>
      </c>
      <c r="N336" s="54">
        <v>1</v>
      </c>
      <c r="O336" s="54" t="s">
        <v>228</v>
      </c>
      <c r="P336" s="54">
        <v>100</v>
      </c>
      <c r="Q336" s="54">
        <v>12</v>
      </c>
      <c r="R336" s="54">
        <v>200</v>
      </c>
      <c r="S336" s="54" t="s">
        <v>620</v>
      </c>
      <c r="T336" s="54" t="s">
        <v>621</v>
      </c>
      <c r="U336" s="54" t="s">
        <v>622</v>
      </c>
      <c r="V336" s="54" t="s">
        <v>623</v>
      </c>
      <c r="W336" s="54" t="b">
        <v>0</v>
      </c>
      <c r="X336" s="54"/>
      <c r="Y336" s="57" t="s">
        <v>1936</v>
      </c>
      <c r="Z336" s="54" t="s">
        <v>624</v>
      </c>
      <c r="AA336" s="54"/>
      <c r="AB336" s="54" t="s">
        <v>625</v>
      </c>
      <c r="AC336" s="56" t="b">
        <v>1</v>
      </c>
      <c r="AD336" s="56" t="b">
        <v>0</v>
      </c>
      <c r="AE336" s="54" t="s">
        <v>302</v>
      </c>
      <c r="AF336" s="58">
        <v>46300</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6.6400000000000001E-2</v>
      </c>
      <c r="BC336" s="60">
        <v>4.0599999999999996</v>
      </c>
      <c r="BD336" s="61">
        <v>6.8672999999999998E-2</v>
      </c>
      <c r="BE336" s="62" t="s">
        <v>293</v>
      </c>
      <c r="BF336" s="35">
        <f t="shared" si="0"/>
        <v>4.0600000000000005</v>
      </c>
      <c r="BG336" s="35">
        <f t="shared" si="0"/>
        <v>6.8672999999999998E-2</v>
      </c>
      <c r="BH336" s="35" t="str">
        <f t="shared" si="833"/>
        <v>Med</v>
      </c>
      <c r="BI336" s="110">
        <f t="shared" si="834"/>
        <v>0</v>
      </c>
      <c r="BJ336" s="83" t="str">
        <f>VLOOKUP($F336,REP_Info!$D$6:$H$250,5,FALSE)</f>
        <v/>
      </c>
      <c r="BK336" s="30">
        <f t="shared" si="835"/>
        <v>15.3093</v>
      </c>
      <c r="BL336" s="30">
        <f t="shared" si="835"/>
        <v>14.408300000000002</v>
      </c>
      <c r="BM336" s="30">
        <f t="shared" si="835"/>
        <v>13.957800000000001</v>
      </c>
      <c r="BN336" s="29">
        <f t="shared" si="835"/>
        <v>13.807633333333333</v>
      </c>
      <c r="BO336" s="85" t="str">
        <f t="shared" si="2"/>
        <v>$$$</v>
      </c>
      <c r="BP336" s="88" t="str">
        <f t="shared" si="836"/>
        <v>$$$</v>
      </c>
      <c r="BQ336" s="88" t="str">
        <f t="shared" si="4"/>
        <v>$$$</v>
      </c>
      <c r="BR336" s="88" t="str">
        <f t="shared" si="5"/>
        <v>$$$</v>
      </c>
      <c r="BS336" s="29" t="e">
        <f t="shared" si="837"/>
        <v>#N/A</v>
      </c>
      <c r="BT336" s="29" t="e">
        <f t="shared" si="837"/>
        <v>#N/A</v>
      </c>
      <c r="BU336" s="29" t="e">
        <f t="shared" si="837"/>
        <v>#N/A</v>
      </c>
      <c r="BV336" s="29" t="e">
        <f t="shared" si="837"/>
        <v>#N/A</v>
      </c>
      <c r="BW336" s="29" t="e">
        <f t="shared" si="837"/>
        <v>#N/A</v>
      </c>
      <c r="BX336" s="29" t="e">
        <f t="shared" si="837"/>
        <v>#N/A</v>
      </c>
      <c r="BY336" s="29" t="e">
        <f t="shared" si="837"/>
        <v>#N/A</v>
      </c>
      <c r="BZ336" s="29" t="e">
        <f t="shared" si="837"/>
        <v>#N/A</v>
      </c>
      <c r="CA336" s="29" t="e">
        <f t="shared" si="837"/>
        <v>#N/A</v>
      </c>
      <c r="CB336" s="29" t="e">
        <f t="shared" si="837"/>
        <v>#N/A</v>
      </c>
      <c r="CC336" s="29" t="e">
        <f t="shared" si="837"/>
        <v>#N/A</v>
      </c>
      <c r="CD336" s="29" t="e">
        <f t="shared" si="837"/>
        <v>#N/A</v>
      </c>
      <c r="CE336" s="6" t="str">
        <f t="shared" si="650"/>
        <v/>
      </c>
      <c r="CF336" s="27" t="e">
        <f>IF(AND(CI336,NOT(AD336)),LOOKUP(CF$5,{0,750,1500},H336:J336),"")</f>
        <v>#N/A</v>
      </c>
      <c r="CG336" s="6" t="str">
        <f t="shared" si="651"/>
        <v/>
      </c>
      <c r="CH336" t="e">
        <f t="shared" si="838"/>
        <v>#N/A</v>
      </c>
      <c r="CI336" t="e">
        <f t="shared" si="839"/>
        <v>#N/A</v>
      </c>
      <c r="CJ336" s="6" t="e">
        <f t="shared" si="11"/>
        <v>#N/A</v>
      </c>
      <c r="CK336" s="6">
        <f t="shared" si="12"/>
        <v>1</v>
      </c>
      <c r="CL336" s="6">
        <f t="shared" si="26"/>
        <v>1</v>
      </c>
      <c r="CM336" s="6">
        <f t="shared" si="13"/>
        <v>1</v>
      </c>
      <c r="CN336" s="6">
        <f t="shared" si="14"/>
        <v>1</v>
      </c>
      <c r="CO336" s="6">
        <f t="shared" si="15"/>
        <v>1</v>
      </c>
      <c r="CP336" s="6">
        <f t="shared" si="16"/>
        <v>1</v>
      </c>
      <c r="CQ336" s="6">
        <f t="shared" si="840"/>
        <v>1</v>
      </c>
      <c r="CR336" s="81" t="str">
        <f t="shared" si="17"/>
        <v/>
      </c>
      <c r="CS336">
        <f t="shared" si="841"/>
        <v>0</v>
      </c>
      <c r="CT336">
        <f t="shared" si="766"/>
        <v>200</v>
      </c>
      <c r="CU336" t="str">
        <f t="shared" si="29"/>
        <v/>
      </c>
      <c r="CV336" s="81">
        <f t="shared" si="842"/>
        <v>200</v>
      </c>
      <c r="CW336" s="81">
        <f>(CV336/25)^1.5*(Calculator!$BU$4/10000)*CW$5</f>
        <v>11.767523974296054</v>
      </c>
      <c r="CX336" t="str">
        <f t="shared" si="843"/>
        <v>$200</v>
      </c>
    </row>
    <row r="337" spans="2:102" x14ac:dyDescent="0.25">
      <c r="B337" s="115" t="s">
        <v>233</v>
      </c>
      <c r="C337" s="13">
        <v>46301.262499999997</v>
      </c>
      <c r="D337">
        <v>34489</v>
      </c>
      <c r="E337" s="54" t="s">
        <v>235</v>
      </c>
      <c r="F337" s="54" t="s">
        <v>618</v>
      </c>
      <c r="G337" s="54" t="s">
        <v>626</v>
      </c>
      <c r="H337" s="55">
        <v>15.7</v>
      </c>
      <c r="I337" s="55">
        <v>14.799999999999999</v>
      </c>
      <c r="J337" s="55">
        <v>14.299999999999999</v>
      </c>
      <c r="K337" s="54"/>
      <c r="L337" s="56" t="b">
        <v>0</v>
      </c>
      <c r="M337" s="56" t="b">
        <v>0</v>
      </c>
      <c r="N337" s="54">
        <v>1</v>
      </c>
      <c r="O337" s="54" t="s">
        <v>228</v>
      </c>
      <c r="P337" s="54">
        <v>100</v>
      </c>
      <c r="Q337" s="54">
        <v>24</v>
      </c>
      <c r="R337" s="54">
        <v>200</v>
      </c>
      <c r="S337" s="54" t="s">
        <v>620</v>
      </c>
      <c r="T337" s="54" t="s">
        <v>627</v>
      </c>
      <c r="U337" s="54" t="s">
        <v>622</v>
      </c>
      <c r="V337" s="54" t="s">
        <v>623</v>
      </c>
      <c r="W337" s="54" t="b">
        <v>0</v>
      </c>
      <c r="X337" s="54"/>
      <c r="Y337" s="57" t="s">
        <v>1937</v>
      </c>
      <c r="Z337" s="54" t="s">
        <v>624</v>
      </c>
      <c r="AA337" s="54"/>
      <c r="AB337" s="54" t="s">
        <v>625</v>
      </c>
      <c r="AC337" s="56" t="b">
        <v>1</v>
      </c>
      <c r="AD337" s="56" t="b">
        <v>0</v>
      </c>
      <c r="AE337" s="54" t="s">
        <v>302</v>
      </c>
      <c r="AF337" s="58">
        <v>46266</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7.3599999999999999E-2</v>
      </c>
      <c r="BC337" s="60">
        <v>4.9000000000000004</v>
      </c>
      <c r="BD337" s="61">
        <v>6.4130000000000006E-2</v>
      </c>
      <c r="BE337" s="62" t="s">
        <v>293</v>
      </c>
      <c r="BF337" s="35">
        <f t="shared" si="0"/>
        <v>4.9000000000000004</v>
      </c>
      <c r="BG337" s="35">
        <f t="shared" si="0"/>
        <v>6.5333000000000002E-2</v>
      </c>
      <c r="BH337" s="35" t="str">
        <f t="shared" si="833"/>
        <v>Med</v>
      </c>
      <c r="BI337" s="110">
        <f t="shared" si="834"/>
        <v>0</v>
      </c>
      <c r="BJ337" s="83" t="str">
        <f>VLOOKUP($F337,REP_Info!$D$6:$H$250,5,FALSE)</f>
        <v/>
      </c>
      <c r="BK337" s="30">
        <f t="shared" si="835"/>
        <v>15.863299999999997</v>
      </c>
      <c r="BL337" s="30">
        <f t="shared" si="835"/>
        <v>14.878300000000001</v>
      </c>
      <c r="BM337" s="30">
        <f t="shared" si="835"/>
        <v>14.385800000000001</v>
      </c>
      <c r="BN337" s="29">
        <f t="shared" si="835"/>
        <v>14.221633333333333</v>
      </c>
      <c r="BO337" s="85" t="str">
        <f t="shared" si="2"/>
        <v>$$$</v>
      </c>
      <c r="BP337" s="88" t="str">
        <f t="shared" si="836"/>
        <v>$$$</v>
      </c>
      <c r="BQ337" s="88" t="str">
        <f t="shared" si="4"/>
        <v>$$$</v>
      </c>
      <c r="BR337" s="88" t="str">
        <f t="shared" si="5"/>
        <v>$$$</v>
      </c>
      <c r="BS337" s="29" t="e">
        <f t="shared" si="837"/>
        <v>#N/A</v>
      </c>
      <c r="BT337" s="29" t="e">
        <f t="shared" si="837"/>
        <v>#N/A</v>
      </c>
      <c r="BU337" s="29" t="e">
        <f t="shared" si="837"/>
        <v>#N/A</v>
      </c>
      <c r="BV337" s="29" t="e">
        <f t="shared" si="837"/>
        <v>#N/A</v>
      </c>
      <c r="BW337" s="29" t="e">
        <f t="shared" si="837"/>
        <v>#N/A</v>
      </c>
      <c r="BX337" s="29" t="e">
        <f t="shared" si="837"/>
        <v>#N/A</v>
      </c>
      <c r="BY337" s="29" t="e">
        <f t="shared" si="837"/>
        <v>#N/A</v>
      </c>
      <c r="BZ337" s="29" t="e">
        <f t="shared" si="837"/>
        <v>#N/A</v>
      </c>
      <c r="CA337" s="29" t="e">
        <f t="shared" si="837"/>
        <v>#N/A</v>
      </c>
      <c r="CB337" s="29" t="e">
        <f t="shared" si="837"/>
        <v>#N/A</v>
      </c>
      <c r="CC337" s="29" t="e">
        <f t="shared" si="837"/>
        <v>#N/A</v>
      </c>
      <c r="CD337" s="29" t="e">
        <f t="shared" si="837"/>
        <v>#N/A</v>
      </c>
      <c r="CE337" s="6" t="str">
        <f t="shared" ref="CE337:CE360" si="844">IF(ISNUMBER(CF337),RANK($CF337,$CF$8:$CF$360,1),"")</f>
        <v/>
      </c>
      <c r="CF337" s="27" t="e">
        <f>IF(AND(CI337,NOT(AD337)),LOOKUP(CF$5,{0,750,1500},H337:J337),"")</f>
        <v>#N/A</v>
      </c>
      <c r="CG337" s="6" t="str">
        <f t="shared" ref="CG337:CG360" si="845">IF(ISNUMBER(CH337),RANK($CH337,$CH$8:$CH$360,1),"")</f>
        <v/>
      </c>
      <c r="CH337" t="e">
        <f t="shared" si="838"/>
        <v>#N/A</v>
      </c>
      <c r="CI337" t="e">
        <f t="shared" si="839"/>
        <v>#N/A</v>
      </c>
      <c r="CJ337" s="6" t="e">
        <f t="shared" si="11"/>
        <v>#N/A</v>
      </c>
      <c r="CK337" s="6">
        <f t="shared" si="12"/>
        <v>1</v>
      </c>
      <c r="CL337" s="6">
        <f t="shared" si="26"/>
        <v>1</v>
      </c>
      <c r="CM337" s="6">
        <f t="shared" si="13"/>
        <v>1</v>
      </c>
      <c r="CN337" s="6">
        <f t="shared" si="14"/>
        <v>1</v>
      </c>
      <c r="CO337" s="6">
        <f t="shared" si="15"/>
        <v>0</v>
      </c>
      <c r="CP337" s="6">
        <f t="shared" si="16"/>
        <v>1</v>
      </c>
      <c r="CQ337" s="6">
        <f t="shared" si="840"/>
        <v>1</v>
      </c>
      <c r="CR337" s="81" t="str">
        <f t="shared" si="17"/>
        <v/>
      </c>
      <c r="CS337">
        <f t="shared" si="841"/>
        <v>0</v>
      </c>
      <c r="CT337">
        <f t="shared" si="766"/>
        <v>200</v>
      </c>
      <c r="CU337" t="str">
        <f t="shared" si="29"/>
        <v/>
      </c>
      <c r="CV337" s="81">
        <f t="shared" si="842"/>
        <v>200</v>
      </c>
      <c r="CW337" s="81">
        <f>(CV337/25)^1.5*(Calculator!$BU$4/10000)*CW$5</f>
        <v>11.767523974296054</v>
      </c>
      <c r="CX337" t="str">
        <f t="shared" si="843"/>
        <v>$200</v>
      </c>
    </row>
    <row r="338" spans="2:102" x14ac:dyDescent="0.25">
      <c r="B338" s="115" t="s">
        <v>233</v>
      </c>
      <c r="C338" s="13">
        <v>46301.262499999997</v>
      </c>
      <c r="D338">
        <v>34491</v>
      </c>
      <c r="E338" s="54" t="s">
        <v>237</v>
      </c>
      <c r="F338" s="54" t="s">
        <v>618</v>
      </c>
      <c r="G338" s="54" t="s">
        <v>626</v>
      </c>
      <c r="H338" s="55">
        <v>16</v>
      </c>
      <c r="I338" s="55">
        <v>15.1</v>
      </c>
      <c r="J338" s="55">
        <v>14.6</v>
      </c>
      <c r="K338" s="54"/>
      <c r="L338" s="56" t="b">
        <v>0</v>
      </c>
      <c r="M338" s="56" t="b">
        <v>0</v>
      </c>
      <c r="N338" s="54">
        <v>1</v>
      </c>
      <c r="O338" s="54" t="s">
        <v>228</v>
      </c>
      <c r="P338" s="54">
        <v>100</v>
      </c>
      <c r="Q338" s="54">
        <v>24</v>
      </c>
      <c r="R338" s="54">
        <v>200</v>
      </c>
      <c r="S338" s="54" t="s">
        <v>620</v>
      </c>
      <c r="T338" s="54" t="s">
        <v>627</v>
      </c>
      <c r="U338" s="54" t="s">
        <v>622</v>
      </c>
      <c r="V338" s="54" t="s">
        <v>623</v>
      </c>
      <c r="W338" s="54" t="b">
        <v>0</v>
      </c>
      <c r="X338" s="54"/>
      <c r="Y338" s="57" t="s">
        <v>1938</v>
      </c>
      <c r="Z338" s="54" t="s">
        <v>624</v>
      </c>
      <c r="AA338" s="54"/>
      <c r="AB338" s="54" t="s">
        <v>625</v>
      </c>
      <c r="AC338" s="56" t="b">
        <v>1</v>
      </c>
      <c r="AD338" s="56" t="b">
        <v>0</v>
      </c>
      <c r="AE338" s="54" t="s">
        <v>302</v>
      </c>
      <c r="AF338" s="58">
        <v>46300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7.2999999999999995E-2</v>
      </c>
      <c r="BC338" s="60">
        <v>4.0599999999999996</v>
      </c>
      <c r="BD338" s="61">
        <v>6.8672999999999998E-2</v>
      </c>
      <c r="BE338" s="62" t="s">
        <v>293</v>
      </c>
      <c r="BF338" s="35">
        <f t="shared" ref="BF338:BG339" si="846">IF($E338=$E$4,BF$4,IF($E338=$E$5,BF$5,""))</f>
        <v>4.0600000000000005</v>
      </c>
      <c r="BG338" s="35">
        <f t="shared" si="846"/>
        <v>6.8672999999999998E-2</v>
      </c>
      <c r="BH338" s="35" t="str">
        <f t="shared" ref="BH338:BH339" si="847">IF(ISTEXT(BE338),IF(AND(AV338=0,SUM(AN338:AQ338)=0),IF(AM338&lt;=0,IF(BE338="Y","Low","Flat"),"Med"),"High"),"?")</f>
        <v>Med</v>
      </c>
      <c r="BI338" s="110">
        <f t="shared" ref="BI338:BI339" si="848">IF(ISNUMBER(AH338),0*BI$5*SIN((EDATE($A$3,$Q338)-DATE(YEAR(EDATE($A$3,$Q338)),1,0)-BI$4)*2*PI()/365),"")</f>
        <v>0</v>
      </c>
      <c r="BJ338" s="83" t="str">
        <f>VLOOKUP($F338,REP_Info!$D$6:$H$250,5,FALSE)</f>
        <v/>
      </c>
      <c r="BK338" s="30">
        <f t="shared" ref="BK338:BN339" si="849">IF(BK$7&gt;0,(LOOKUP(BK$7,$AH338:$AL338,$AM338:$AQ338)+IF($AG338="Y",SUMPRODUCT($AX338:$BB338-$AW338:$BA338,BK$7-$AR338:$AV338,N(BK$7&gt;$AR338:$AV338)),BK$7*LOOKUP(BK$7,$AR338:$AV338,$AX338:$BB338))+IF($BE338="Y",$BF338,$BC338)+BK$7*IF($BE338="Y",$BG338,$BD338))*100/BK$7,"")</f>
        <v>15.9693</v>
      </c>
      <c r="BL338" s="30">
        <f t="shared" si="849"/>
        <v>15.068299999999999</v>
      </c>
      <c r="BM338" s="30">
        <f t="shared" si="849"/>
        <v>14.617799999999999</v>
      </c>
      <c r="BN338" s="29">
        <f t="shared" si="849"/>
        <v>14.467633333333334</v>
      </c>
      <c r="BO338" s="85" t="str">
        <f t="shared" ref="BO338:BO339" si="850">IFERROR(SUMPRODUCT($BS$7:$CD$7,$BS338:$CD338)/100,"$$$")</f>
        <v>$$$</v>
      </c>
      <c r="BP338" s="88" t="str">
        <f t="shared" ref="BP338:BP339" si="851">IFERROR(BO338*100/BO$5,"$$$")</f>
        <v>$$$</v>
      </c>
      <c r="BQ338" s="88" t="str">
        <f t="shared" ref="BQ338:BQ339" si="852">IFERROR(SUMPRODUCT($BS$7:$CD$7,$BS338:$CD338,--($BS$4:$CD$4&lt;=$Q338))/SUMPRODUCT(--($BS$4:$CD$4&lt;=$Q338),$BS$7:$CD$7),"$$$")</f>
        <v>$$$</v>
      </c>
      <c r="BR338" s="88" t="str">
        <f t="shared" ref="BR338:BR339" si="853">IFERROR($BQ338-$BF338*100*SUMPRODUCT(--($BS$4:$CD$4&lt;=$Q338))/SUMPRODUCT(--($BS$4:$CD$4&lt;=$Q338),$BS$7:$CD$7)-$BG338*100,"$$$")</f>
        <v>$$$</v>
      </c>
      <c r="BS338" s="29" t="e">
        <f t="shared" ref="BS338:CD339" si="854">IF($CI338,IF(BS$7&gt;0,IF(BS$4&gt;$Q338,$BF338+BS$7*(BS$5+$BG338+$BI338),LOOKUP(BS$7,$AH338:$AL338,$AM338:$AQ338)+IF($AG338="Y",SUMPRODUCT($AX338:$BB338-$AW338:$BA338,BS$7-$AR338:$AV338,N(BS$7&gt;$AR338:$AV338)),BS$7*LOOKUP(BS$7,$AR338:$AV338,$AX338:$BB338))+IF($BE338="Y",$BF338,$BC338)+BS$7*IF($BE338="Y",$BG338,$BD338))*100/BS$7,""),NA())</f>
        <v>#N/A</v>
      </c>
      <c r="BT338" s="29" t="e">
        <f t="shared" si="854"/>
        <v>#N/A</v>
      </c>
      <c r="BU338" s="29" t="e">
        <f t="shared" si="854"/>
        <v>#N/A</v>
      </c>
      <c r="BV338" s="29" t="e">
        <f t="shared" si="854"/>
        <v>#N/A</v>
      </c>
      <c r="BW338" s="29" t="e">
        <f t="shared" si="854"/>
        <v>#N/A</v>
      </c>
      <c r="BX338" s="29" t="e">
        <f t="shared" si="854"/>
        <v>#N/A</v>
      </c>
      <c r="BY338" s="29" t="e">
        <f t="shared" si="854"/>
        <v>#N/A</v>
      </c>
      <c r="BZ338" s="29" t="e">
        <f t="shared" si="854"/>
        <v>#N/A</v>
      </c>
      <c r="CA338" s="29" t="e">
        <f t="shared" si="854"/>
        <v>#N/A</v>
      </c>
      <c r="CB338" s="29" t="e">
        <f t="shared" si="854"/>
        <v>#N/A</v>
      </c>
      <c r="CC338" s="29" t="e">
        <f t="shared" si="854"/>
        <v>#N/A</v>
      </c>
      <c r="CD338" s="29" t="e">
        <f t="shared" si="854"/>
        <v>#N/A</v>
      </c>
      <c r="CE338" s="6" t="str">
        <f t="shared" si="844"/>
        <v/>
      </c>
      <c r="CF338" s="27" t="e">
        <f>IF(AND(CI338,NOT(AD338)),LOOKUP(CF$5,{0,750,1500},H338:J338),"")</f>
        <v>#N/A</v>
      </c>
      <c r="CG338" s="6" t="str">
        <f t="shared" si="845"/>
        <v/>
      </c>
      <c r="CH338" t="e">
        <f t="shared" ref="CH338:CH339" si="855">IF(CI338,IF(ISNUMBER(BO338),BO338,100000)+CV338/10000+IF(ISNUMBER(BJ338),BJ338,2)/10000-P338/100000+ROW()/10000000,"")</f>
        <v>#N/A</v>
      </c>
      <c r="CI338" t="e">
        <f t="shared" ref="CI338:CI339" si="856">PRODUCT(CJ338:CQ338)</f>
        <v>#N/A</v>
      </c>
      <c r="CJ338" s="6" t="e">
        <f t="shared" ref="CJ338:CJ339" si="857">IF($E338=CJ$5,1,0)</f>
        <v>#N/A</v>
      </c>
      <c r="CK338" s="6">
        <f t="shared" ref="CK338:CK339" si="858">IF(CK$5="[Any]",1,IF($F338=CK$5,1,0))</f>
        <v>1</v>
      </c>
      <c r="CL338" s="6">
        <f t="shared" si="26"/>
        <v>1</v>
      </c>
      <c r="CM338" s="6">
        <f t="shared" ref="CM338:CM339" si="859">IF($O338="Fixed",1,0)</f>
        <v>1</v>
      </c>
      <c r="CN338" s="6">
        <f t="shared" ref="CN338:CN339" si="860">IF($Q338&gt;=CN$5,1,0)</f>
        <v>1</v>
      </c>
      <c r="CO338" s="6">
        <f t="shared" ref="CO338:CO339" si="861">IF($Q338&lt;=CO$5,1,0)</f>
        <v>0</v>
      </c>
      <c r="CP338" s="6">
        <f t="shared" ref="CP338:CP339" si="862">IF($P338&gt;=CP$5,1,0)</f>
        <v>1</v>
      </c>
      <c r="CQ338" s="6">
        <f t="shared" ref="CQ338:CQ339" si="863">IF(CQ$5="Any",1,IF(AND(CQ$5="Med",AV338=0,SUM(AN338:AQ338)=0),1,IF(AND(CQ$5="Low",AV338=0,SUM(AN338:AQ338)=0,AM338=0),1,IF(AND(CQ$5="Flat",AV338=0,SUM(AN338:AQ338)=0,AM338=0,IFERROR(NOT(BE338="Y"),0)),1,0))))</f>
        <v>1</v>
      </c>
      <c r="CR338" s="81" t="str">
        <f t="shared" ref="CR338:CR339" si="864">IF(ISNUMBER($CH338),$CH338+$CS338+$CW338,"")</f>
        <v/>
      </c>
      <c r="CS338">
        <f t="shared" ref="CS338:CS339" si="865">CS$5*(12/(MIN(12,Q338))-1)</f>
        <v>0</v>
      </c>
      <c r="CT338">
        <f t="shared" si="766"/>
        <v>200</v>
      </c>
      <c r="CU338" t="str">
        <f t="shared" si="29"/>
        <v/>
      </c>
      <c r="CV338" s="81">
        <f t="shared" ref="CV338:CV339" si="866">CT338*IF(CU338="",1,Q338)</f>
        <v>200</v>
      </c>
      <c r="CW338" s="81">
        <f>(CV338/25)^1.5*(Calculator!$BU$4/10000)*CW$5</f>
        <v>11.767523974296054</v>
      </c>
      <c r="CX338" t="str">
        <f t="shared" ref="CX338:CX339" si="867">"$"&amp;IF(LEFT(CU338,1)="r",CT338&amp;"/"&amp;CU338,CV338)</f>
        <v>$200</v>
      </c>
    </row>
    <row r="339" spans="2:102" x14ac:dyDescent="0.25">
      <c r="B339" s="115" t="s">
        <v>233</v>
      </c>
      <c r="C339" s="13">
        <v>46314.470138888886</v>
      </c>
      <c r="D339">
        <v>31494</v>
      </c>
      <c r="E339" s="54" t="s">
        <v>237</v>
      </c>
      <c r="F339" s="54" t="s">
        <v>628</v>
      </c>
      <c r="G339" s="54" t="s">
        <v>633</v>
      </c>
      <c r="H339" s="55">
        <v>15.7</v>
      </c>
      <c r="I339" s="55">
        <v>15.2</v>
      </c>
      <c r="J339" s="55">
        <v>14.899999999999999</v>
      </c>
      <c r="K339" s="54"/>
      <c r="L339" s="56" t="b">
        <v>0</v>
      </c>
      <c r="M339" s="56" t="b">
        <v>0</v>
      </c>
      <c r="N339" s="54">
        <v>1</v>
      </c>
      <c r="O339" s="54" t="s">
        <v>228</v>
      </c>
      <c r="P339" s="54">
        <v>3</v>
      </c>
      <c r="Q339" s="54">
        <v>12</v>
      </c>
      <c r="R339" s="54" t="s">
        <v>629</v>
      </c>
      <c r="S339" s="54" t="s">
        <v>630</v>
      </c>
      <c r="T339" s="54" t="s">
        <v>2091</v>
      </c>
      <c r="U339" s="54" t="s">
        <v>634</v>
      </c>
      <c r="V339" s="54" t="s">
        <v>635</v>
      </c>
      <c r="W339" s="54" t="b">
        <v>0</v>
      </c>
      <c r="X339" s="54"/>
      <c r="Y339" s="57" t="s">
        <v>636</v>
      </c>
      <c r="Z339" s="54" t="s">
        <v>631</v>
      </c>
      <c r="AA339" s="54"/>
      <c r="AB339" s="54" t="s">
        <v>632</v>
      </c>
      <c r="AC339" s="56" t="b">
        <v>0</v>
      </c>
      <c r="AD339" s="56" t="b">
        <v>0</v>
      </c>
      <c r="AE339" s="54" t="s">
        <v>302</v>
      </c>
      <c r="AF339" s="58">
        <v>46314</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0.14699999999999999</v>
      </c>
      <c r="BC339" s="60"/>
      <c r="BD339" s="61"/>
      <c r="BE339" s="62" t="e">
        <v>#N/A</v>
      </c>
      <c r="BF339" s="35">
        <f t="shared" si="846"/>
        <v>4.0600000000000005</v>
      </c>
      <c r="BG339" s="35">
        <f t="shared" si="846"/>
        <v>6.8672999999999998E-2</v>
      </c>
      <c r="BH339" s="35" t="str">
        <f t="shared" si="847"/>
        <v>?</v>
      </c>
      <c r="BI339" s="110">
        <f t="shared" si="848"/>
        <v>0</v>
      </c>
      <c r="BJ339" s="83">
        <f>VLOOKUP($F339,REP_Info!$D$6:$H$250,5,FALSE)</f>
        <v>1.272</v>
      </c>
      <c r="BK339" s="30" t="e">
        <f t="shared" si="849"/>
        <v>#N/A</v>
      </c>
      <c r="BL339" s="30" t="e">
        <f t="shared" si="849"/>
        <v>#N/A</v>
      </c>
      <c r="BM339" s="30" t="e">
        <f t="shared" si="849"/>
        <v>#N/A</v>
      </c>
      <c r="BN339" s="29" t="e">
        <f t="shared" si="849"/>
        <v>#N/A</v>
      </c>
      <c r="BO339" s="85" t="str">
        <f t="shared" si="850"/>
        <v>$$$</v>
      </c>
      <c r="BP339" s="88" t="str">
        <f t="shared" si="851"/>
        <v>$$$</v>
      </c>
      <c r="BQ339" s="88" t="str">
        <f t="shared" si="852"/>
        <v>$$$</v>
      </c>
      <c r="BR339" s="88" t="str">
        <f t="shared" si="853"/>
        <v>$$$</v>
      </c>
      <c r="BS339" s="29" t="e">
        <f t="shared" si="854"/>
        <v>#N/A</v>
      </c>
      <c r="BT339" s="29" t="e">
        <f t="shared" si="854"/>
        <v>#N/A</v>
      </c>
      <c r="BU339" s="29" t="e">
        <f t="shared" si="854"/>
        <v>#N/A</v>
      </c>
      <c r="BV339" s="29" t="e">
        <f t="shared" si="854"/>
        <v>#N/A</v>
      </c>
      <c r="BW339" s="29" t="e">
        <f t="shared" si="854"/>
        <v>#N/A</v>
      </c>
      <c r="BX339" s="29" t="e">
        <f t="shared" si="854"/>
        <v>#N/A</v>
      </c>
      <c r="BY339" s="29" t="e">
        <f t="shared" si="854"/>
        <v>#N/A</v>
      </c>
      <c r="BZ339" s="29" t="e">
        <f t="shared" si="854"/>
        <v>#N/A</v>
      </c>
      <c r="CA339" s="29" t="e">
        <f t="shared" si="854"/>
        <v>#N/A</v>
      </c>
      <c r="CB339" s="29" t="e">
        <f t="shared" si="854"/>
        <v>#N/A</v>
      </c>
      <c r="CC339" s="29" t="e">
        <f t="shared" si="854"/>
        <v>#N/A</v>
      </c>
      <c r="CD339" s="29" t="e">
        <f t="shared" si="854"/>
        <v>#N/A</v>
      </c>
      <c r="CE339" s="6" t="str">
        <f t="shared" si="844"/>
        <v/>
      </c>
      <c r="CF339" s="27" t="e">
        <f>IF(AND(CI339,NOT(AD339)),LOOKUP(CF$5,{0,750,1500},H339:J339),"")</f>
        <v>#N/A</v>
      </c>
      <c r="CG339" s="6" t="str">
        <f t="shared" si="845"/>
        <v/>
      </c>
      <c r="CH339" t="e">
        <f t="shared" si="855"/>
        <v>#N/A</v>
      </c>
      <c r="CI339" t="e">
        <f t="shared" si="856"/>
        <v>#N/A</v>
      </c>
      <c r="CJ339" s="6" t="e">
        <f t="shared" si="857"/>
        <v>#N/A</v>
      </c>
      <c r="CK339" s="6">
        <f t="shared" si="858"/>
        <v>1</v>
      </c>
      <c r="CL339" s="6">
        <f t="shared" si="26"/>
        <v>1</v>
      </c>
      <c r="CM339" s="6">
        <f t="shared" si="859"/>
        <v>1</v>
      </c>
      <c r="CN339" s="6">
        <f t="shared" si="860"/>
        <v>1</v>
      </c>
      <c r="CO339" s="6">
        <f t="shared" si="861"/>
        <v>1</v>
      </c>
      <c r="CP339" s="6">
        <f t="shared" si="862"/>
        <v>1</v>
      </c>
      <c r="CQ339" s="6">
        <f t="shared" si="863"/>
        <v>1</v>
      </c>
      <c r="CR339" s="81" t="str">
        <f t="shared" si="864"/>
        <v/>
      </c>
      <c r="CS339">
        <f t="shared" si="865"/>
        <v>0</v>
      </c>
      <c r="CT339">
        <f t="shared" si="766"/>
        <v>20</v>
      </c>
      <c r="CU339" t="str">
        <f t="shared" si="29"/>
        <v>rm</v>
      </c>
      <c r="CV339" s="81">
        <f t="shared" si="866"/>
        <v>240</v>
      </c>
      <c r="CW339" s="81">
        <f>(CV339/25)^1.5*(Calculator!$BU$4/10000)*CW$5</f>
        <v>15.468811984091507</v>
      </c>
      <c r="CX339" t="str">
        <f t="shared" si="867"/>
        <v>$20/rm</v>
      </c>
    </row>
    <row r="340" spans="2:102" x14ac:dyDescent="0.25">
      <c r="B340" s="115" t="s">
        <v>233</v>
      </c>
      <c r="C340" s="13">
        <v>46314.470138888886</v>
      </c>
      <c r="D340">
        <v>31495</v>
      </c>
      <c r="E340" s="54" t="s">
        <v>235</v>
      </c>
      <c r="F340" s="54" t="s">
        <v>628</v>
      </c>
      <c r="G340" s="54" t="s">
        <v>633</v>
      </c>
      <c r="H340" s="55">
        <v>14.7</v>
      </c>
      <c r="I340" s="55">
        <v>14.2</v>
      </c>
      <c r="J340" s="55">
        <v>13.900000000000002</v>
      </c>
      <c r="K340" s="54"/>
      <c r="L340" s="56" t="b">
        <v>0</v>
      </c>
      <c r="M340" s="56" t="b">
        <v>0</v>
      </c>
      <c r="N340" s="54">
        <v>1</v>
      </c>
      <c r="O340" s="54" t="s">
        <v>228</v>
      </c>
      <c r="P340" s="54">
        <v>3</v>
      </c>
      <c r="Q340" s="54">
        <v>12</v>
      </c>
      <c r="R340" s="54" t="s">
        <v>629</v>
      </c>
      <c r="S340" s="54" t="s">
        <v>630</v>
      </c>
      <c r="T340" s="54" t="s">
        <v>2091</v>
      </c>
      <c r="U340" s="54" t="s">
        <v>637</v>
      </c>
      <c r="V340" s="54" t="s">
        <v>638</v>
      </c>
      <c r="W340" s="54" t="b">
        <v>0</v>
      </c>
      <c r="X340" s="54"/>
      <c r="Y340" s="57" t="s">
        <v>639</v>
      </c>
      <c r="Z340" s="54" t="s">
        <v>631</v>
      </c>
      <c r="AA340" s="54"/>
      <c r="AB340" s="54" t="s">
        <v>632</v>
      </c>
      <c r="AC340" s="56" t="b">
        <v>0</v>
      </c>
      <c r="AD340" s="56" t="b">
        <v>0</v>
      </c>
      <c r="AE340" s="54" t="s">
        <v>302</v>
      </c>
      <c r="AF340" s="58">
        <v>46314</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4.9000000000000004</v>
      </c>
      <c r="BG340" s="35">
        <f t="shared" si="0"/>
        <v>6.5333000000000002E-2</v>
      </c>
      <c r="BH340" s="35" t="str">
        <f t="shared" ref="BH340:BH346" si="868">IF(ISTEXT(BE340),IF(AND(AV340=0,SUM(AN340:AQ340)=0),IF(AM340&lt;=0,IF(BE340="Y","Low","Flat"),"Med"),"High"),"?")</f>
        <v>?</v>
      </c>
      <c r="BI340" s="110">
        <f t="shared" ref="BI340:BI346" si="869">IF(ISNUMBER(AH340),0*BI$5*SIN((EDATE($A$3,$Q340)-DATE(YEAR(EDATE($A$3,$Q340)),1,0)-BI$4)*2*PI()/365),"")</f>
        <v>0</v>
      </c>
      <c r="BJ340" s="83">
        <f>VLOOKUP($F340,REP_Info!$D$6:$H$250,5,FALSE)</f>
        <v>1.272</v>
      </c>
      <c r="BK340" s="30" t="e">
        <f t="shared" ref="BK340:BN346" si="870">IF(BK$7&gt;0,(LOOKUP(BK$7,$AH340:$AL340,$AM340:$AQ340)+IF($AG340="Y",SUMPRODUCT($AX340:$BB340-$AW340:$BA340,BK$7-$AR340:$AV340,N(BK$7&gt;$AR340:$AV340)),BK$7*LOOKUP(BK$7,$AR340:$AV340,$AX340:$BB340))+IF($BE340="Y",$BF340,$BC340)+BK$7*IF($BE340="Y",$BG340,$BD340))*100/BK$7,"")</f>
        <v>#N/A</v>
      </c>
      <c r="BL340" s="30" t="e">
        <f t="shared" si="870"/>
        <v>#N/A</v>
      </c>
      <c r="BM340" s="30" t="e">
        <f t="shared" si="870"/>
        <v>#N/A</v>
      </c>
      <c r="BN340" s="29" t="e">
        <f t="shared" si="870"/>
        <v>#N/A</v>
      </c>
      <c r="BO340" s="85" t="str">
        <f t="shared" si="2"/>
        <v>$$$</v>
      </c>
      <c r="BP340" s="88" t="str">
        <f t="shared" ref="BP340:BP346" si="871">IFERROR(BO340*100/BO$5,"$$$")</f>
        <v>$$$</v>
      </c>
      <c r="BQ340" s="88" t="str">
        <f t="shared" si="4"/>
        <v>$$$</v>
      </c>
      <c r="BR340" s="88" t="str">
        <f t="shared" si="5"/>
        <v>$$$</v>
      </c>
      <c r="BS340" s="29" t="e">
        <f t="shared" ref="BS340:CD346" si="872">IF($CI340,IF(BS$7&gt;0,IF(BS$4&gt;$Q340,$BF340+BS$7*(BS$5+$BG340+$BI340),LOOKUP(BS$7,$AH340:$AL340,$AM340:$AQ340)+IF($AG340="Y",SUMPRODUCT($AX340:$BB340-$AW340:$BA340,BS$7-$AR340:$AV340,N(BS$7&gt;$AR340:$AV340)),BS$7*LOOKUP(BS$7,$AR340:$AV340,$AX340:$BB340))+IF($BE340="Y",$BF340,$BC340)+BS$7*IF($BE340="Y",$BG340,$BD340))*100/BS$7,""),NA())</f>
        <v>#N/A</v>
      </c>
      <c r="BT340" s="29" t="e">
        <f t="shared" si="872"/>
        <v>#N/A</v>
      </c>
      <c r="BU340" s="29" t="e">
        <f t="shared" si="872"/>
        <v>#N/A</v>
      </c>
      <c r="BV340" s="29" t="e">
        <f t="shared" si="872"/>
        <v>#N/A</v>
      </c>
      <c r="BW340" s="29" t="e">
        <f t="shared" si="872"/>
        <v>#N/A</v>
      </c>
      <c r="BX340" s="29" t="e">
        <f t="shared" si="872"/>
        <v>#N/A</v>
      </c>
      <c r="BY340" s="29" t="e">
        <f t="shared" si="872"/>
        <v>#N/A</v>
      </c>
      <c r="BZ340" s="29" t="e">
        <f t="shared" si="872"/>
        <v>#N/A</v>
      </c>
      <c r="CA340" s="29" t="e">
        <f t="shared" si="872"/>
        <v>#N/A</v>
      </c>
      <c r="CB340" s="29" t="e">
        <f t="shared" si="872"/>
        <v>#N/A</v>
      </c>
      <c r="CC340" s="29" t="e">
        <f t="shared" si="872"/>
        <v>#N/A</v>
      </c>
      <c r="CD340" s="29" t="e">
        <f t="shared" si="872"/>
        <v>#N/A</v>
      </c>
      <c r="CE340" s="6" t="str">
        <f t="shared" si="844"/>
        <v/>
      </c>
      <c r="CF340" s="27" t="e">
        <f>IF(AND(CI340,NOT(AD340)),LOOKUP(CF$5,{0,750,1500},H340:J340),"")</f>
        <v>#N/A</v>
      </c>
      <c r="CG340" s="6" t="str">
        <f t="shared" si="845"/>
        <v/>
      </c>
      <c r="CH340" t="e">
        <f t="shared" ref="CH340:CH346" si="873">IF(CI340,IF(ISNUMBER(BO340),BO340,100000)+CV340/10000+IF(ISNUMBER(BJ340),BJ340,2)/10000-P340/100000+ROW()/10000000,"")</f>
        <v>#N/A</v>
      </c>
      <c r="CI340" t="e">
        <f t="shared" ref="CI340:CI346" si="874">PRODUCT(CJ340:CQ340)</f>
        <v>#N/A</v>
      </c>
      <c r="CJ340" s="6" t="e">
        <f t="shared" si="11"/>
        <v>#N/A</v>
      </c>
      <c r="CK340" s="6">
        <f t="shared" si="12"/>
        <v>1</v>
      </c>
      <c r="CL340" s="6">
        <f t="shared" si="26"/>
        <v>1</v>
      </c>
      <c r="CM340" s="6">
        <f t="shared" si="13"/>
        <v>1</v>
      </c>
      <c r="CN340" s="6">
        <f t="shared" si="14"/>
        <v>1</v>
      </c>
      <c r="CO340" s="6">
        <f t="shared" si="15"/>
        <v>1</v>
      </c>
      <c r="CP340" s="6">
        <f t="shared" si="16"/>
        <v>1</v>
      </c>
      <c r="CQ340" s="6">
        <f t="shared" ref="CQ340:CQ346" si="875">IF(CQ$5="Any",1,IF(AND(CQ$5="Med",AV340=0,SUM(AN340:AQ340)=0),1,IF(AND(CQ$5="Low",AV340=0,SUM(AN340:AQ340)=0,AM340=0),1,IF(AND(CQ$5="Flat",AV340=0,SUM(AN340:AQ340)=0,AM340=0,IFERROR(NOT(BE340="Y"),0)),1,0))))</f>
        <v>1</v>
      </c>
      <c r="CR340" s="81" t="str">
        <f t="shared" si="17"/>
        <v/>
      </c>
      <c r="CS340">
        <f t="shared" ref="CS340:CS346" si="876">CS$5*(12/(MIN(12,Q340))-1)</f>
        <v>0</v>
      </c>
      <c r="CT340">
        <f t="shared" si="766"/>
        <v>20</v>
      </c>
      <c r="CU340" t="str">
        <f t="shared" si="29"/>
        <v>rm</v>
      </c>
      <c r="CV340" s="81">
        <f t="shared" ref="CV340:CV346" si="877">CT340*IF(CU340="",1,Q340)</f>
        <v>240</v>
      </c>
      <c r="CW340" s="81">
        <f>(CV340/25)^1.5*(Calculator!$BU$4/10000)*CW$5</f>
        <v>15.468811984091507</v>
      </c>
      <c r="CX340" t="str">
        <f t="shared" ref="CX340:CX346" si="878">"$"&amp;IF(LEFT(CU340,1)="r",CT340&amp;"/"&amp;CU340,CV340)</f>
        <v>$20/rm</v>
      </c>
    </row>
    <row r="341" spans="2:102" x14ac:dyDescent="0.25">
      <c r="B341" s="115" t="s">
        <v>233</v>
      </c>
      <c r="C341" s="13">
        <v>46301.262499999997</v>
      </c>
      <c r="D341">
        <v>38171</v>
      </c>
      <c r="E341" s="54" t="s">
        <v>235</v>
      </c>
      <c r="F341" s="54" t="s">
        <v>640</v>
      </c>
      <c r="G341" s="54" t="s">
        <v>1939</v>
      </c>
      <c r="H341" s="55">
        <v>20.100000000000001</v>
      </c>
      <c r="I341" s="55">
        <v>15.299999999999999</v>
      </c>
      <c r="J341" s="55">
        <v>12.9</v>
      </c>
      <c r="K341" s="54"/>
      <c r="L341" s="56" t="b">
        <v>0</v>
      </c>
      <c r="M341" s="56" t="b">
        <v>0</v>
      </c>
      <c r="N341" s="54">
        <v>1</v>
      </c>
      <c r="O341" s="54" t="s">
        <v>228</v>
      </c>
      <c r="P341" s="54">
        <v>15</v>
      </c>
      <c r="Q341" s="54">
        <v>20</v>
      </c>
      <c r="R341" s="54">
        <v>300</v>
      </c>
      <c r="S341" s="54" t="s">
        <v>1727</v>
      </c>
      <c r="T341" s="54"/>
      <c r="U341" s="54" t="s">
        <v>1474</v>
      </c>
      <c r="V341" s="54" t="s">
        <v>1478</v>
      </c>
      <c r="W341" s="54" t="b">
        <v>0</v>
      </c>
      <c r="X341" s="54"/>
      <c r="Y341" s="57" t="s">
        <v>1940</v>
      </c>
      <c r="Z341" s="54" t="s">
        <v>1728</v>
      </c>
      <c r="AA341" s="54"/>
      <c r="AB341" s="54" t="s">
        <v>1479</v>
      </c>
      <c r="AC341" s="56" t="b">
        <v>1</v>
      </c>
      <c r="AD341" s="56" t="b">
        <v>0</v>
      </c>
      <c r="AE341" s="54" t="s">
        <v>302</v>
      </c>
      <c r="AF341" s="58">
        <v>46300</v>
      </c>
      <c r="AG341" s="62" t="s">
        <v>293</v>
      </c>
      <c r="AH341" s="54">
        <v>0</v>
      </c>
      <c r="AI341" s="54"/>
      <c r="AJ341" s="54"/>
      <c r="AK341" s="54"/>
      <c r="AL341" s="54"/>
      <c r="AM341" s="54">
        <v>42.99</v>
      </c>
      <c r="AN341" s="54"/>
      <c r="AO341" s="54"/>
      <c r="AP341" s="54"/>
      <c r="AQ341" s="54"/>
      <c r="AR341" s="54"/>
      <c r="AS341" s="54"/>
      <c r="AT341" s="54"/>
      <c r="AU341" s="54"/>
      <c r="AV341" s="54"/>
      <c r="AW341" s="54"/>
      <c r="AX341" s="59"/>
      <c r="AY341" s="59"/>
      <c r="AZ341" s="59"/>
      <c r="BA341" s="59"/>
      <c r="BB341" s="59">
        <v>3.9899999999999998E-2</v>
      </c>
      <c r="BC341" s="60">
        <v>4.9000000000000004</v>
      </c>
      <c r="BD341" s="61">
        <v>6.5333000000000002E-2</v>
      </c>
      <c r="BE341" s="62" t="s">
        <v>293</v>
      </c>
      <c r="BF341" s="35">
        <f t="shared" si="0"/>
        <v>4.9000000000000004</v>
      </c>
      <c r="BG341" s="35">
        <f t="shared" si="0"/>
        <v>6.5333000000000002E-2</v>
      </c>
      <c r="BH341" s="35" t="str">
        <f t="shared" si="868"/>
        <v>Med</v>
      </c>
      <c r="BI341" s="110">
        <f t="shared" si="869"/>
        <v>0</v>
      </c>
      <c r="BJ341" s="83">
        <f>VLOOKUP($F341,REP_Info!$D$6:$H$250,5,FALSE)</f>
        <v>8.1270000000000007</v>
      </c>
      <c r="BK341" s="30">
        <f t="shared" si="870"/>
        <v>20.101299999999998</v>
      </c>
      <c r="BL341" s="30">
        <f t="shared" si="870"/>
        <v>15.312299999999999</v>
      </c>
      <c r="BM341" s="30">
        <f t="shared" si="870"/>
        <v>12.9178</v>
      </c>
      <c r="BN341" s="29">
        <f t="shared" si="870"/>
        <v>12.119633333333335</v>
      </c>
      <c r="BO341" s="85" t="str">
        <f t="shared" si="2"/>
        <v>$$$</v>
      </c>
      <c r="BP341" s="88" t="str">
        <f t="shared" si="871"/>
        <v>$$$</v>
      </c>
      <c r="BQ341" s="88" t="str">
        <f t="shared" si="4"/>
        <v>$$$</v>
      </c>
      <c r="BR341" s="88" t="str">
        <f t="shared" si="5"/>
        <v>$$$</v>
      </c>
      <c r="BS341" s="29" t="e">
        <f t="shared" si="872"/>
        <v>#N/A</v>
      </c>
      <c r="BT341" s="29" t="e">
        <f t="shared" si="872"/>
        <v>#N/A</v>
      </c>
      <c r="BU341" s="29" t="e">
        <f t="shared" si="872"/>
        <v>#N/A</v>
      </c>
      <c r="BV341" s="29" t="e">
        <f t="shared" si="872"/>
        <v>#N/A</v>
      </c>
      <c r="BW341" s="29" t="e">
        <f t="shared" si="872"/>
        <v>#N/A</v>
      </c>
      <c r="BX341" s="29" t="e">
        <f t="shared" si="872"/>
        <v>#N/A</v>
      </c>
      <c r="BY341" s="29" t="e">
        <f t="shared" si="872"/>
        <v>#N/A</v>
      </c>
      <c r="BZ341" s="29" t="e">
        <f t="shared" si="872"/>
        <v>#N/A</v>
      </c>
      <c r="CA341" s="29" t="e">
        <f t="shared" si="872"/>
        <v>#N/A</v>
      </c>
      <c r="CB341" s="29" t="e">
        <f t="shared" si="872"/>
        <v>#N/A</v>
      </c>
      <c r="CC341" s="29" t="e">
        <f t="shared" si="872"/>
        <v>#N/A</v>
      </c>
      <c r="CD341" s="29" t="e">
        <f t="shared" si="872"/>
        <v>#N/A</v>
      </c>
      <c r="CE341" s="6" t="str">
        <f t="shared" si="844"/>
        <v/>
      </c>
      <c r="CF341" s="27" t="e">
        <f>IF(AND(CI341,NOT(AD341)),LOOKUP(CF$5,{0,750,1500},H341:J341),"")</f>
        <v>#N/A</v>
      </c>
      <c r="CG341" s="6" t="str">
        <f t="shared" si="845"/>
        <v/>
      </c>
      <c r="CH341" t="e">
        <f t="shared" si="873"/>
        <v>#N/A</v>
      </c>
      <c r="CI341" t="e">
        <f t="shared" si="874"/>
        <v>#N/A</v>
      </c>
      <c r="CJ341" s="6" t="e">
        <f t="shared" si="11"/>
        <v>#N/A</v>
      </c>
      <c r="CK341" s="6">
        <f t="shared" si="12"/>
        <v>1</v>
      </c>
      <c r="CL341" s="6">
        <f t="shared" si="26"/>
        <v>1</v>
      </c>
      <c r="CM341" s="6">
        <f t="shared" si="13"/>
        <v>1</v>
      </c>
      <c r="CN341" s="6">
        <f t="shared" si="14"/>
        <v>1</v>
      </c>
      <c r="CO341" s="6">
        <f t="shared" si="15"/>
        <v>0</v>
      </c>
      <c r="CP341" s="6">
        <f t="shared" si="16"/>
        <v>1</v>
      </c>
      <c r="CQ341" s="6">
        <f t="shared" si="875"/>
        <v>1</v>
      </c>
      <c r="CR341" s="81" t="str">
        <f t="shared" si="17"/>
        <v/>
      </c>
      <c r="CS341">
        <f t="shared" si="876"/>
        <v>0</v>
      </c>
      <c r="CT341">
        <f t="shared" si="766"/>
        <v>300</v>
      </c>
      <c r="CU341" t="str">
        <f t="shared" si="29"/>
        <v/>
      </c>
      <c r="CV341" s="81">
        <f t="shared" si="877"/>
        <v>300</v>
      </c>
      <c r="CW341" s="81">
        <f>(CV341/25)^1.5*(Calculator!$BU$4/10000)*CW$5</f>
        <v>21.618321954745014</v>
      </c>
      <c r="CX341" t="str">
        <f t="shared" si="878"/>
        <v>$300</v>
      </c>
    </row>
    <row r="342" spans="2:102" x14ac:dyDescent="0.25">
      <c r="B342" s="115" t="s">
        <v>233</v>
      </c>
      <c r="C342" s="13">
        <v>46301.262499999997</v>
      </c>
      <c r="D342">
        <v>38173</v>
      </c>
      <c r="E342" s="54" t="s">
        <v>235</v>
      </c>
      <c r="F342" s="54" t="s">
        <v>640</v>
      </c>
      <c r="G342" s="54" t="s">
        <v>1879</v>
      </c>
      <c r="H342" s="55">
        <v>18.7</v>
      </c>
      <c r="I342" s="55">
        <v>14.899999999999999</v>
      </c>
      <c r="J342" s="55">
        <v>13</v>
      </c>
      <c r="K342" s="54"/>
      <c r="L342" s="56" t="b">
        <v>0</v>
      </c>
      <c r="M342" s="56" t="b">
        <v>0</v>
      </c>
      <c r="N342" s="54">
        <v>1</v>
      </c>
      <c r="O342" s="54" t="s">
        <v>228</v>
      </c>
      <c r="P342" s="54">
        <v>15</v>
      </c>
      <c r="Q342" s="54">
        <v>7</v>
      </c>
      <c r="R342" s="54">
        <v>300</v>
      </c>
      <c r="S342" s="54" t="s">
        <v>1727</v>
      </c>
      <c r="T342" s="54"/>
      <c r="U342" s="54" t="s">
        <v>1474</v>
      </c>
      <c r="V342" s="54" t="s">
        <v>1478</v>
      </c>
      <c r="W342" s="54" t="b">
        <v>0</v>
      </c>
      <c r="X342" s="54"/>
      <c r="Y342" s="57" t="s">
        <v>1941</v>
      </c>
      <c r="Z342" s="54" t="s">
        <v>1728</v>
      </c>
      <c r="AA342" s="54"/>
      <c r="AB342" s="54" t="s">
        <v>1479</v>
      </c>
      <c r="AC342" s="56" t="b">
        <v>1</v>
      </c>
      <c r="AD342" s="56" t="b">
        <v>0</v>
      </c>
      <c r="AE342" s="54" t="s">
        <v>302</v>
      </c>
      <c r="AF342" s="58">
        <v>46300</v>
      </c>
      <c r="AG342" s="62" t="s">
        <v>293</v>
      </c>
      <c r="AH342" s="54">
        <v>0</v>
      </c>
      <c r="AI342" s="54"/>
      <c r="AJ342" s="54"/>
      <c r="AK342" s="54"/>
      <c r="AL342" s="54"/>
      <c r="AM342" s="54">
        <v>32.99</v>
      </c>
      <c r="AN342" s="54"/>
      <c r="AO342" s="54"/>
      <c r="AP342" s="54"/>
      <c r="AQ342" s="54"/>
      <c r="AR342" s="54"/>
      <c r="AS342" s="54"/>
      <c r="AT342" s="54"/>
      <c r="AU342" s="54"/>
      <c r="AV342" s="54"/>
      <c r="AW342" s="54"/>
      <c r="AX342" s="59"/>
      <c r="AY342" s="59"/>
      <c r="AZ342" s="59"/>
      <c r="BA342" s="59"/>
      <c r="BB342" s="59">
        <v>4.5499999999999999E-2</v>
      </c>
      <c r="BC342" s="60">
        <v>4.9000000000000004</v>
      </c>
      <c r="BD342" s="61">
        <v>6.5333000000000002E-2</v>
      </c>
      <c r="BE342" s="62" t="s">
        <v>293</v>
      </c>
      <c r="BF342" s="35">
        <f t="shared" ref="BF342:BG346" si="879">IF($E342=$E$4,BF$4,IF($E342=$E$5,BF$5,""))</f>
        <v>4.9000000000000004</v>
      </c>
      <c r="BG342" s="35">
        <f t="shared" si="879"/>
        <v>6.5333000000000002E-2</v>
      </c>
      <c r="BH342" s="35" t="str">
        <f t="shared" si="868"/>
        <v>Med</v>
      </c>
      <c r="BI342" s="110">
        <f t="shared" si="869"/>
        <v>0</v>
      </c>
      <c r="BJ342" s="83">
        <f>VLOOKUP($F342,REP_Info!$D$6:$H$250,5,FALSE)</f>
        <v>8.1270000000000007</v>
      </c>
      <c r="BK342" s="30">
        <f t="shared" si="870"/>
        <v>18.661300000000001</v>
      </c>
      <c r="BL342" s="30">
        <f t="shared" si="870"/>
        <v>14.872300000000001</v>
      </c>
      <c r="BM342" s="30">
        <f t="shared" si="870"/>
        <v>12.977800000000004</v>
      </c>
      <c r="BN342" s="29">
        <f t="shared" si="870"/>
        <v>12.346300000000001</v>
      </c>
      <c r="BO342" s="85" t="str">
        <f t="shared" si="2"/>
        <v>$$$</v>
      </c>
      <c r="BP342" s="88" t="str">
        <f t="shared" si="871"/>
        <v>$$$</v>
      </c>
      <c r="BQ342" s="88" t="str">
        <f t="shared" si="4"/>
        <v>$$$</v>
      </c>
      <c r="BR342" s="88" t="str">
        <f t="shared" si="5"/>
        <v>$$$</v>
      </c>
      <c r="BS342" s="29" t="e">
        <f t="shared" si="872"/>
        <v>#N/A</v>
      </c>
      <c r="BT342" s="29" t="e">
        <f t="shared" si="872"/>
        <v>#N/A</v>
      </c>
      <c r="BU342" s="29" t="e">
        <f t="shared" si="872"/>
        <v>#N/A</v>
      </c>
      <c r="BV342" s="29" t="e">
        <f t="shared" si="872"/>
        <v>#N/A</v>
      </c>
      <c r="BW342" s="29" t="e">
        <f t="shared" si="872"/>
        <v>#N/A</v>
      </c>
      <c r="BX342" s="29" t="e">
        <f t="shared" si="872"/>
        <v>#N/A</v>
      </c>
      <c r="BY342" s="29" t="e">
        <f t="shared" si="872"/>
        <v>#N/A</v>
      </c>
      <c r="BZ342" s="29" t="e">
        <f t="shared" si="872"/>
        <v>#N/A</v>
      </c>
      <c r="CA342" s="29" t="e">
        <f t="shared" si="872"/>
        <v>#N/A</v>
      </c>
      <c r="CB342" s="29" t="e">
        <f t="shared" si="872"/>
        <v>#N/A</v>
      </c>
      <c r="CC342" s="29" t="e">
        <f t="shared" si="872"/>
        <v>#N/A</v>
      </c>
      <c r="CD342" s="29" t="e">
        <f t="shared" si="872"/>
        <v>#N/A</v>
      </c>
      <c r="CE342" s="6" t="str">
        <f t="shared" si="844"/>
        <v/>
      </c>
      <c r="CF342" s="27" t="e">
        <f>IF(AND(CI342,NOT(AD342)),LOOKUP(CF$5,{0,750,1500},H342:J342),"")</f>
        <v>#N/A</v>
      </c>
      <c r="CG342" s="6" t="str">
        <f t="shared" si="845"/>
        <v/>
      </c>
      <c r="CH342" t="e">
        <f t="shared" si="873"/>
        <v>#N/A</v>
      </c>
      <c r="CI342" t="e">
        <f t="shared" si="874"/>
        <v>#N/A</v>
      </c>
      <c r="CJ342" s="6" t="e">
        <f t="shared" si="11"/>
        <v>#N/A</v>
      </c>
      <c r="CK342" s="6">
        <f t="shared" si="12"/>
        <v>1</v>
      </c>
      <c r="CL342" s="6">
        <f t="shared" si="26"/>
        <v>1</v>
      </c>
      <c r="CM342" s="6">
        <f t="shared" si="13"/>
        <v>1</v>
      </c>
      <c r="CN342" s="6">
        <f t="shared" si="14"/>
        <v>0</v>
      </c>
      <c r="CO342" s="6">
        <f t="shared" si="15"/>
        <v>1</v>
      </c>
      <c r="CP342" s="6">
        <f t="shared" si="16"/>
        <v>1</v>
      </c>
      <c r="CQ342" s="6">
        <f t="shared" si="875"/>
        <v>1</v>
      </c>
      <c r="CR342" s="81" t="str">
        <f t="shared" si="17"/>
        <v/>
      </c>
      <c r="CS342">
        <f t="shared" si="876"/>
        <v>12.857142857142856</v>
      </c>
      <c r="CT342">
        <f t="shared" si="766"/>
        <v>300</v>
      </c>
      <c r="CU342" t="str">
        <f t="shared" si="29"/>
        <v/>
      </c>
      <c r="CV342" s="81">
        <f t="shared" si="877"/>
        <v>300</v>
      </c>
      <c r="CW342" s="81">
        <f>(CV342/25)^1.5*(Calculator!$BU$4/10000)*CW$5</f>
        <v>21.618321954745014</v>
      </c>
      <c r="CX342" t="str">
        <f t="shared" si="878"/>
        <v>$300</v>
      </c>
    </row>
    <row r="343" spans="2:102" x14ac:dyDescent="0.25">
      <c r="B343" s="115" t="s">
        <v>233</v>
      </c>
      <c r="C343" s="13">
        <v>46303.582638888889</v>
      </c>
      <c r="D343">
        <v>38294</v>
      </c>
      <c r="E343" s="54" t="s">
        <v>237</v>
      </c>
      <c r="F343" s="54" t="s">
        <v>640</v>
      </c>
      <c r="G343" s="54" t="s">
        <v>1879</v>
      </c>
      <c r="H343" s="55">
        <v>18.8</v>
      </c>
      <c r="I343" s="55">
        <v>15.1</v>
      </c>
      <c r="J343" s="55">
        <v>13.3</v>
      </c>
      <c r="K343" s="54"/>
      <c r="L343" s="56" t="b">
        <v>0</v>
      </c>
      <c r="M343" s="56" t="b">
        <v>0</v>
      </c>
      <c r="N343" s="54">
        <v>1</v>
      </c>
      <c r="O343" s="54" t="s">
        <v>228</v>
      </c>
      <c r="P343" s="54">
        <v>15</v>
      </c>
      <c r="Q343" s="54">
        <v>7</v>
      </c>
      <c r="R343" s="54">
        <v>300</v>
      </c>
      <c r="S343" s="54" t="s">
        <v>1727</v>
      </c>
      <c r="T343" s="54"/>
      <c r="U343" s="54" t="s">
        <v>1474</v>
      </c>
      <c r="V343" s="54" t="s">
        <v>1478</v>
      </c>
      <c r="W343" s="54" t="b">
        <v>0</v>
      </c>
      <c r="X343" s="54"/>
      <c r="Y343" s="57" t="s">
        <v>1987</v>
      </c>
      <c r="Z343" s="54" t="s">
        <v>1728</v>
      </c>
      <c r="AA343" s="54"/>
      <c r="AB343" s="54" t="s">
        <v>1479</v>
      </c>
      <c r="AC343" s="56" t="b">
        <v>1</v>
      </c>
      <c r="AD343" s="56" t="b">
        <v>0</v>
      </c>
      <c r="AE343" s="54" t="s">
        <v>302</v>
      </c>
      <c r="AF343" s="58">
        <v>46302</v>
      </c>
      <c r="AG343" s="62" t="s">
        <v>293</v>
      </c>
      <c r="AH343" s="54">
        <v>0</v>
      </c>
      <c r="AI343" s="54"/>
      <c r="AJ343" s="54"/>
      <c r="AK343" s="54"/>
      <c r="AL343" s="54"/>
      <c r="AM343" s="54">
        <v>32.99</v>
      </c>
      <c r="AN343" s="54"/>
      <c r="AO343" s="54"/>
      <c r="AP343" s="54"/>
      <c r="AQ343" s="54"/>
      <c r="AR343" s="54"/>
      <c r="AS343" s="54"/>
      <c r="AT343" s="54"/>
      <c r="AU343" s="54"/>
      <c r="AV343" s="54"/>
      <c r="AW343" s="54"/>
      <c r="AX343" s="59"/>
      <c r="AY343" s="59"/>
      <c r="AZ343" s="59"/>
      <c r="BA343" s="59"/>
      <c r="BB343" s="59">
        <v>4.5499999999999999E-2</v>
      </c>
      <c r="BC343" s="60">
        <v>4.0599999999999996</v>
      </c>
      <c r="BD343" s="61">
        <v>6.8672999999999998E-2</v>
      </c>
      <c r="BE343" s="62" t="s">
        <v>293</v>
      </c>
      <c r="BF343" s="35">
        <f t="shared" si="879"/>
        <v>4.0600000000000005</v>
      </c>
      <c r="BG343" s="35">
        <f t="shared" si="879"/>
        <v>6.8672999999999998E-2</v>
      </c>
      <c r="BH343" s="35" t="str">
        <f t="shared" si="868"/>
        <v>Med</v>
      </c>
      <c r="BI343" s="110">
        <f t="shared" si="869"/>
        <v>0</v>
      </c>
      <c r="BJ343" s="83">
        <f>VLOOKUP($F343,REP_Info!$D$6:$H$250,5,FALSE)</f>
        <v>8.1270000000000007</v>
      </c>
      <c r="BK343" s="30">
        <f t="shared" si="870"/>
        <v>18.827300000000005</v>
      </c>
      <c r="BL343" s="30">
        <f t="shared" si="870"/>
        <v>15.122300000000001</v>
      </c>
      <c r="BM343" s="30">
        <f t="shared" si="870"/>
        <v>13.269800000000002</v>
      </c>
      <c r="BN343" s="29">
        <f t="shared" si="870"/>
        <v>12.6523</v>
      </c>
      <c r="BO343" s="85" t="str">
        <f t="shared" si="2"/>
        <v>$$$</v>
      </c>
      <c r="BP343" s="88" t="str">
        <f t="shared" si="871"/>
        <v>$$$</v>
      </c>
      <c r="BQ343" s="88" t="str">
        <f t="shared" si="4"/>
        <v>$$$</v>
      </c>
      <c r="BR343" s="88" t="str">
        <f t="shared" si="5"/>
        <v>$$$</v>
      </c>
      <c r="BS343" s="29" t="e">
        <f t="shared" si="872"/>
        <v>#N/A</v>
      </c>
      <c r="BT343" s="29" t="e">
        <f t="shared" si="872"/>
        <v>#N/A</v>
      </c>
      <c r="BU343" s="29" t="e">
        <f t="shared" si="872"/>
        <v>#N/A</v>
      </c>
      <c r="BV343" s="29" t="e">
        <f t="shared" si="872"/>
        <v>#N/A</v>
      </c>
      <c r="BW343" s="29" t="e">
        <f t="shared" si="872"/>
        <v>#N/A</v>
      </c>
      <c r="BX343" s="29" t="e">
        <f t="shared" si="872"/>
        <v>#N/A</v>
      </c>
      <c r="BY343" s="29" t="e">
        <f t="shared" si="872"/>
        <v>#N/A</v>
      </c>
      <c r="BZ343" s="29" t="e">
        <f t="shared" si="872"/>
        <v>#N/A</v>
      </c>
      <c r="CA343" s="29" t="e">
        <f t="shared" si="872"/>
        <v>#N/A</v>
      </c>
      <c r="CB343" s="29" t="e">
        <f t="shared" si="872"/>
        <v>#N/A</v>
      </c>
      <c r="CC343" s="29" t="e">
        <f t="shared" si="872"/>
        <v>#N/A</v>
      </c>
      <c r="CD343" s="29" t="e">
        <f t="shared" si="872"/>
        <v>#N/A</v>
      </c>
      <c r="CE343" s="6" t="str">
        <f t="shared" si="844"/>
        <v/>
      </c>
      <c r="CF343" s="27" t="e">
        <f>IF(AND(CI343,NOT(AD343)),LOOKUP(CF$5,{0,750,1500},H343:J343),"")</f>
        <v>#N/A</v>
      </c>
      <c r="CG343" s="6" t="str">
        <f t="shared" si="845"/>
        <v/>
      </c>
      <c r="CH343" t="e">
        <f t="shared" si="873"/>
        <v>#N/A</v>
      </c>
      <c r="CI343" t="e">
        <f t="shared" si="874"/>
        <v>#N/A</v>
      </c>
      <c r="CJ343" s="6" t="e">
        <f t="shared" si="11"/>
        <v>#N/A</v>
      </c>
      <c r="CK343" s="6">
        <f t="shared" si="12"/>
        <v>1</v>
      </c>
      <c r="CL343" s="6">
        <f t="shared" si="26"/>
        <v>1</v>
      </c>
      <c r="CM343" s="6">
        <f t="shared" si="13"/>
        <v>1</v>
      </c>
      <c r="CN343" s="6">
        <f t="shared" si="14"/>
        <v>0</v>
      </c>
      <c r="CO343" s="6">
        <f t="shared" si="15"/>
        <v>1</v>
      </c>
      <c r="CP343" s="6">
        <f t="shared" si="16"/>
        <v>1</v>
      </c>
      <c r="CQ343" s="6">
        <f t="shared" si="875"/>
        <v>1</v>
      </c>
      <c r="CR343" s="81" t="str">
        <f t="shared" si="17"/>
        <v/>
      </c>
      <c r="CS343">
        <f t="shared" si="876"/>
        <v>12.857142857142856</v>
      </c>
      <c r="CT343">
        <f t="shared" si="766"/>
        <v>300</v>
      </c>
      <c r="CU343" t="str">
        <f t="shared" si="29"/>
        <v/>
      </c>
      <c r="CV343" s="81">
        <f t="shared" si="877"/>
        <v>300</v>
      </c>
      <c r="CW343" s="81">
        <f>(CV343/25)^1.5*(Calculator!$BU$4/10000)*CW$5</f>
        <v>21.618321954745014</v>
      </c>
      <c r="CX343" t="str">
        <f t="shared" si="878"/>
        <v>$300</v>
      </c>
    </row>
    <row r="344" spans="2:102" x14ac:dyDescent="0.25">
      <c r="B344" s="115" t="s">
        <v>233</v>
      </c>
      <c r="C344" s="13">
        <v>46303.582638888889</v>
      </c>
      <c r="D344">
        <v>38296</v>
      </c>
      <c r="E344" s="54" t="s">
        <v>237</v>
      </c>
      <c r="F344" s="54" t="s">
        <v>640</v>
      </c>
      <c r="G344" s="54" t="s">
        <v>1939</v>
      </c>
      <c r="H344" s="55">
        <v>20.3</v>
      </c>
      <c r="I344" s="55">
        <v>15.6</v>
      </c>
      <c r="J344" s="55">
        <v>13.200000000000001</v>
      </c>
      <c r="K344" s="54"/>
      <c r="L344" s="56" t="b">
        <v>0</v>
      </c>
      <c r="M344" s="56" t="b">
        <v>0</v>
      </c>
      <c r="N344" s="54">
        <v>1</v>
      </c>
      <c r="O344" s="54" t="s">
        <v>228</v>
      </c>
      <c r="P344" s="54">
        <v>15</v>
      </c>
      <c r="Q344" s="54">
        <v>20</v>
      </c>
      <c r="R344" s="54">
        <v>300</v>
      </c>
      <c r="S344" s="54" t="s">
        <v>1727</v>
      </c>
      <c r="T344" s="54"/>
      <c r="U344" s="54" t="s">
        <v>1474</v>
      </c>
      <c r="V344" s="54" t="s">
        <v>1478</v>
      </c>
      <c r="W344" s="54" t="b">
        <v>0</v>
      </c>
      <c r="X344" s="54"/>
      <c r="Y344" s="57" t="s">
        <v>1988</v>
      </c>
      <c r="Z344" s="54" t="s">
        <v>1728</v>
      </c>
      <c r="AA344" s="54"/>
      <c r="AB344" s="54" t="s">
        <v>1479</v>
      </c>
      <c r="AC344" s="56" t="b">
        <v>1</v>
      </c>
      <c r="AD344" s="56" t="b">
        <v>0</v>
      </c>
      <c r="AE344" s="54" t="s">
        <v>302</v>
      </c>
      <c r="AF344" s="58">
        <v>46302</v>
      </c>
      <c r="AG344" s="62" t="s">
        <v>293</v>
      </c>
      <c r="AH344" s="54">
        <v>0</v>
      </c>
      <c r="AI344" s="54"/>
      <c r="AJ344" s="54"/>
      <c r="AK344" s="54"/>
      <c r="AL344" s="54"/>
      <c r="AM344" s="54">
        <v>42.99</v>
      </c>
      <c r="AN344" s="54"/>
      <c r="AO344" s="54"/>
      <c r="AP344" s="54"/>
      <c r="AQ344" s="54"/>
      <c r="AR344" s="54"/>
      <c r="AS344" s="54"/>
      <c r="AT344" s="54"/>
      <c r="AU344" s="54"/>
      <c r="AV344" s="54"/>
      <c r="AW344" s="54"/>
      <c r="AX344" s="59"/>
      <c r="AY344" s="59"/>
      <c r="AZ344" s="59"/>
      <c r="BA344" s="59"/>
      <c r="BB344" s="59">
        <v>3.9899999999999998E-2</v>
      </c>
      <c r="BC344" s="60">
        <v>4.0599999999999996</v>
      </c>
      <c r="BD344" s="61">
        <v>6.8672999999999998E-2</v>
      </c>
      <c r="BE344" s="62" t="s">
        <v>293</v>
      </c>
      <c r="BF344" s="35">
        <f t="shared" si="879"/>
        <v>4.0600000000000005</v>
      </c>
      <c r="BG344" s="35">
        <f t="shared" si="879"/>
        <v>6.8672999999999998E-2</v>
      </c>
      <c r="BH344" s="35" t="str">
        <f t="shared" si="868"/>
        <v>Med</v>
      </c>
      <c r="BI344" s="110">
        <f t="shared" si="869"/>
        <v>0</v>
      </c>
      <c r="BJ344" s="83">
        <f>VLOOKUP($F344,REP_Info!$D$6:$H$250,5,FALSE)</f>
        <v>8.1270000000000007</v>
      </c>
      <c r="BK344" s="30">
        <f t="shared" si="870"/>
        <v>20.267299999999999</v>
      </c>
      <c r="BL344" s="30">
        <f t="shared" si="870"/>
        <v>15.562299999999999</v>
      </c>
      <c r="BM344" s="30">
        <f t="shared" si="870"/>
        <v>13.209800000000001</v>
      </c>
      <c r="BN344" s="29">
        <f t="shared" si="870"/>
        <v>12.425633333333334</v>
      </c>
      <c r="BO344" s="85" t="str">
        <f t="shared" si="2"/>
        <v>$$$</v>
      </c>
      <c r="BP344" s="88" t="str">
        <f t="shared" si="871"/>
        <v>$$$</v>
      </c>
      <c r="BQ344" s="88" t="str">
        <f t="shared" si="4"/>
        <v>$$$</v>
      </c>
      <c r="BR344" s="88" t="str">
        <f t="shared" si="5"/>
        <v>$$$</v>
      </c>
      <c r="BS344" s="29" t="e">
        <f t="shared" si="872"/>
        <v>#N/A</v>
      </c>
      <c r="BT344" s="29" t="e">
        <f t="shared" si="872"/>
        <v>#N/A</v>
      </c>
      <c r="BU344" s="29" t="e">
        <f t="shared" si="872"/>
        <v>#N/A</v>
      </c>
      <c r="BV344" s="29" t="e">
        <f t="shared" si="872"/>
        <v>#N/A</v>
      </c>
      <c r="BW344" s="29" t="e">
        <f t="shared" si="872"/>
        <v>#N/A</v>
      </c>
      <c r="BX344" s="29" t="e">
        <f t="shared" si="872"/>
        <v>#N/A</v>
      </c>
      <c r="BY344" s="29" t="e">
        <f t="shared" si="872"/>
        <v>#N/A</v>
      </c>
      <c r="BZ344" s="29" t="e">
        <f t="shared" si="872"/>
        <v>#N/A</v>
      </c>
      <c r="CA344" s="29" t="e">
        <f t="shared" si="872"/>
        <v>#N/A</v>
      </c>
      <c r="CB344" s="29" t="e">
        <f t="shared" si="872"/>
        <v>#N/A</v>
      </c>
      <c r="CC344" s="29" t="e">
        <f t="shared" si="872"/>
        <v>#N/A</v>
      </c>
      <c r="CD344" s="29" t="e">
        <f t="shared" si="872"/>
        <v>#N/A</v>
      </c>
      <c r="CE344" s="6" t="str">
        <f t="shared" si="844"/>
        <v/>
      </c>
      <c r="CF344" s="27" t="e">
        <f>IF(AND(CI344,NOT(AD344)),LOOKUP(CF$5,{0,750,1500},H344:J344),"")</f>
        <v>#N/A</v>
      </c>
      <c r="CG344" s="6" t="str">
        <f t="shared" si="845"/>
        <v/>
      </c>
      <c r="CH344" t="e">
        <f t="shared" si="873"/>
        <v>#N/A</v>
      </c>
      <c r="CI344" t="e">
        <f t="shared" si="874"/>
        <v>#N/A</v>
      </c>
      <c r="CJ344" s="6" t="e">
        <f t="shared" si="11"/>
        <v>#N/A</v>
      </c>
      <c r="CK344" s="6">
        <f t="shared" si="12"/>
        <v>1</v>
      </c>
      <c r="CL344" s="6">
        <f t="shared" si="26"/>
        <v>1</v>
      </c>
      <c r="CM344" s="6">
        <f t="shared" si="13"/>
        <v>1</v>
      </c>
      <c r="CN344" s="6">
        <f t="shared" si="14"/>
        <v>1</v>
      </c>
      <c r="CO344" s="6">
        <f t="shared" si="15"/>
        <v>0</v>
      </c>
      <c r="CP344" s="6">
        <f t="shared" si="16"/>
        <v>1</v>
      </c>
      <c r="CQ344" s="6">
        <f t="shared" si="875"/>
        <v>1</v>
      </c>
      <c r="CR344" s="81" t="str">
        <f t="shared" si="17"/>
        <v/>
      </c>
      <c r="CS344">
        <f t="shared" si="876"/>
        <v>0</v>
      </c>
      <c r="CT344">
        <f t="shared" si="766"/>
        <v>300</v>
      </c>
      <c r="CU344" t="str">
        <f t="shared" si="29"/>
        <v/>
      </c>
      <c r="CV344" s="81">
        <f t="shared" si="877"/>
        <v>300</v>
      </c>
      <c r="CW344" s="81">
        <f>(CV344/25)^1.5*(Calculator!$BU$4/10000)*CW$5</f>
        <v>21.618321954745014</v>
      </c>
      <c r="CX344" t="str">
        <f t="shared" si="878"/>
        <v>$300</v>
      </c>
    </row>
    <row r="345" spans="2:102" x14ac:dyDescent="0.25">
      <c r="B345" s="115" t="s">
        <v>233</v>
      </c>
      <c r="C345" s="13">
        <v>46309.581944444442</v>
      </c>
      <c r="D345">
        <v>38368</v>
      </c>
      <c r="E345" s="54" t="s">
        <v>237</v>
      </c>
      <c r="F345" s="54" t="s">
        <v>640</v>
      </c>
      <c r="G345" s="54" t="s">
        <v>1480</v>
      </c>
      <c r="H345" s="55">
        <v>12.4</v>
      </c>
      <c r="I345" s="55">
        <v>12</v>
      </c>
      <c r="J345" s="55">
        <v>11.799999999999999</v>
      </c>
      <c r="K345" s="54"/>
      <c r="L345" s="56" t="b">
        <v>0</v>
      </c>
      <c r="M345" s="56" t="b">
        <v>0</v>
      </c>
      <c r="N345" s="54">
        <v>1</v>
      </c>
      <c r="O345" s="54" t="s">
        <v>228</v>
      </c>
      <c r="P345" s="54">
        <v>15</v>
      </c>
      <c r="Q345" s="54">
        <v>12</v>
      </c>
      <c r="R345" s="54">
        <v>300</v>
      </c>
      <c r="S345" s="54" t="s">
        <v>1727</v>
      </c>
      <c r="T345" s="54"/>
      <c r="U345" s="54" t="s">
        <v>1474</v>
      </c>
      <c r="V345" s="54" t="s">
        <v>1478</v>
      </c>
      <c r="W345" s="54" t="b">
        <v>0</v>
      </c>
      <c r="X345" s="54"/>
      <c r="Y345" s="57" t="s">
        <v>2030</v>
      </c>
      <c r="Z345" s="54" t="s">
        <v>1728</v>
      </c>
      <c r="AA345" s="54"/>
      <c r="AB345" s="54" t="s">
        <v>1479</v>
      </c>
      <c r="AC345" s="56" t="b">
        <v>1</v>
      </c>
      <c r="AD345" s="56" t="b">
        <v>0</v>
      </c>
      <c r="AE345" s="54" t="s">
        <v>302</v>
      </c>
      <c r="AF345" s="58">
        <v>46308</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4.7699999999999999E-2</v>
      </c>
      <c r="BC345" s="60">
        <v>4.0599999999999996</v>
      </c>
      <c r="BD345" s="61">
        <v>6.8672999999999998E-2</v>
      </c>
      <c r="BE345" s="62" t="s">
        <v>293</v>
      </c>
      <c r="BF345" s="35">
        <f t="shared" si="879"/>
        <v>4.0600000000000005</v>
      </c>
      <c r="BG345" s="35">
        <f t="shared" si="879"/>
        <v>6.8672999999999998E-2</v>
      </c>
      <c r="BH345" s="35" t="str">
        <f t="shared" si="868"/>
        <v>Low</v>
      </c>
      <c r="BI345" s="110">
        <f t="shared" si="869"/>
        <v>0</v>
      </c>
      <c r="BJ345" s="83">
        <f>VLOOKUP($F345,REP_Info!$D$6:$H$250,5,FALSE)</f>
        <v>8.1270000000000007</v>
      </c>
      <c r="BK345" s="30">
        <f t="shared" si="870"/>
        <v>12.449300000000001</v>
      </c>
      <c r="BL345" s="30">
        <f t="shared" si="870"/>
        <v>12.0433</v>
      </c>
      <c r="BM345" s="30">
        <f t="shared" si="870"/>
        <v>11.840300000000001</v>
      </c>
      <c r="BN345" s="29">
        <f t="shared" si="870"/>
        <v>11.772633333333332</v>
      </c>
      <c r="BO345" s="85" t="str">
        <f t="shared" si="2"/>
        <v>$$$</v>
      </c>
      <c r="BP345" s="88" t="str">
        <f t="shared" si="871"/>
        <v>$$$</v>
      </c>
      <c r="BQ345" s="88" t="str">
        <f t="shared" si="4"/>
        <v>$$$</v>
      </c>
      <c r="BR345" s="88" t="str">
        <f t="shared" si="5"/>
        <v>$$$</v>
      </c>
      <c r="BS345" s="29" t="e">
        <f t="shared" si="872"/>
        <v>#N/A</v>
      </c>
      <c r="BT345" s="29" t="e">
        <f t="shared" si="872"/>
        <v>#N/A</v>
      </c>
      <c r="BU345" s="29" t="e">
        <f t="shared" si="872"/>
        <v>#N/A</v>
      </c>
      <c r="BV345" s="29" t="e">
        <f t="shared" si="872"/>
        <v>#N/A</v>
      </c>
      <c r="BW345" s="29" t="e">
        <f t="shared" si="872"/>
        <v>#N/A</v>
      </c>
      <c r="BX345" s="29" t="e">
        <f t="shared" si="872"/>
        <v>#N/A</v>
      </c>
      <c r="BY345" s="29" t="e">
        <f t="shared" si="872"/>
        <v>#N/A</v>
      </c>
      <c r="BZ345" s="29" t="e">
        <f t="shared" si="872"/>
        <v>#N/A</v>
      </c>
      <c r="CA345" s="29" t="e">
        <f t="shared" si="872"/>
        <v>#N/A</v>
      </c>
      <c r="CB345" s="29" t="e">
        <f t="shared" si="872"/>
        <v>#N/A</v>
      </c>
      <c r="CC345" s="29" t="e">
        <f t="shared" si="872"/>
        <v>#N/A</v>
      </c>
      <c r="CD345" s="29" t="e">
        <f t="shared" si="872"/>
        <v>#N/A</v>
      </c>
      <c r="CE345" s="6" t="str">
        <f t="shared" si="844"/>
        <v/>
      </c>
      <c r="CF345" s="27" t="e">
        <f>IF(AND(CI345,NOT(AD345)),LOOKUP(CF$5,{0,750,1500},H345:J345),"")</f>
        <v>#N/A</v>
      </c>
      <c r="CG345" s="6" t="str">
        <f t="shared" si="845"/>
        <v/>
      </c>
      <c r="CH345" t="e">
        <f t="shared" si="873"/>
        <v>#N/A</v>
      </c>
      <c r="CI345" t="e">
        <f t="shared" si="874"/>
        <v>#N/A</v>
      </c>
      <c r="CJ345" s="6" t="e">
        <f t="shared" si="11"/>
        <v>#N/A</v>
      </c>
      <c r="CK345" s="6">
        <f t="shared" si="12"/>
        <v>1</v>
      </c>
      <c r="CL345" s="6">
        <f t="shared" si="26"/>
        <v>1</v>
      </c>
      <c r="CM345" s="6">
        <f t="shared" si="13"/>
        <v>1</v>
      </c>
      <c r="CN345" s="6">
        <f t="shared" si="14"/>
        <v>1</v>
      </c>
      <c r="CO345" s="6">
        <f t="shared" si="15"/>
        <v>1</v>
      </c>
      <c r="CP345" s="6">
        <f t="shared" si="16"/>
        <v>1</v>
      </c>
      <c r="CQ345" s="6">
        <f t="shared" si="875"/>
        <v>1</v>
      </c>
      <c r="CR345" s="81" t="str">
        <f t="shared" si="17"/>
        <v/>
      </c>
      <c r="CS345">
        <f t="shared" si="876"/>
        <v>0</v>
      </c>
      <c r="CT345">
        <f t="shared" si="766"/>
        <v>300</v>
      </c>
      <c r="CU345" t="str">
        <f t="shared" si="29"/>
        <v/>
      </c>
      <c r="CV345" s="81">
        <f t="shared" si="877"/>
        <v>300</v>
      </c>
      <c r="CW345" s="81">
        <f>(CV345/25)^1.5*(Calculator!$BU$4/10000)*CW$5</f>
        <v>21.618321954745014</v>
      </c>
      <c r="CX345" t="str">
        <f t="shared" si="878"/>
        <v>$300</v>
      </c>
    </row>
    <row r="346" spans="2:102" x14ac:dyDescent="0.25">
      <c r="B346" s="115" t="s">
        <v>233</v>
      </c>
      <c r="C346" s="13">
        <v>46309.581944444442</v>
      </c>
      <c r="D346">
        <v>38476</v>
      </c>
      <c r="E346" s="54" t="s">
        <v>235</v>
      </c>
      <c r="F346" s="54" t="s">
        <v>640</v>
      </c>
      <c r="G346" s="54" t="s">
        <v>1480</v>
      </c>
      <c r="H346" s="55">
        <v>12.3</v>
      </c>
      <c r="I346" s="55">
        <v>11.799999999999999</v>
      </c>
      <c r="J346" s="55">
        <v>11.600000000000001</v>
      </c>
      <c r="K346" s="54"/>
      <c r="L346" s="56" t="b">
        <v>0</v>
      </c>
      <c r="M346" s="56" t="b">
        <v>0</v>
      </c>
      <c r="N346" s="54">
        <v>1</v>
      </c>
      <c r="O346" s="54" t="s">
        <v>228</v>
      </c>
      <c r="P346" s="54">
        <v>15</v>
      </c>
      <c r="Q346" s="54">
        <v>12</v>
      </c>
      <c r="R346" s="54">
        <v>300</v>
      </c>
      <c r="S346" s="54" t="s">
        <v>1727</v>
      </c>
      <c r="T346" s="54"/>
      <c r="U346" s="54" t="s">
        <v>1474</v>
      </c>
      <c r="V346" s="54" t="s">
        <v>1478</v>
      </c>
      <c r="W346" s="54" t="b">
        <v>0</v>
      </c>
      <c r="X346" s="54"/>
      <c r="Y346" s="57" t="s">
        <v>2031</v>
      </c>
      <c r="Z346" s="54" t="s">
        <v>1728</v>
      </c>
      <c r="AA346" s="54"/>
      <c r="AB346" s="54" t="s">
        <v>1479</v>
      </c>
      <c r="AC346" s="56" t="b">
        <v>1</v>
      </c>
      <c r="AD346" s="56" t="b">
        <v>0</v>
      </c>
      <c r="AE346" s="54" t="s">
        <v>302</v>
      </c>
      <c r="AF346" s="58">
        <v>46308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4.82E-2</v>
      </c>
      <c r="BC346" s="60">
        <v>4.9000000000000004</v>
      </c>
      <c r="BD346" s="61">
        <v>6.5333000000000002E-2</v>
      </c>
      <c r="BE346" s="62" t="s">
        <v>293</v>
      </c>
      <c r="BF346" s="35">
        <f t="shared" si="879"/>
        <v>4.9000000000000004</v>
      </c>
      <c r="BG346" s="35">
        <f t="shared" si="879"/>
        <v>6.5333000000000002E-2</v>
      </c>
      <c r="BH346" s="35" t="str">
        <f t="shared" si="868"/>
        <v>Low</v>
      </c>
      <c r="BI346" s="110">
        <f t="shared" si="869"/>
        <v>0</v>
      </c>
      <c r="BJ346" s="83">
        <f>VLOOKUP($F346,REP_Info!$D$6:$H$250,5,FALSE)</f>
        <v>8.1270000000000007</v>
      </c>
      <c r="BK346" s="30">
        <f t="shared" si="870"/>
        <v>12.333299999999999</v>
      </c>
      <c r="BL346" s="30">
        <f t="shared" si="870"/>
        <v>11.843299999999999</v>
      </c>
      <c r="BM346" s="30">
        <f t="shared" si="870"/>
        <v>11.598300000000002</v>
      </c>
      <c r="BN346" s="29">
        <f t="shared" si="870"/>
        <v>11.516633333333333</v>
      </c>
      <c r="BO346" s="85" t="str">
        <f t="shared" si="2"/>
        <v>$$$</v>
      </c>
      <c r="BP346" s="88" t="str">
        <f t="shared" si="871"/>
        <v>$$$</v>
      </c>
      <c r="BQ346" s="88" t="str">
        <f t="shared" ref="BQ346" si="880">IFERROR(SUMPRODUCT($BS$7:$CD$7,$BS346:$CD346,--($BS$4:$CD$4&lt;=$Q346))/SUMPRODUCT(--($BS$4:$CD$4&lt;=$Q346),$BS$7:$CD$7),"$$$")</f>
        <v>$$$</v>
      </c>
      <c r="BR346" s="88" t="str">
        <f t="shared" ref="BR346" si="881">IFERROR($BQ346-$BF346*100*SUMPRODUCT(--($BS$4:$CD$4&lt;=$Q346))/SUMPRODUCT(--($BS$4:$CD$4&lt;=$Q346),$BS$7:$CD$7)-$BG346*100,"$$$")</f>
        <v>$$$</v>
      </c>
      <c r="BS346" s="29" t="e">
        <f t="shared" si="872"/>
        <v>#N/A</v>
      </c>
      <c r="BT346" s="29" t="e">
        <f t="shared" si="872"/>
        <v>#N/A</v>
      </c>
      <c r="BU346" s="29" t="e">
        <f t="shared" si="872"/>
        <v>#N/A</v>
      </c>
      <c r="BV346" s="29" t="e">
        <f t="shared" si="872"/>
        <v>#N/A</v>
      </c>
      <c r="BW346" s="29" t="e">
        <f t="shared" si="872"/>
        <v>#N/A</v>
      </c>
      <c r="BX346" s="29" t="e">
        <f t="shared" si="872"/>
        <v>#N/A</v>
      </c>
      <c r="BY346" s="29" t="e">
        <f t="shared" si="872"/>
        <v>#N/A</v>
      </c>
      <c r="BZ346" s="29" t="e">
        <f t="shared" si="872"/>
        <v>#N/A</v>
      </c>
      <c r="CA346" s="29" t="e">
        <f t="shared" si="872"/>
        <v>#N/A</v>
      </c>
      <c r="CB346" s="29" t="e">
        <f t="shared" si="872"/>
        <v>#N/A</v>
      </c>
      <c r="CC346" s="29" t="e">
        <f t="shared" si="872"/>
        <v>#N/A</v>
      </c>
      <c r="CD346" s="29" t="e">
        <f t="shared" si="872"/>
        <v>#N/A</v>
      </c>
      <c r="CE346" s="6" t="str">
        <f t="shared" si="844"/>
        <v/>
      </c>
      <c r="CF346" s="27" t="e">
        <f>IF(AND(CI346,NOT(AD346)),LOOKUP(CF$5,{0,750,1500},H346:J346),"")</f>
        <v>#N/A</v>
      </c>
      <c r="CG346" s="6" t="str">
        <f t="shared" si="845"/>
        <v/>
      </c>
      <c r="CH346" t="e">
        <f t="shared" si="873"/>
        <v>#N/A</v>
      </c>
      <c r="CI346" t="e">
        <f t="shared" si="874"/>
        <v>#N/A</v>
      </c>
      <c r="CJ346" s="6" t="e">
        <f t="shared" si="11"/>
        <v>#N/A</v>
      </c>
      <c r="CK346" s="6">
        <f t="shared" si="12"/>
        <v>1</v>
      </c>
      <c r="CL346" s="6">
        <f t="shared" si="26"/>
        <v>1</v>
      </c>
      <c r="CM346" s="6">
        <f t="shared" si="13"/>
        <v>1</v>
      </c>
      <c r="CN346" s="6">
        <f t="shared" si="14"/>
        <v>1</v>
      </c>
      <c r="CO346" s="6">
        <f t="shared" si="15"/>
        <v>1</v>
      </c>
      <c r="CP346" s="6">
        <f t="shared" si="16"/>
        <v>1</v>
      </c>
      <c r="CQ346" s="6">
        <f t="shared" si="875"/>
        <v>1</v>
      </c>
      <c r="CR346" s="81" t="str">
        <f t="shared" si="17"/>
        <v/>
      </c>
      <c r="CS346">
        <f t="shared" si="876"/>
        <v>0</v>
      </c>
      <c r="CT346">
        <f t="shared" si="766"/>
        <v>300</v>
      </c>
      <c r="CU346" t="str">
        <f t="shared" si="29"/>
        <v/>
      </c>
      <c r="CV346" s="81">
        <f t="shared" si="877"/>
        <v>300</v>
      </c>
      <c r="CW346" s="81">
        <f>(CV346/25)^1.5*(Calculator!$BU$4/10000)*CW$5</f>
        <v>21.618321954745014</v>
      </c>
      <c r="CX346" t="str">
        <f t="shared" si="878"/>
        <v>$300</v>
      </c>
    </row>
    <row r="347" spans="2:102" x14ac:dyDescent="0.25">
      <c r="B347" s="115" t="s">
        <v>233</v>
      </c>
      <c r="C347" s="13">
        <v>46317.620833333334</v>
      </c>
      <c r="D347">
        <v>38595</v>
      </c>
      <c r="E347" s="54" t="s">
        <v>235</v>
      </c>
      <c r="F347" s="54" t="s">
        <v>640</v>
      </c>
      <c r="G347" s="54" t="s">
        <v>1477</v>
      </c>
      <c r="H347" s="55">
        <v>13.100000000000001</v>
      </c>
      <c r="I347" s="55">
        <v>12.6</v>
      </c>
      <c r="J347" s="55">
        <v>12.3</v>
      </c>
      <c r="K347" s="54"/>
      <c r="L347" s="56" t="b">
        <v>0</v>
      </c>
      <c r="M347" s="56" t="b">
        <v>0</v>
      </c>
      <c r="N347" s="54">
        <v>1</v>
      </c>
      <c r="O347" s="54" t="s">
        <v>228</v>
      </c>
      <c r="P347" s="54">
        <v>15</v>
      </c>
      <c r="Q347" s="54">
        <v>24</v>
      </c>
      <c r="R347" s="54">
        <v>300</v>
      </c>
      <c r="S347" s="54" t="s">
        <v>1727</v>
      </c>
      <c r="T347" s="54"/>
      <c r="U347" s="54" t="s">
        <v>1474</v>
      </c>
      <c r="V347" s="54" t="s">
        <v>1478</v>
      </c>
      <c r="W347" s="54" t="b">
        <v>0</v>
      </c>
      <c r="X347" s="54"/>
      <c r="Y347" s="57" t="s">
        <v>2228</v>
      </c>
      <c r="Z347" s="54" t="s">
        <v>1728</v>
      </c>
      <c r="AA347" s="54"/>
      <c r="AB347" s="54" t="s">
        <v>1479</v>
      </c>
      <c r="AC347" s="56" t="b">
        <v>1</v>
      </c>
      <c r="AD347" s="56" t="b">
        <v>0</v>
      </c>
      <c r="AE347" s="54" t="s">
        <v>302</v>
      </c>
      <c r="AF347" s="58">
        <v>46316</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5.5399999999999998E-2</v>
      </c>
      <c r="BC347" s="60">
        <v>4.9000000000000004</v>
      </c>
      <c r="BD347" s="61">
        <v>6.5333000000000002E-2</v>
      </c>
      <c r="BE347" s="62" t="s">
        <v>293</v>
      </c>
      <c r="BF347" s="35">
        <f t="shared" si="0"/>
        <v>4.9000000000000004</v>
      </c>
      <c r="BG347" s="35">
        <f t="shared" si="0"/>
        <v>6.5333000000000002E-2</v>
      </c>
      <c r="BH347" s="35" t="str">
        <f t="shared" ref="BH347:BH348" si="882">IF(ISTEXT(BE347),IF(AND(AV347=0,SUM(AN347:AQ347)=0),IF(AM347&lt;=0,IF(BE347="Y","Low","Flat"),"Med"),"High"),"?")</f>
        <v>Low</v>
      </c>
      <c r="BI347" s="110">
        <f t="shared" ref="BI347:BI348" si="883">IF(ISNUMBER(AH347),0*BI$5*SIN((EDATE($A$3,$Q347)-DATE(YEAR(EDATE($A$3,$Q347)),1,0)-BI$4)*2*PI()/365),"")</f>
        <v>0</v>
      </c>
      <c r="BJ347" s="83">
        <f>VLOOKUP($F347,REP_Info!$D$6:$H$250,5,FALSE)</f>
        <v>8.1270000000000007</v>
      </c>
      <c r="BK347" s="30">
        <f t="shared" ref="BK347:BN348" si="884">IF(BK$7&gt;0,(LOOKUP(BK$7,$AH347:$AL347,$AM347:$AQ347)+IF($AG347="Y",SUMPRODUCT($AX347:$BB347-$AW347:$BA347,BK$7-$AR347:$AV347,N(BK$7&gt;$AR347:$AV347)),BK$7*LOOKUP(BK$7,$AR347:$AV347,$AX347:$BB347))+IF($BE347="Y",$BF347,$BC347)+BK$7*IF($BE347="Y",$BG347,$BD347))*100/BK$7,"")</f>
        <v>13.053300000000002</v>
      </c>
      <c r="BL347" s="30">
        <f t="shared" si="884"/>
        <v>12.5633</v>
      </c>
      <c r="BM347" s="30">
        <f t="shared" si="884"/>
        <v>12.318299999999999</v>
      </c>
      <c r="BN347" s="29">
        <f t="shared" si="884"/>
        <v>12.236633333333334</v>
      </c>
      <c r="BO347" s="85" t="str">
        <f t="shared" si="2"/>
        <v>$$$</v>
      </c>
      <c r="BP347" s="88" t="str">
        <f t="shared" ref="BP347:BP348" si="885">IFERROR(BO347*100/BO$5,"$$$")</f>
        <v>$$$</v>
      </c>
      <c r="BQ347" s="88" t="str">
        <f t="shared" si="4"/>
        <v>$$$</v>
      </c>
      <c r="BR347" s="88" t="str">
        <f t="shared" si="5"/>
        <v>$$$</v>
      </c>
      <c r="BS347" s="29" t="e">
        <f t="shared" ref="BS347:CD348" si="886">IF($CI347,IF(BS$7&gt;0,IF(BS$4&gt;$Q347,$BF347+BS$7*(BS$5+$BG347+$BI347),LOOKUP(BS$7,$AH347:$AL347,$AM347:$AQ347)+IF($AG347="Y",SUMPRODUCT($AX347:$BB347-$AW347:$BA347,BS$7-$AR347:$AV347,N(BS$7&gt;$AR347:$AV347)),BS$7*LOOKUP(BS$7,$AR347:$AV347,$AX347:$BB347))+IF($BE347="Y",$BF347,$BC347)+BS$7*IF($BE347="Y",$BG347,$BD347))*100/BS$7,""),NA())</f>
        <v>#N/A</v>
      </c>
      <c r="BT347" s="29" t="e">
        <f t="shared" si="886"/>
        <v>#N/A</v>
      </c>
      <c r="BU347" s="29" t="e">
        <f t="shared" si="886"/>
        <v>#N/A</v>
      </c>
      <c r="BV347" s="29" t="e">
        <f t="shared" si="886"/>
        <v>#N/A</v>
      </c>
      <c r="BW347" s="29" t="e">
        <f t="shared" si="886"/>
        <v>#N/A</v>
      </c>
      <c r="BX347" s="29" t="e">
        <f t="shared" si="886"/>
        <v>#N/A</v>
      </c>
      <c r="BY347" s="29" t="e">
        <f t="shared" si="886"/>
        <v>#N/A</v>
      </c>
      <c r="BZ347" s="29" t="e">
        <f t="shared" si="886"/>
        <v>#N/A</v>
      </c>
      <c r="CA347" s="29" t="e">
        <f t="shared" si="886"/>
        <v>#N/A</v>
      </c>
      <c r="CB347" s="29" t="e">
        <f t="shared" si="886"/>
        <v>#N/A</v>
      </c>
      <c r="CC347" s="29" t="e">
        <f t="shared" si="886"/>
        <v>#N/A</v>
      </c>
      <c r="CD347" s="29" t="e">
        <f t="shared" si="886"/>
        <v>#N/A</v>
      </c>
      <c r="CE347" s="6" t="str">
        <f t="shared" si="844"/>
        <v/>
      </c>
      <c r="CF347" s="27" t="e">
        <f>IF(AND(CI347,NOT(AD347)),LOOKUP(CF$5,{0,750,1500},H347:J347),"")</f>
        <v>#N/A</v>
      </c>
      <c r="CG347" s="6" t="str">
        <f t="shared" si="845"/>
        <v/>
      </c>
      <c r="CH347" t="e">
        <f t="shared" ref="CH347:CH348" si="887">IF(CI347,IF(ISNUMBER(BO347),BO347,100000)+CV347/10000+IF(ISNUMBER(BJ347),BJ347,2)/10000-P347/100000+ROW()/10000000,"")</f>
        <v>#N/A</v>
      </c>
      <c r="CI347" t="e">
        <f t="shared" ref="CI347:CI348" si="888">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89">IF(CQ$5="Any",1,IF(AND(CQ$5="Med",AV347=0,SUM(AN347:AQ347)=0),1,IF(AND(CQ$5="Low",AV347=0,SUM(AN347:AQ347)=0,AM347=0),1,IF(AND(CQ$5="Flat",AV347=0,SUM(AN347:AQ347)=0,AM347=0,IFERROR(NOT(BE347="Y"),0)),1,0))))</f>
        <v>1</v>
      </c>
      <c r="CR347" s="81" t="str">
        <f t="shared" si="17"/>
        <v/>
      </c>
      <c r="CS347">
        <f t="shared" ref="CS347:CS348" si="890">CS$5*(12/(MIN(12,Q347))-1)</f>
        <v>0</v>
      </c>
      <c r="CT347">
        <f t="shared" si="766"/>
        <v>300</v>
      </c>
      <c r="CU347" t="str">
        <f t="shared" si="29"/>
        <v/>
      </c>
      <c r="CV347" s="81">
        <f t="shared" ref="CV347:CV348" si="891">CT347*IF(CU347="",1,Q347)</f>
        <v>300</v>
      </c>
      <c r="CW347" s="81">
        <f>(CV347/25)^1.5*(Calculator!$BU$4/10000)*CW$5</f>
        <v>21.618321954745014</v>
      </c>
      <c r="CX347" t="str">
        <f t="shared" ref="CX347:CX348" si="892">"$"&amp;IF(LEFT(CU347,1)="r",CT347&amp;"/"&amp;CU347,CV347)</f>
        <v>$300</v>
      </c>
    </row>
    <row r="348" spans="2:102" x14ac:dyDescent="0.25">
      <c r="B348" s="115" t="s">
        <v>233</v>
      </c>
      <c r="C348" s="13">
        <v>46318.697916666664</v>
      </c>
      <c r="D348">
        <v>38640</v>
      </c>
      <c r="E348" s="54" t="s">
        <v>235</v>
      </c>
      <c r="F348" s="54" t="s">
        <v>640</v>
      </c>
      <c r="G348" s="54" t="s">
        <v>1481</v>
      </c>
      <c r="H348" s="55">
        <v>13.4</v>
      </c>
      <c r="I348" s="55">
        <v>12.9</v>
      </c>
      <c r="J348" s="55">
        <v>12.7</v>
      </c>
      <c r="K348" s="54"/>
      <c r="L348" s="56" t="b">
        <v>0</v>
      </c>
      <c r="M348" s="56" t="b">
        <v>0</v>
      </c>
      <c r="N348" s="54">
        <v>1</v>
      </c>
      <c r="O348" s="54" t="s">
        <v>228</v>
      </c>
      <c r="P348" s="54">
        <v>15</v>
      </c>
      <c r="Q348" s="54">
        <v>36</v>
      </c>
      <c r="R348" s="54">
        <v>300</v>
      </c>
      <c r="S348" s="54" t="s">
        <v>1727</v>
      </c>
      <c r="T348" s="54"/>
      <c r="U348" s="54" t="s">
        <v>1474</v>
      </c>
      <c r="V348" s="54" t="s">
        <v>1478</v>
      </c>
      <c r="W348" s="54" t="b">
        <v>0</v>
      </c>
      <c r="X348" s="54"/>
      <c r="Y348" s="57" t="s">
        <v>2242</v>
      </c>
      <c r="Z348" s="54" t="s">
        <v>1728</v>
      </c>
      <c r="AA348" s="54"/>
      <c r="AB348" s="54" t="s">
        <v>1479</v>
      </c>
      <c r="AC348" s="56" t="b">
        <v>1</v>
      </c>
      <c r="AD348" s="56" t="b">
        <v>0</v>
      </c>
      <c r="AE348" s="54" t="s">
        <v>302</v>
      </c>
      <c r="AF348" s="58">
        <v>46318</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5.9200000000000003E-2</v>
      </c>
      <c r="BC348" s="60">
        <v>4.9000000000000004</v>
      </c>
      <c r="BD348" s="61">
        <v>6.5333000000000002E-2</v>
      </c>
      <c r="BE348" s="62" t="s">
        <v>293</v>
      </c>
      <c r="BF348" s="35">
        <f t="shared" si="0"/>
        <v>4.9000000000000004</v>
      </c>
      <c r="BG348" s="35">
        <f t="shared" si="0"/>
        <v>6.5333000000000002E-2</v>
      </c>
      <c r="BH348" s="35" t="str">
        <f t="shared" si="882"/>
        <v>Low</v>
      </c>
      <c r="BI348" s="110">
        <f t="shared" si="883"/>
        <v>0</v>
      </c>
      <c r="BJ348" s="83">
        <f>VLOOKUP($F348,REP_Info!$D$6:$H$250,5,FALSE)</f>
        <v>8.1270000000000007</v>
      </c>
      <c r="BK348" s="30">
        <f t="shared" si="884"/>
        <v>13.433299999999999</v>
      </c>
      <c r="BL348" s="30">
        <f t="shared" si="884"/>
        <v>12.943299999999999</v>
      </c>
      <c r="BM348" s="30">
        <f t="shared" si="884"/>
        <v>12.698300000000001</v>
      </c>
      <c r="BN348" s="29">
        <f t="shared" si="884"/>
        <v>12.616633333333334</v>
      </c>
      <c r="BO348" s="85" t="str">
        <f t="shared" si="2"/>
        <v>$$$</v>
      </c>
      <c r="BP348" s="88" t="str">
        <f t="shared" si="885"/>
        <v>$$$</v>
      </c>
      <c r="BQ348" s="88" t="str">
        <f t="shared" si="4"/>
        <v>$$$</v>
      </c>
      <c r="BR348" s="88" t="str">
        <f t="shared" si="5"/>
        <v>$$$</v>
      </c>
      <c r="BS348" s="29" t="e">
        <f t="shared" si="886"/>
        <v>#N/A</v>
      </c>
      <c r="BT348" s="29" t="e">
        <f t="shared" si="886"/>
        <v>#N/A</v>
      </c>
      <c r="BU348" s="29" t="e">
        <f t="shared" si="886"/>
        <v>#N/A</v>
      </c>
      <c r="BV348" s="29" t="e">
        <f t="shared" si="886"/>
        <v>#N/A</v>
      </c>
      <c r="BW348" s="29" t="e">
        <f t="shared" si="886"/>
        <v>#N/A</v>
      </c>
      <c r="BX348" s="29" t="e">
        <f t="shared" si="886"/>
        <v>#N/A</v>
      </c>
      <c r="BY348" s="29" t="e">
        <f t="shared" si="886"/>
        <v>#N/A</v>
      </c>
      <c r="BZ348" s="29" t="e">
        <f t="shared" si="886"/>
        <v>#N/A</v>
      </c>
      <c r="CA348" s="29" t="e">
        <f t="shared" si="886"/>
        <v>#N/A</v>
      </c>
      <c r="CB348" s="29" t="e">
        <f t="shared" si="886"/>
        <v>#N/A</v>
      </c>
      <c r="CC348" s="29" t="e">
        <f t="shared" si="886"/>
        <v>#N/A</v>
      </c>
      <c r="CD348" s="29" t="e">
        <f t="shared" si="886"/>
        <v>#N/A</v>
      </c>
      <c r="CE348" s="6" t="str">
        <f t="shared" si="844"/>
        <v/>
      </c>
      <c r="CF348" s="27" t="e">
        <f>IF(AND(CI348,NOT(AD348)),LOOKUP(CF$5,{0,750,1500},H348:J348),"")</f>
        <v>#N/A</v>
      </c>
      <c r="CG348" s="6" t="str">
        <f t="shared" si="845"/>
        <v/>
      </c>
      <c r="CH348" t="e">
        <f t="shared" si="887"/>
        <v>#N/A</v>
      </c>
      <c r="CI348" t="e">
        <f t="shared" si="888"/>
        <v>#N/A</v>
      </c>
      <c r="CJ348" s="6" t="e">
        <f t="shared" si="11"/>
        <v>#N/A</v>
      </c>
      <c r="CK348" s="6">
        <f t="shared" si="12"/>
        <v>1</v>
      </c>
      <c r="CL348" s="6">
        <f t="shared" si="26"/>
        <v>1</v>
      </c>
      <c r="CM348" s="6">
        <f t="shared" si="13"/>
        <v>1</v>
      </c>
      <c r="CN348" s="6">
        <f t="shared" si="14"/>
        <v>1</v>
      </c>
      <c r="CO348" s="6">
        <f t="shared" si="15"/>
        <v>0</v>
      </c>
      <c r="CP348" s="6">
        <f t="shared" si="16"/>
        <v>1</v>
      </c>
      <c r="CQ348" s="6">
        <f t="shared" si="889"/>
        <v>1</v>
      </c>
      <c r="CR348" s="81" t="str">
        <f t="shared" si="17"/>
        <v/>
      </c>
      <c r="CS348">
        <f t="shared" si="890"/>
        <v>0</v>
      </c>
      <c r="CT348">
        <f t="shared" si="766"/>
        <v>300</v>
      </c>
      <c r="CU348" t="str">
        <f t="shared" si="29"/>
        <v/>
      </c>
      <c r="CV348" s="81">
        <f t="shared" si="891"/>
        <v>300</v>
      </c>
      <c r="CW348" s="81">
        <f>(CV348/25)^1.5*(Calculator!$BU$4/10000)*CW$5</f>
        <v>21.618321954745014</v>
      </c>
      <c r="CX348" t="str">
        <f t="shared" si="892"/>
        <v>$300</v>
      </c>
    </row>
    <row r="349" spans="2:102" x14ac:dyDescent="0.25">
      <c r="B349" s="115" t="s">
        <v>233</v>
      </c>
      <c r="C349" s="13">
        <v>46318.697916666664</v>
      </c>
      <c r="D349">
        <v>38642</v>
      </c>
      <c r="E349" s="54" t="s">
        <v>237</v>
      </c>
      <c r="F349" s="54" t="s">
        <v>640</v>
      </c>
      <c r="G349" s="54" t="s">
        <v>1477</v>
      </c>
      <c r="H349" s="55">
        <v>13.3</v>
      </c>
      <c r="I349" s="55">
        <v>12.9</v>
      </c>
      <c r="J349" s="55">
        <v>12.7</v>
      </c>
      <c r="K349" s="54"/>
      <c r="L349" s="56" t="b">
        <v>0</v>
      </c>
      <c r="M349" s="56" t="b">
        <v>0</v>
      </c>
      <c r="N349" s="54">
        <v>1</v>
      </c>
      <c r="O349" s="54" t="s">
        <v>228</v>
      </c>
      <c r="P349" s="54">
        <v>15</v>
      </c>
      <c r="Q349" s="54">
        <v>24</v>
      </c>
      <c r="R349" s="54">
        <v>300</v>
      </c>
      <c r="S349" s="54" t="s">
        <v>1727</v>
      </c>
      <c r="T349" s="54"/>
      <c r="U349" s="54" t="s">
        <v>1474</v>
      </c>
      <c r="V349" s="54" t="s">
        <v>1478</v>
      </c>
      <c r="W349" s="54" t="b">
        <v>0</v>
      </c>
      <c r="X349" s="54"/>
      <c r="Y349" s="57" t="s">
        <v>2243</v>
      </c>
      <c r="Z349" s="54" t="s">
        <v>1728</v>
      </c>
      <c r="AA349" s="54"/>
      <c r="AB349" s="54" t="s">
        <v>1479</v>
      </c>
      <c r="AC349" s="56" t="b">
        <v>1</v>
      </c>
      <c r="AD349" s="56" t="b">
        <v>0</v>
      </c>
      <c r="AE349" s="54" t="s">
        <v>302</v>
      </c>
      <c r="AF349" s="58">
        <v>46318</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5.6099999999999997E-2</v>
      </c>
      <c r="BC349" s="60">
        <v>4.0599999999999996</v>
      </c>
      <c r="BD349" s="61">
        <v>6.8672999999999998E-2</v>
      </c>
      <c r="BE349" s="62" t="s">
        <v>293</v>
      </c>
      <c r="BF349" s="35">
        <f t="shared" si="0"/>
        <v>4.0600000000000005</v>
      </c>
      <c r="BG349" s="35">
        <f t="shared" si="0"/>
        <v>6.8672999999999998E-2</v>
      </c>
      <c r="BH349" s="35" t="str">
        <f t="shared" ref="BH349:BH350" si="893">IF(ISTEXT(BE349),IF(AND(AV349=0,SUM(AN349:AQ349)=0),IF(AM349&lt;=0,IF(BE349="Y","Low","Flat"),"Med"),"High"),"?")</f>
        <v>Low</v>
      </c>
      <c r="BI349" s="110">
        <f t="shared" ref="BI349:BI350" si="894">IF(ISNUMBER(AH349),0*BI$5*SIN((EDATE($A$3,$Q349)-DATE(YEAR(EDATE($A$3,$Q349)),1,0)-BI$4)*2*PI()/365),"")</f>
        <v>0</v>
      </c>
      <c r="BJ349" s="83">
        <f>VLOOKUP($F349,REP_Info!$D$6:$H$250,5,FALSE)</f>
        <v>8.1270000000000007</v>
      </c>
      <c r="BK349" s="30">
        <f t="shared" ref="BK349:BN350" si="895">IF(BK$7&gt;0,(LOOKUP(BK$7,$AH349:$AL349,$AM349:$AQ349)+IF($AG349="Y",SUMPRODUCT($AX349:$BB349-$AW349:$BA349,BK$7-$AR349:$AV349,N(BK$7&gt;$AR349:$AV349)),BK$7*LOOKUP(BK$7,$AR349:$AV349,$AX349:$BB349))+IF($BE349="Y",$BF349,$BC349)+BK$7*IF($BE349="Y",$BG349,$BD349))*100/BK$7,"")</f>
        <v>13.289299999999999</v>
      </c>
      <c r="BL349" s="30">
        <f t="shared" si="895"/>
        <v>12.883299999999998</v>
      </c>
      <c r="BM349" s="30">
        <f t="shared" si="895"/>
        <v>12.680299999999999</v>
      </c>
      <c r="BN349" s="29">
        <f t="shared" si="895"/>
        <v>12.612633333333333</v>
      </c>
      <c r="BO349" s="85" t="str">
        <f t="shared" si="2"/>
        <v>$$$</v>
      </c>
      <c r="BP349" s="88" t="str">
        <f t="shared" ref="BP349:BP350" si="896">IFERROR(BO349*100/BO$5,"$$$")</f>
        <v>$$$</v>
      </c>
      <c r="BQ349" s="88" t="str">
        <f t="shared" si="4"/>
        <v>$$$</v>
      </c>
      <c r="BR349" s="88" t="str">
        <f t="shared" si="5"/>
        <v>$$$</v>
      </c>
      <c r="BS349" s="29" t="e">
        <f t="shared" ref="BS349:CD350" si="897">IF($CI349,IF(BS$7&gt;0,IF(BS$4&gt;$Q349,$BF349+BS$7*(BS$5+$BG349+$BI349),LOOKUP(BS$7,$AH349:$AL349,$AM349:$AQ349)+IF($AG349="Y",SUMPRODUCT($AX349:$BB349-$AW349:$BA349,BS$7-$AR349:$AV349,N(BS$7&gt;$AR349:$AV349)),BS$7*LOOKUP(BS$7,$AR349:$AV349,$AX349:$BB349))+IF($BE349="Y",$BF349,$BC349)+BS$7*IF($BE349="Y",$BG349,$BD349))*100/BS$7,""),NA())</f>
        <v>#N/A</v>
      </c>
      <c r="BT349" s="29" t="e">
        <f t="shared" si="897"/>
        <v>#N/A</v>
      </c>
      <c r="BU349" s="29" t="e">
        <f t="shared" si="897"/>
        <v>#N/A</v>
      </c>
      <c r="BV349" s="29" t="e">
        <f t="shared" si="897"/>
        <v>#N/A</v>
      </c>
      <c r="BW349" s="29" t="e">
        <f t="shared" si="897"/>
        <v>#N/A</v>
      </c>
      <c r="BX349" s="29" t="e">
        <f t="shared" si="897"/>
        <v>#N/A</v>
      </c>
      <c r="BY349" s="29" t="e">
        <f t="shared" si="897"/>
        <v>#N/A</v>
      </c>
      <c r="BZ349" s="29" t="e">
        <f t="shared" si="897"/>
        <v>#N/A</v>
      </c>
      <c r="CA349" s="29" t="e">
        <f t="shared" si="897"/>
        <v>#N/A</v>
      </c>
      <c r="CB349" s="29" t="e">
        <f t="shared" si="897"/>
        <v>#N/A</v>
      </c>
      <c r="CC349" s="29" t="e">
        <f t="shared" si="897"/>
        <v>#N/A</v>
      </c>
      <c r="CD349" s="29" t="e">
        <f t="shared" si="897"/>
        <v>#N/A</v>
      </c>
      <c r="CE349" s="6" t="str">
        <f t="shared" si="844"/>
        <v/>
      </c>
      <c r="CF349" s="27" t="e">
        <f>IF(AND(CI349,NOT(AD349)),LOOKUP(CF$5,{0,750,1500},H349:J349),"")</f>
        <v>#N/A</v>
      </c>
      <c r="CG349" s="6" t="str">
        <f t="shared" si="845"/>
        <v/>
      </c>
      <c r="CH349" t="e">
        <f t="shared" ref="CH349:CH350" si="898">IF(CI349,IF(ISNUMBER(BO349),BO349,100000)+CV349/10000+IF(ISNUMBER(BJ349),BJ349,2)/10000-P349/100000+ROW()/10000000,"")</f>
        <v>#N/A</v>
      </c>
      <c r="CI349" t="e">
        <f t="shared" ref="CI349:CI350" si="899">PRODUCT(CJ349:CQ349)</f>
        <v>#N/A</v>
      </c>
      <c r="CJ349" s="6" t="e">
        <f t="shared" si="11"/>
        <v>#N/A</v>
      </c>
      <c r="CK349" s="6">
        <f t="shared" si="12"/>
        <v>1</v>
      </c>
      <c r="CL349" s="6">
        <f t="shared" si="26"/>
        <v>1</v>
      </c>
      <c r="CM349" s="6">
        <f t="shared" si="13"/>
        <v>1</v>
      </c>
      <c r="CN349" s="6">
        <f t="shared" si="14"/>
        <v>1</v>
      </c>
      <c r="CO349" s="6">
        <f t="shared" si="15"/>
        <v>0</v>
      </c>
      <c r="CP349" s="6">
        <f t="shared" si="16"/>
        <v>1</v>
      </c>
      <c r="CQ349" s="6">
        <f t="shared" ref="CQ349:CQ350" si="900">IF(CQ$5="Any",1,IF(AND(CQ$5="Med",AV349=0,SUM(AN349:AQ349)=0),1,IF(AND(CQ$5="Low",AV349=0,SUM(AN349:AQ349)=0,AM349=0),1,IF(AND(CQ$5="Flat",AV349=0,SUM(AN349:AQ349)=0,AM349=0,IFERROR(NOT(BE349="Y"),0)),1,0))))</f>
        <v>1</v>
      </c>
      <c r="CR349" s="81" t="str">
        <f t="shared" si="17"/>
        <v/>
      </c>
      <c r="CS349">
        <f t="shared" ref="CS349:CS350" si="901">CS$5*(12/(MIN(12,Q349))-1)</f>
        <v>0</v>
      </c>
      <c r="CT349">
        <f t="shared" si="766"/>
        <v>300</v>
      </c>
      <c r="CU349" t="str">
        <f t="shared" si="29"/>
        <v/>
      </c>
      <c r="CV349" s="81">
        <f t="shared" ref="CV349:CV350" si="902">CT349*IF(CU349="",1,Q349)</f>
        <v>300</v>
      </c>
      <c r="CW349" s="81">
        <f>(CV349/25)^1.5*(Calculator!$BU$4/10000)*CW$5</f>
        <v>21.618321954745014</v>
      </c>
      <c r="CX349" t="str">
        <f t="shared" ref="CX349:CX350" si="903">"$"&amp;IF(LEFT(CU349,1)="r",CT349&amp;"/"&amp;CU349,CV349)</f>
        <v>$300</v>
      </c>
    </row>
    <row r="350" spans="2:102" x14ac:dyDescent="0.25">
      <c r="B350" s="115" t="s">
        <v>233</v>
      </c>
      <c r="C350" s="13">
        <v>46318.697916666664</v>
      </c>
      <c r="D350">
        <v>38644</v>
      </c>
      <c r="E350" s="54" t="s">
        <v>237</v>
      </c>
      <c r="F350" s="54" t="s">
        <v>640</v>
      </c>
      <c r="G350" s="54" t="s">
        <v>1481</v>
      </c>
      <c r="H350" s="55">
        <v>13.5</v>
      </c>
      <c r="I350" s="55">
        <v>13.100000000000001</v>
      </c>
      <c r="J350" s="55">
        <v>12.9</v>
      </c>
      <c r="K350" s="54"/>
      <c r="L350" s="56" t="b">
        <v>0</v>
      </c>
      <c r="M350" s="56" t="b">
        <v>0</v>
      </c>
      <c r="N350" s="54">
        <v>1</v>
      </c>
      <c r="O350" s="54" t="s">
        <v>228</v>
      </c>
      <c r="P350" s="54">
        <v>15</v>
      </c>
      <c r="Q350" s="54">
        <v>36</v>
      </c>
      <c r="R350" s="54">
        <v>300</v>
      </c>
      <c r="S350" s="54" t="s">
        <v>1727</v>
      </c>
      <c r="T350" s="54"/>
      <c r="U350" s="54" t="s">
        <v>1474</v>
      </c>
      <c r="V350" s="54" t="s">
        <v>1478</v>
      </c>
      <c r="W350" s="54" t="b">
        <v>0</v>
      </c>
      <c r="X350" s="54"/>
      <c r="Y350" s="57" t="s">
        <v>2244</v>
      </c>
      <c r="Z350" s="54" t="s">
        <v>1728</v>
      </c>
      <c r="AA350" s="54"/>
      <c r="AB350" s="54" t="s">
        <v>1479</v>
      </c>
      <c r="AC350" s="56" t="b">
        <v>1</v>
      </c>
      <c r="AD350" s="56" t="b">
        <v>0</v>
      </c>
      <c r="AE350" s="54" t="s">
        <v>302</v>
      </c>
      <c r="AF350" s="58">
        <v>46318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5.8500000000000003E-2</v>
      </c>
      <c r="BC350" s="60">
        <v>4.0599999999999996</v>
      </c>
      <c r="BD350" s="61">
        <v>6.8672999999999998E-2</v>
      </c>
      <c r="BE350" s="62" t="s">
        <v>293</v>
      </c>
      <c r="BF350" s="35">
        <f t="shared" si="0"/>
        <v>4.0600000000000005</v>
      </c>
      <c r="BG350" s="35">
        <f t="shared" si="0"/>
        <v>6.8672999999999998E-2</v>
      </c>
      <c r="BH350" s="35" t="str">
        <f t="shared" si="893"/>
        <v>Low</v>
      </c>
      <c r="BI350" s="110">
        <f t="shared" si="894"/>
        <v>0</v>
      </c>
      <c r="BJ350" s="83">
        <f>VLOOKUP($F350,REP_Info!$D$6:$H$250,5,FALSE)</f>
        <v>8.1270000000000007</v>
      </c>
      <c r="BK350" s="30">
        <f t="shared" si="895"/>
        <v>13.529300000000001</v>
      </c>
      <c r="BL350" s="30">
        <f t="shared" si="895"/>
        <v>13.1233</v>
      </c>
      <c r="BM350" s="30">
        <f t="shared" si="895"/>
        <v>12.920300000000001</v>
      </c>
      <c r="BN350" s="29">
        <f t="shared" si="895"/>
        <v>12.852633333333333</v>
      </c>
      <c r="BO350" s="85" t="str">
        <f t="shared" si="2"/>
        <v>$$$</v>
      </c>
      <c r="BP350" s="88" t="str">
        <f t="shared" si="896"/>
        <v>$$$</v>
      </c>
      <c r="BQ350" s="88" t="str">
        <f t="shared" si="4"/>
        <v>$$$</v>
      </c>
      <c r="BR350" s="88" t="str">
        <f t="shared" si="5"/>
        <v>$$$</v>
      </c>
      <c r="BS350" s="29" t="e">
        <f t="shared" si="897"/>
        <v>#N/A</v>
      </c>
      <c r="BT350" s="29" t="e">
        <f t="shared" si="897"/>
        <v>#N/A</v>
      </c>
      <c r="BU350" s="29" t="e">
        <f t="shared" si="897"/>
        <v>#N/A</v>
      </c>
      <c r="BV350" s="29" t="e">
        <f t="shared" si="897"/>
        <v>#N/A</v>
      </c>
      <c r="BW350" s="29" t="e">
        <f t="shared" si="897"/>
        <v>#N/A</v>
      </c>
      <c r="BX350" s="29" t="e">
        <f t="shared" si="897"/>
        <v>#N/A</v>
      </c>
      <c r="BY350" s="29" t="e">
        <f t="shared" si="897"/>
        <v>#N/A</v>
      </c>
      <c r="BZ350" s="29" t="e">
        <f t="shared" si="897"/>
        <v>#N/A</v>
      </c>
      <c r="CA350" s="29" t="e">
        <f t="shared" si="897"/>
        <v>#N/A</v>
      </c>
      <c r="CB350" s="29" t="e">
        <f t="shared" si="897"/>
        <v>#N/A</v>
      </c>
      <c r="CC350" s="29" t="e">
        <f t="shared" si="897"/>
        <v>#N/A</v>
      </c>
      <c r="CD350" s="29" t="e">
        <f t="shared" si="897"/>
        <v>#N/A</v>
      </c>
      <c r="CE350" s="6" t="str">
        <f t="shared" si="844"/>
        <v/>
      </c>
      <c r="CF350" s="27" t="e">
        <f>IF(AND(CI350,NOT(AD350)),LOOKUP(CF$5,{0,750,1500},H350:J350),"")</f>
        <v>#N/A</v>
      </c>
      <c r="CG350" s="6" t="str">
        <f t="shared" si="845"/>
        <v/>
      </c>
      <c r="CH350" t="e">
        <f t="shared" si="898"/>
        <v>#N/A</v>
      </c>
      <c r="CI350" t="e">
        <f t="shared" si="899"/>
        <v>#N/A</v>
      </c>
      <c r="CJ350" s="6" t="e">
        <f t="shared" si="11"/>
        <v>#N/A</v>
      </c>
      <c r="CK350" s="6">
        <f t="shared" si="12"/>
        <v>1</v>
      </c>
      <c r="CL350" s="6">
        <f t="shared" si="26"/>
        <v>1</v>
      </c>
      <c r="CM350" s="6">
        <f t="shared" si="13"/>
        <v>1</v>
      </c>
      <c r="CN350" s="6">
        <f t="shared" si="14"/>
        <v>1</v>
      </c>
      <c r="CO350" s="6">
        <f t="shared" si="15"/>
        <v>0</v>
      </c>
      <c r="CP350" s="6">
        <f t="shared" si="16"/>
        <v>1</v>
      </c>
      <c r="CQ350" s="6">
        <f t="shared" si="900"/>
        <v>1</v>
      </c>
      <c r="CR350" s="81" t="str">
        <f t="shared" si="17"/>
        <v/>
      </c>
      <c r="CS350">
        <f t="shared" si="901"/>
        <v>0</v>
      </c>
      <c r="CT350">
        <f t="shared" si="766"/>
        <v>300</v>
      </c>
      <c r="CU350" t="str">
        <f t="shared" si="29"/>
        <v/>
      </c>
      <c r="CV350" s="81">
        <f t="shared" si="902"/>
        <v>300</v>
      </c>
      <c r="CW350" s="81">
        <f>(CV350/25)^1.5*(Calculator!$BU$4/10000)*CW$5</f>
        <v>21.618321954745014</v>
      </c>
      <c r="CX350" t="str">
        <f t="shared" si="903"/>
        <v>$300</v>
      </c>
    </row>
    <row r="351" spans="2:102" x14ac:dyDescent="0.25">
      <c r="B351" s="115" t="s">
        <v>233</v>
      </c>
      <c r="C351" s="13">
        <v>46314.470138888886</v>
      </c>
      <c r="D351">
        <v>36599</v>
      </c>
      <c r="E351" s="54" t="s">
        <v>235</v>
      </c>
      <c r="F351" s="54" t="s">
        <v>641</v>
      </c>
      <c r="G351" s="54" t="s">
        <v>2083</v>
      </c>
      <c r="H351" s="55">
        <v>20.5</v>
      </c>
      <c r="I351" s="55">
        <v>19.100000000000001</v>
      </c>
      <c r="J351" s="55">
        <v>18.3</v>
      </c>
      <c r="K351" s="54" t="s">
        <v>2092</v>
      </c>
      <c r="L351" s="56" t="b">
        <v>0</v>
      </c>
      <c r="M351" s="56" t="b">
        <v>1</v>
      </c>
      <c r="N351" s="54">
        <v>1</v>
      </c>
      <c r="O351" s="54" t="s">
        <v>228</v>
      </c>
      <c r="P351" s="54">
        <v>3</v>
      </c>
      <c r="Q351" s="54">
        <v>12</v>
      </c>
      <c r="R351" s="54">
        <v>150</v>
      </c>
      <c r="S351" s="54" t="s">
        <v>1503</v>
      </c>
      <c r="T351" s="54"/>
      <c r="U351" s="54" t="s">
        <v>642</v>
      </c>
      <c r="V351" s="54" t="s">
        <v>643</v>
      </c>
      <c r="W351" s="54" t="b">
        <v>0</v>
      </c>
      <c r="X351" s="54"/>
      <c r="Y351" s="57" t="s">
        <v>2084</v>
      </c>
      <c r="Z351" s="54" t="s">
        <v>1504</v>
      </c>
      <c r="AA351" s="54"/>
      <c r="AB351" s="54" t="s">
        <v>644</v>
      </c>
      <c r="AC351" s="56" t="b">
        <v>1</v>
      </c>
      <c r="AD351" s="56" t="b">
        <v>1</v>
      </c>
      <c r="AE351" s="54" t="s">
        <v>302</v>
      </c>
      <c r="AF351" s="58">
        <v>46314</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0.20699999999999999</v>
      </c>
      <c r="BC351" s="60"/>
      <c r="BD351" s="61"/>
      <c r="BE351" s="62" t="e">
        <v>#N/A</v>
      </c>
      <c r="BF351" s="35">
        <f t="shared" si="0"/>
        <v>4.9000000000000004</v>
      </c>
      <c r="BG351" s="35">
        <f t="shared" si="0"/>
        <v>6.5333000000000002E-2</v>
      </c>
      <c r="BH351" s="35" t="str">
        <f t="shared" ref="BH351:BH352" si="904">IF(ISTEXT(BE351),IF(AND(AV351=0,SUM(AN351:AQ351)=0),IF(AM351&lt;=0,IF(BE351="Y","Low","Flat"),"Med"),"High"),"?")</f>
        <v>?</v>
      </c>
      <c r="BI351" s="110">
        <f t="shared" ref="BI351:BI352" si="905">IF(ISNUMBER(AH351),0*BI$5*SIN((EDATE($A$3,$Q351)-DATE(YEAR(EDATE($A$3,$Q351)),1,0)-BI$4)*2*PI()/365),"")</f>
        <v>0</v>
      </c>
      <c r="BJ351" s="83">
        <f>VLOOKUP($F351,REP_Info!$D$6:$H$250,5,FALSE)</f>
        <v>0.48199999999999998</v>
      </c>
      <c r="BK351" s="30" t="e">
        <f t="shared" ref="BK351:BN352" si="906">IF(BK$7&gt;0,(LOOKUP(BK$7,$AH351:$AL351,$AM351:$AQ351)+IF($AG351="Y",SUMPRODUCT($AX351:$BB351-$AW351:$BA351,BK$7-$AR351:$AV351,N(BK$7&gt;$AR351:$AV351)),BK$7*LOOKUP(BK$7,$AR351:$AV351,$AX351:$BB351))+IF($BE351="Y",$BF351,$BC351)+BK$7*IF($BE351="Y",$BG351,$BD351))*100/BK$7,"")</f>
        <v>#N/A</v>
      </c>
      <c r="BL351" s="30" t="e">
        <f t="shared" si="906"/>
        <v>#N/A</v>
      </c>
      <c r="BM351" s="30" t="e">
        <f t="shared" si="906"/>
        <v>#N/A</v>
      </c>
      <c r="BN351" s="29" t="e">
        <f t="shared" si="906"/>
        <v>#N/A</v>
      </c>
      <c r="BO351" s="85" t="str">
        <f t="shared" si="2"/>
        <v>$$$</v>
      </c>
      <c r="BP351" s="88" t="str">
        <f t="shared" ref="BP351:BP352" si="907">IFERROR(BO351*100/BO$5,"$$$")</f>
        <v>$$$</v>
      </c>
      <c r="BQ351" s="88" t="str">
        <f t="shared" si="4"/>
        <v>$$$</v>
      </c>
      <c r="BR351" s="88" t="str">
        <f t="shared" si="5"/>
        <v>$$$</v>
      </c>
      <c r="BS351" s="29" t="e">
        <f t="shared" ref="BS351:CD352" si="908">IF($CI351,IF(BS$7&gt;0,IF(BS$4&gt;$Q351,$BF351+BS$7*(BS$5+$BG351+$BI351),LOOKUP(BS$7,$AH351:$AL351,$AM351:$AQ351)+IF($AG351="Y",SUMPRODUCT($AX351:$BB351-$AW351:$BA351,BS$7-$AR351:$AV351,N(BS$7&gt;$AR351:$AV351)),BS$7*LOOKUP(BS$7,$AR351:$AV351,$AX351:$BB351))+IF($BE351="Y",$BF351,$BC351)+BS$7*IF($BE351="Y",$BG351,$BD351))*100/BS$7,""),NA())</f>
        <v>#N/A</v>
      </c>
      <c r="BT351" s="29" t="e">
        <f t="shared" si="908"/>
        <v>#N/A</v>
      </c>
      <c r="BU351" s="29" t="e">
        <f t="shared" si="908"/>
        <v>#N/A</v>
      </c>
      <c r="BV351" s="29" t="e">
        <f t="shared" si="908"/>
        <v>#N/A</v>
      </c>
      <c r="BW351" s="29" t="e">
        <f t="shared" si="908"/>
        <v>#N/A</v>
      </c>
      <c r="BX351" s="29" t="e">
        <f t="shared" si="908"/>
        <v>#N/A</v>
      </c>
      <c r="BY351" s="29" t="e">
        <f t="shared" si="908"/>
        <v>#N/A</v>
      </c>
      <c r="BZ351" s="29" t="e">
        <f t="shared" si="908"/>
        <v>#N/A</v>
      </c>
      <c r="CA351" s="29" t="e">
        <f t="shared" si="908"/>
        <v>#N/A</v>
      </c>
      <c r="CB351" s="29" t="e">
        <f t="shared" si="908"/>
        <v>#N/A</v>
      </c>
      <c r="CC351" s="29" t="e">
        <f t="shared" si="908"/>
        <v>#N/A</v>
      </c>
      <c r="CD351" s="29" t="e">
        <f t="shared" si="908"/>
        <v>#N/A</v>
      </c>
      <c r="CE351" s="6" t="str">
        <f t="shared" si="844"/>
        <v/>
      </c>
      <c r="CF351" s="27" t="e">
        <f>IF(AND(CI351,NOT(AD351)),LOOKUP(CF$5,{0,750,1500},H351:J351),"")</f>
        <v>#N/A</v>
      </c>
      <c r="CG351" s="6" t="str">
        <f t="shared" si="845"/>
        <v/>
      </c>
      <c r="CH351" t="e">
        <f t="shared" ref="CH351:CH352" si="909">IF(CI351,IF(ISNUMBER(BO351),BO351,100000)+CV351/10000+IF(ISNUMBER(BJ351),BJ351,2)/10000-P351/100000+ROW()/10000000,"")</f>
        <v>#N/A</v>
      </c>
      <c r="CI351" t="e">
        <f t="shared" ref="CI351:CI352" si="910">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2" si="911">IF(CQ$5="Any",1,IF(AND(CQ$5="Med",AV351=0,SUM(AN351:AQ351)=0),1,IF(AND(CQ$5="Low",AV351=0,SUM(AN351:AQ351)=0,AM351=0),1,IF(AND(CQ$5="Flat",AV351=0,SUM(AN351:AQ351)=0,AM351=0,IFERROR(NOT(BE351="Y"),0)),1,0))))</f>
        <v>1</v>
      </c>
      <c r="CR351" s="81" t="str">
        <f t="shared" si="17"/>
        <v/>
      </c>
      <c r="CS351">
        <f t="shared" ref="CS351:CS352" si="912">CS$5*(12/(MIN(12,Q351))-1)</f>
        <v>0</v>
      </c>
      <c r="CT351">
        <f t="shared" si="766"/>
        <v>150</v>
      </c>
      <c r="CU351" t="str">
        <f t="shared" si="29"/>
        <v/>
      </c>
      <c r="CV351" s="81">
        <f t="shared" ref="CV351:CV352" si="913">CT351*IF(CU351="",1,Q351)</f>
        <v>150</v>
      </c>
      <c r="CW351" s="81">
        <f>(CV351/25)^1.5*(Calculator!$BU$4/10000)*CW$5</f>
        <v>7.6432310260371077</v>
      </c>
      <c r="CX351" t="str">
        <f t="shared" ref="CX351:CX352" si="914">"$"&amp;IF(LEFT(CU351,1)="r",CT351&amp;"/"&amp;CU351,CV351)</f>
        <v>$150</v>
      </c>
    </row>
    <row r="352" spans="2:102" x14ac:dyDescent="0.25">
      <c r="B352" s="115" t="s">
        <v>233</v>
      </c>
      <c r="C352" s="13">
        <v>46314.470138888886</v>
      </c>
      <c r="D352">
        <v>36601</v>
      </c>
      <c r="E352" s="54" t="s">
        <v>237</v>
      </c>
      <c r="F352" s="54" t="s">
        <v>641</v>
      </c>
      <c r="G352" s="54" t="s">
        <v>2083</v>
      </c>
      <c r="H352" s="55">
        <v>20.9</v>
      </c>
      <c r="I352" s="55">
        <v>19.5</v>
      </c>
      <c r="J352" s="55">
        <v>18.8</v>
      </c>
      <c r="K352" s="54" t="s">
        <v>2092</v>
      </c>
      <c r="L352" s="56" t="b">
        <v>0</v>
      </c>
      <c r="M352" s="56" t="b">
        <v>1</v>
      </c>
      <c r="N352" s="54">
        <v>1</v>
      </c>
      <c r="O352" s="54" t="s">
        <v>228</v>
      </c>
      <c r="P352" s="54">
        <v>3</v>
      </c>
      <c r="Q352" s="54">
        <v>12</v>
      </c>
      <c r="R352" s="54">
        <v>150</v>
      </c>
      <c r="S352" s="54" t="s">
        <v>1503</v>
      </c>
      <c r="T352" s="54"/>
      <c r="U352" s="54" t="s">
        <v>642</v>
      </c>
      <c r="V352" s="54" t="s">
        <v>643</v>
      </c>
      <c r="W352" s="54" t="b">
        <v>0</v>
      </c>
      <c r="X352" s="54"/>
      <c r="Y352" s="57" t="s">
        <v>2085</v>
      </c>
      <c r="Z352" s="54" t="s">
        <v>1504</v>
      </c>
      <c r="AA352" s="54"/>
      <c r="AB352" s="54" t="s">
        <v>644</v>
      </c>
      <c r="AC352" s="56" t="b">
        <v>1</v>
      </c>
      <c r="AD352" s="56" t="b">
        <v>1</v>
      </c>
      <c r="AE352" s="54" t="s">
        <v>302</v>
      </c>
      <c r="AF352" s="58">
        <v>46314</v>
      </c>
      <c r="AG352" s="62" t="s">
        <v>293</v>
      </c>
      <c r="AH352" s="54">
        <v>0</v>
      </c>
      <c r="AI352" s="54">
        <v>1000</v>
      </c>
      <c r="AJ352" s="54"/>
      <c r="AK352" s="54"/>
      <c r="AL352" s="54"/>
      <c r="AM352" s="54">
        <v>9.9499999999999993</v>
      </c>
      <c r="AN352" s="54">
        <v>-100</v>
      </c>
      <c r="AO352" s="54"/>
      <c r="AP352" s="54"/>
      <c r="AQ352" s="54"/>
      <c r="AR352" s="54"/>
      <c r="AS352" s="54"/>
      <c r="AT352" s="54"/>
      <c r="AU352" s="54"/>
      <c r="AV352" s="54"/>
      <c r="AW352" s="54"/>
      <c r="AX352" s="59"/>
      <c r="AY352" s="59"/>
      <c r="AZ352" s="59"/>
      <c r="BA352" s="59"/>
      <c r="BB352" s="59">
        <v>0.20200000000000001</v>
      </c>
      <c r="BC352" s="60"/>
      <c r="BD352" s="61"/>
      <c r="BE352" s="62" t="e">
        <v>#N/A</v>
      </c>
      <c r="BF352" s="35">
        <f t="shared" si="0"/>
        <v>4.0600000000000005</v>
      </c>
      <c r="BG352" s="35">
        <f t="shared" si="0"/>
        <v>6.8672999999999998E-2</v>
      </c>
      <c r="BH352" s="35" t="str">
        <f t="shared" si="904"/>
        <v>?</v>
      </c>
      <c r="BI352" s="110">
        <f t="shared" si="905"/>
        <v>0</v>
      </c>
      <c r="BJ352" s="83">
        <f>VLOOKUP($F352,REP_Info!$D$6:$H$250,5,FALSE)</f>
        <v>0.48199999999999998</v>
      </c>
      <c r="BK352" s="30" t="e">
        <f t="shared" si="906"/>
        <v>#N/A</v>
      </c>
      <c r="BL352" s="30" t="e">
        <f t="shared" si="906"/>
        <v>#N/A</v>
      </c>
      <c r="BM352" s="30" t="e">
        <f t="shared" si="906"/>
        <v>#N/A</v>
      </c>
      <c r="BN352" s="29" t="e">
        <f t="shared" si="906"/>
        <v>#N/A</v>
      </c>
      <c r="BO352" s="85" t="str">
        <f t="shared" si="2"/>
        <v>$$$</v>
      </c>
      <c r="BP352" s="88" t="str">
        <f t="shared" si="907"/>
        <v>$$$</v>
      </c>
      <c r="BQ352" s="88" t="str">
        <f t="shared" si="4"/>
        <v>$$$</v>
      </c>
      <c r="BR352" s="88" t="str">
        <f t="shared" si="5"/>
        <v>$$$</v>
      </c>
      <c r="BS352" s="29" t="e">
        <f t="shared" si="908"/>
        <v>#N/A</v>
      </c>
      <c r="BT352" s="29" t="e">
        <f t="shared" si="908"/>
        <v>#N/A</v>
      </c>
      <c r="BU352" s="29" t="e">
        <f t="shared" si="908"/>
        <v>#N/A</v>
      </c>
      <c r="BV352" s="29" t="e">
        <f t="shared" si="908"/>
        <v>#N/A</v>
      </c>
      <c r="BW352" s="29" t="e">
        <f t="shared" si="908"/>
        <v>#N/A</v>
      </c>
      <c r="BX352" s="29" t="e">
        <f t="shared" si="908"/>
        <v>#N/A</v>
      </c>
      <c r="BY352" s="29" t="e">
        <f t="shared" si="908"/>
        <v>#N/A</v>
      </c>
      <c r="BZ352" s="29" t="e">
        <f t="shared" si="908"/>
        <v>#N/A</v>
      </c>
      <c r="CA352" s="29" t="e">
        <f t="shared" si="908"/>
        <v>#N/A</v>
      </c>
      <c r="CB352" s="29" t="e">
        <f t="shared" si="908"/>
        <v>#N/A</v>
      </c>
      <c r="CC352" s="29" t="e">
        <f t="shared" si="908"/>
        <v>#N/A</v>
      </c>
      <c r="CD352" s="29" t="e">
        <f t="shared" si="908"/>
        <v>#N/A</v>
      </c>
      <c r="CE352" s="6" t="str">
        <f t="shared" si="844"/>
        <v/>
      </c>
      <c r="CF352" s="27" t="e">
        <f>IF(AND(CI352,NOT(AD352)),LOOKUP(CF$5,{0,750,1500},H352:J352),"")</f>
        <v>#N/A</v>
      </c>
      <c r="CG352" s="6" t="str">
        <f t="shared" si="845"/>
        <v/>
      </c>
      <c r="CH352" t="e">
        <f t="shared" si="909"/>
        <v>#N/A</v>
      </c>
      <c r="CI352" t="e">
        <f t="shared" si="910"/>
        <v>#N/A</v>
      </c>
      <c r="CJ352" s="6" t="e">
        <f t="shared" si="11"/>
        <v>#N/A</v>
      </c>
      <c r="CK352" s="6">
        <f t="shared" si="12"/>
        <v>1</v>
      </c>
      <c r="CL352" s="6">
        <f t="shared" si="26"/>
        <v>1</v>
      </c>
      <c r="CM352" s="6">
        <f t="shared" si="13"/>
        <v>1</v>
      </c>
      <c r="CN352" s="6">
        <f t="shared" si="14"/>
        <v>1</v>
      </c>
      <c r="CO352" s="6">
        <f t="shared" si="15"/>
        <v>1</v>
      </c>
      <c r="CP352" s="6">
        <f t="shared" si="16"/>
        <v>1</v>
      </c>
      <c r="CQ352" s="6">
        <f t="shared" si="911"/>
        <v>1</v>
      </c>
      <c r="CR352" s="81" t="str">
        <f t="shared" si="17"/>
        <v/>
      </c>
      <c r="CS352">
        <f t="shared" si="912"/>
        <v>0</v>
      </c>
      <c r="CT352">
        <f t="shared" si="766"/>
        <v>150</v>
      </c>
      <c r="CU352" t="str">
        <f t="shared" si="29"/>
        <v/>
      </c>
      <c r="CV352" s="81">
        <f t="shared" si="913"/>
        <v>150</v>
      </c>
      <c r="CW352" s="81">
        <f>(CV352/25)^1.5*(Calculator!$BU$4/10000)*CW$5</f>
        <v>7.6432310260371077</v>
      </c>
      <c r="CX352" t="str">
        <f t="shared" si="914"/>
        <v>$150</v>
      </c>
    </row>
    <row r="353" spans="2:102" x14ac:dyDescent="0.25">
      <c r="B353" s="115" t="s">
        <v>233</v>
      </c>
      <c r="C353" s="13">
        <v>46309.581944444442</v>
      </c>
      <c r="D353">
        <v>35926</v>
      </c>
      <c r="E353" s="54" t="s">
        <v>237</v>
      </c>
      <c r="F353" s="54" t="s">
        <v>645</v>
      </c>
      <c r="G353" s="54" t="s">
        <v>1784</v>
      </c>
      <c r="H353" s="55">
        <v>12.7</v>
      </c>
      <c r="I353" s="55">
        <v>12.3</v>
      </c>
      <c r="J353" s="55">
        <v>12.1</v>
      </c>
      <c r="K353" s="54"/>
      <c r="L353" s="56" t="b">
        <v>0</v>
      </c>
      <c r="M353" s="56" t="b">
        <v>0</v>
      </c>
      <c r="N353" s="54">
        <v>1</v>
      </c>
      <c r="O353" s="54" t="s">
        <v>228</v>
      </c>
      <c r="P353" s="54">
        <v>24</v>
      </c>
      <c r="Q353" s="54">
        <v>12</v>
      </c>
      <c r="R353" s="54">
        <v>150</v>
      </c>
      <c r="S353" s="54" t="s">
        <v>1785</v>
      </c>
      <c r="T353" s="54" t="s">
        <v>1786</v>
      </c>
      <c r="U353" s="54" t="s">
        <v>1782</v>
      </c>
      <c r="V353" s="54" t="s">
        <v>1787</v>
      </c>
      <c r="W353" s="54" t="b">
        <v>0</v>
      </c>
      <c r="X353" s="54"/>
      <c r="Y353" s="57" t="s">
        <v>2032</v>
      </c>
      <c r="Z353" s="54" t="s">
        <v>1945</v>
      </c>
      <c r="AA353" s="54"/>
      <c r="AB353" s="54" t="s">
        <v>1788</v>
      </c>
      <c r="AC353" s="56" t="b">
        <v>1</v>
      </c>
      <c r="AD353" s="56" t="b">
        <v>0</v>
      </c>
      <c r="AE353" s="54" t="s">
        <v>302</v>
      </c>
      <c r="AF353" s="58">
        <v>46309</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0.05</v>
      </c>
      <c r="BC353" s="60">
        <v>4.0599999999999996</v>
      </c>
      <c r="BD353" s="61">
        <v>6.8672999999999998E-2</v>
      </c>
      <c r="BE353" s="62" t="s">
        <v>293</v>
      </c>
      <c r="BF353" s="35">
        <f t="shared" si="0"/>
        <v>4.0600000000000005</v>
      </c>
      <c r="BG353" s="35">
        <f t="shared" si="0"/>
        <v>6.8672999999999998E-2</v>
      </c>
      <c r="BH353" s="35" t="str">
        <f t="shared" ref="BH353" si="915">IF(ISTEXT(BE353),IF(AND(AV353=0,SUM(AN353:AQ353)=0),IF(AM353&lt;=0,IF(BE353="Y","Low","Flat"),"Med"),"High"),"?")</f>
        <v>Low</v>
      </c>
      <c r="BI353" s="110">
        <f t="shared" ref="BI353" si="916">IF(ISNUMBER(AH353),0*BI$5*SIN((EDATE($A$3,$Q353)-DATE(YEAR(EDATE($A$3,$Q353)),1,0)-BI$4)*2*PI()/365),"")</f>
        <v>0</v>
      </c>
      <c r="BJ353" s="83">
        <f>VLOOKUP($F353,REP_Info!$D$6:$H$250,5,FALSE)</f>
        <v>1.198</v>
      </c>
      <c r="BK353" s="30">
        <f t="shared" ref="BK353:BN353" si="917">IF(BK$7&gt;0,(LOOKUP(BK$7,$AH353:$AL353,$AM353:$AQ353)+IF($AG353="Y",SUMPRODUCT($AX353:$BB353-$AW353:$BA353,BK$7-$AR353:$AV353,N(BK$7&gt;$AR353:$AV353)),BK$7*LOOKUP(BK$7,$AR353:$AV353,$AX353:$BB353))+IF($BE353="Y",$BF353,$BC353)+BK$7*IF($BE353="Y",$BG353,$BD353))*100/BK$7,"")</f>
        <v>12.679300000000001</v>
      </c>
      <c r="BL353" s="30">
        <f t="shared" si="917"/>
        <v>12.273300000000001</v>
      </c>
      <c r="BM353" s="30">
        <f t="shared" si="917"/>
        <v>12.070300000000001</v>
      </c>
      <c r="BN353" s="29">
        <f t="shared" si="917"/>
        <v>12.002633333333334</v>
      </c>
      <c r="BO353" s="85" t="str">
        <f t="shared" si="2"/>
        <v>$$$</v>
      </c>
      <c r="BP353" s="88" t="str">
        <f t="shared" ref="BP353" si="918">IFERROR(BO353*100/BO$5,"$$$")</f>
        <v>$$$</v>
      </c>
      <c r="BQ353" s="88" t="str">
        <f t="shared" si="4"/>
        <v>$$$</v>
      </c>
      <c r="BR353" s="88" t="str">
        <f t="shared" si="5"/>
        <v>$$$</v>
      </c>
      <c r="BS353" s="29" t="e">
        <f t="shared" ref="BS353:CD353" si="919">IF($CI353,IF(BS$7&gt;0,IF(BS$4&gt;$Q353,$BF353+BS$7*(BS$5+$BG353+$BI353),LOOKUP(BS$7,$AH353:$AL353,$AM353:$AQ353)+IF($AG353="Y",SUMPRODUCT($AX353:$BB353-$AW353:$BA353,BS$7-$AR353:$AV353,N(BS$7&gt;$AR353:$AV353)),BS$7*LOOKUP(BS$7,$AR353:$AV353,$AX353:$BB353))+IF($BE353="Y",$BF353,$BC353)+BS$7*IF($BE353="Y",$BG353,$BD353))*100/BS$7,""),NA())</f>
        <v>#N/A</v>
      </c>
      <c r="BT353" s="29" t="e">
        <f t="shared" si="919"/>
        <v>#N/A</v>
      </c>
      <c r="BU353" s="29" t="e">
        <f t="shared" si="919"/>
        <v>#N/A</v>
      </c>
      <c r="BV353" s="29" t="e">
        <f t="shared" si="919"/>
        <v>#N/A</v>
      </c>
      <c r="BW353" s="29" t="e">
        <f t="shared" si="919"/>
        <v>#N/A</v>
      </c>
      <c r="BX353" s="29" t="e">
        <f t="shared" si="919"/>
        <v>#N/A</v>
      </c>
      <c r="BY353" s="29" t="e">
        <f t="shared" si="919"/>
        <v>#N/A</v>
      </c>
      <c r="BZ353" s="29" t="e">
        <f t="shared" si="919"/>
        <v>#N/A</v>
      </c>
      <c r="CA353" s="29" t="e">
        <f t="shared" si="919"/>
        <v>#N/A</v>
      </c>
      <c r="CB353" s="29" t="e">
        <f t="shared" si="919"/>
        <v>#N/A</v>
      </c>
      <c r="CC353" s="29" t="e">
        <f t="shared" si="919"/>
        <v>#N/A</v>
      </c>
      <c r="CD353" s="29" t="e">
        <f t="shared" si="919"/>
        <v>#N/A</v>
      </c>
      <c r="CE353" s="6" t="str">
        <f t="shared" si="844"/>
        <v/>
      </c>
      <c r="CF353" s="27" t="e">
        <f>IF(AND(CI353,NOT(AD353)),LOOKUP(CF$5,{0,750,1500},H353:J353),"")</f>
        <v>#N/A</v>
      </c>
      <c r="CG353" s="6" t="str">
        <f t="shared" si="845"/>
        <v/>
      </c>
      <c r="CH353" t="e">
        <f t="shared" ref="CH353" si="920">IF(CI353,IF(ISNUMBER(BO353),BO353,100000)+CV353/10000+IF(ISNUMBER(BJ353),BJ353,2)/10000-P353/100000+ROW()/10000000,"")</f>
        <v>#N/A</v>
      </c>
      <c r="CI353" t="e">
        <f t="shared" ref="CI353" si="921">PRODUCT(CJ353:CQ353)</f>
        <v>#N/A</v>
      </c>
      <c r="CJ353" s="6" t="e">
        <f t="shared" si="11"/>
        <v>#N/A</v>
      </c>
      <c r="CK353" s="6">
        <f t="shared" si="12"/>
        <v>1</v>
      </c>
      <c r="CL353" s="6">
        <f t="shared" si="26"/>
        <v>1</v>
      </c>
      <c r="CM353" s="6">
        <f t="shared" si="13"/>
        <v>1</v>
      </c>
      <c r="CN353" s="6">
        <f t="shared" si="14"/>
        <v>1</v>
      </c>
      <c r="CO353" s="6">
        <f t="shared" si="15"/>
        <v>1</v>
      </c>
      <c r="CP353" s="6">
        <f t="shared" si="16"/>
        <v>1</v>
      </c>
      <c r="CQ353" s="6">
        <f t="shared" ref="CQ353" si="922">IF(CQ$5="Any",1,IF(AND(CQ$5="Med",AV353=0,SUM(AN353:AQ353)=0),1,IF(AND(CQ$5="Low",AV353=0,SUM(AN353:AQ353)=0,AM353=0),1,IF(AND(CQ$5="Flat",AV353=0,SUM(AN353:AQ353)=0,AM353=0,IFERROR(NOT(BE353="Y"),0)),1,0))))</f>
        <v>1</v>
      </c>
      <c r="CR353" s="81" t="str">
        <f t="shared" si="17"/>
        <v/>
      </c>
      <c r="CS353">
        <f t="shared" ref="CS353" si="923">CS$5*(12/(MIN(12,Q353))-1)</f>
        <v>0</v>
      </c>
      <c r="CT353">
        <f t="shared" si="766"/>
        <v>150</v>
      </c>
      <c r="CU353" t="str">
        <f t="shared" si="29"/>
        <v/>
      </c>
      <c r="CV353" s="81">
        <f t="shared" ref="CV353" si="924">CT353*IF(CU353="",1,Q353)</f>
        <v>150</v>
      </c>
      <c r="CW353" s="81">
        <f>(CV353/25)^1.5*(Calculator!$BU$4/10000)*CW$5</f>
        <v>7.6432310260371077</v>
      </c>
      <c r="CX353" t="str">
        <f t="shared" ref="CX353" si="925">"$"&amp;IF(LEFT(CU353,1)="r",CT353&amp;"/"&amp;CU353,CV353)</f>
        <v>$150</v>
      </c>
    </row>
    <row r="354" spans="2:102" x14ac:dyDescent="0.25">
      <c r="B354" s="115" t="s">
        <v>233</v>
      </c>
      <c r="C354" s="13">
        <v>46309.581944444442</v>
      </c>
      <c r="D354">
        <v>35928</v>
      </c>
      <c r="E354" s="54" t="s">
        <v>235</v>
      </c>
      <c r="F354" s="54" t="s">
        <v>645</v>
      </c>
      <c r="G354" s="54" t="s">
        <v>1784</v>
      </c>
      <c r="H354" s="55">
        <v>12.7</v>
      </c>
      <c r="I354" s="55">
        <v>12.2</v>
      </c>
      <c r="J354" s="55">
        <v>12</v>
      </c>
      <c r="K354" s="54"/>
      <c r="L354" s="56" t="b">
        <v>0</v>
      </c>
      <c r="M354" s="56" t="b">
        <v>0</v>
      </c>
      <c r="N354" s="54">
        <v>1</v>
      </c>
      <c r="O354" s="54" t="s">
        <v>228</v>
      </c>
      <c r="P354" s="54">
        <v>24</v>
      </c>
      <c r="Q354" s="54">
        <v>12</v>
      </c>
      <c r="R354" s="54">
        <v>150</v>
      </c>
      <c r="S354" s="54" t="s">
        <v>1785</v>
      </c>
      <c r="T354" s="54" t="s">
        <v>1786</v>
      </c>
      <c r="U354" s="54" t="s">
        <v>1782</v>
      </c>
      <c r="V354" s="54" t="s">
        <v>1787</v>
      </c>
      <c r="W354" s="54" t="b">
        <v>0</v>
      </c>
      <c r="X354" s="54"/>
      <c r="Y354" s="57" t="s">
        <v>2033</v>
      </c>
      <c r="Z354" s="54" t="s">
        <v>1789</v>
      </c>
      <c r="AA354" s="54"/>
      <c r="AB354" s="54" t="s">
        <v>1788</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5.1999999999999998E-2</v>
      </c>
      <c r="BC354" s="60">
        <v>4.9000000000000004</v>
      </c>
      <c r="BD354" s="61">
        <v>6.5333000000000002E-2</v>
      </c>
      <c r="BE354" s="62" t="s">
        <v>293</v>
      </c>
      <c r="BF354" s="35">
        <f t="shared" si="0"/>
        <v>4.9000000000000004</v>
      </c>
      <c r="BG354" s="35">
        <f t="shared" si="0"/>
        <v>6.5333000000000002E-2</v>
      </c>
      <c r="BH354" s="35" t="str">
        <f t="shared" ref="BH354:BH360" si="926">IF(ISTEXT(BE354),IF(AND(AV354=0,SUM(AN354:AQ354)=0),IF(AM354&lt;=0,IF(BE354="Y","Low","Flat"),"Med"),"High"),"?")</f>
        <v>Low</v>
      </c>
      <c r="BI354" s="110">
        <f t="shared" ref="BI354:BI360" si="927">IF(ISNUMBER(AH354),0*BI$5*SIN((EDATE($A$3,$Q354)-DATE(YEAR(EDATE($A$3,$Q354)),1,0)-BI$4)*2*PI()/365),"")</f>
        <v>0</v>
      </c>
      <c r="BJ354" s="83">
        <f>VLOOKUP($F354,REP_Info!$D$6:$H$250,5,FALSE)</f>
        <v>1.198</v>
      </c>
      <c r="BK354" s="30">
        <f t="shared" ref="BK354:BN360" si="928">IF(BK$7&gt;0,(LOOKUP(BK$7,$AH354:$AL354,$AM354:$AQ354)+IF($AG354="Y",SUMPRODUCT($AX354:$BB354-$AW354:$BA354,BK$7-$AR354:$AV354,N(BK$7&gt;$AR354:$AV354)),BK$7*LOOKUP(BK$7,$AR354:$AV354,$AX354:$BB354))+IF($BE354="Y",$BF354,$BC354)+BK$7*IF($BE354="Y",$BG354,$BD354))*100/BK$7,"")</f>
        <v>12.713299999999998</v>
      </c>
      <c r="BL354" s="30">
        <f t="shared" si="928"/>
        <v>12.223300000000002</v>
      </c>
      <c r="BM354" s="30">
        <f t="shared" si="928"/>
        <v>11.978299999999999</v>
      </c>
      <c r="BN354" s="29">
        <f t="shared" si="928"/>
        <v>11.896633333333334</v>
      </c>
      <c r="BO354" s="85" t="str">
        <f t="shared" si="2"/>
        <v>$$$</v>
      </c>
      <c r="BP354" s="88" t="str">
        <f t="shared" ref="BP354:BP360" si="929">IFERROR(BO354*100/BO$5,"$$$")</f>
        <v>$$$</v>
      </c>
      <c r="BQ354" s="88" t="str">
        <f t="shared" si="4"/>
        <v>$$$</v>
      </c>
      <c r="BR354" s="88" t="str">
        <f t="shared" si="5"/>
        <v>$$$</v>
      </c>
      <c r="BS354" s="29" t="e">
        <f t="shared" ref="BS354:CD360" si="930">IF($CI354,IF(BS$7&gt;0,IF(BS$4&gt;$Q354,$BF354+BS$7*(BS$5+$BG354+$BI354),LOOKUP(BS$7,$AH354:$AL354,$AM354:$AQ354)+IF($AG354="Y",SUMPRODUCT($AX354:$BB354-$AW354:$BA354,BS$7-$AR354:$AV354,N(BS$7&gt;$AR354:$AV354)),BS$7*LOOKUP(BS$7,$AR354:$AV354,$AX354:$BB354))+IF($BE354="Y",$BF354,$BC354)+BS$7*IF($BE354="Y",$BG354,$BD354))*100/BS$7,""),NA())</f>
        <v>#N/A</v>
      </c>
      <c r="BT354" s="29" t="e">
        <f t="shared" si="930"/>
        <v>#N/A</v>
      </c>
      <c r="BU354" s="29" t="e">
        <f t="shared" si="930"/>
        <v>#N/A</v>
      </c>
      <c r="BV354" s="29" t="e">
        <f t="shared" si="930"/>
        <v>#N/A</v>
      </c>
      <c r="BW354" s="29" t="e">
        <f t="shared" si="930"/>
        <v>#N/A</v>
      </c>
      <c r="BX354" s="29" t="e">
        <f t="shared" si="930"/>
        <v>#N/A</v>
      </c>
      <c r="BY354" s="29" t="e">
        <f t="shared" si="930"/>
        <v>#N/A</v>
      </c>
      <c r="BZ354" s="29" t="e">
        <f t="shared" si="930"/>
        <v>#N/A</v>
      </c>
      <c r="CA354" s="29" t="e">
        <f t="shared" si="930"/>
        <v>#N/A</v>
      </c>
      <c r="CB354" s="29" t="e">
        <f t="shared" si="930"/>
        <v>#N/A</v>
      </c>
      <c r="CC354" s="29" t="e">
        <f t="shared" si="930"/>
        <v>#N/A</v>
      </c>
      <c r="CD354" s="29" t="e">
        <f t="shared" si="930"/>
        <v>#N/A</v>
      </c>
      <c r="CE354" s="6" t="str">
        <f t="shared" si="844"/>
        <v/>
      </c>
      <c r="CF354" s="27" t="e">
        <f>IF(AND(CI354,NOT(AD354)),LOOKUP(CF$5,{0,750,1500},H354:J354),"")</f>
        <v>#N/A</v>
      </c>
      <c r="CG354" s="6" t="str">
        <f t="shared" si="845"/>
        <v/>
      </c>
      <c r="CH354" t="e">
        <f t="shared" ref="CH354:CH360" si="931">IF(CI354,IF(ISNUMBER(BO354),BO354,100000)+CV354/10000+IF(ISNUMBER(BJ354),BJ354,2)/10000-P354/100000+ROW()/10000000,"")</f>
        <v>#N/A</v>
      </c>
      <c r="CI354" t="e">
        <f t="shared" ref="CI354:CI360" si="932">PRODUCT(CJ354:CQ354)</f>
        <v>#N/A</v>
      </c>
      <c r="CJ354" s="6" t="e">
        <f t="shared" si="11"/>
        <v>#N/A</v>
      </c>
      <c r="CK354" s="6">
        <f t="shared" si="12"/>
        <v>1</v>
      </c>
      <c r="CL354" s="6">
        <f t="shared" si="26"/>
        <v>1</v>
      </c>
      <c r="CM354" s="6">
        <f t="shared" si="13"/>
        <v>1</v>
      </c>
      <c r="CN354" s="6">
        <f t="shared" si="14"/>
        <v>1</v>
      </c>
      <c r="CO354" s="6">
        <f t="shared" si="15"/>
        <v>1</v>
      </c>
      <c r="CP354" s="6">
        <f t="shared" si="16"/>
        <v>1</v>
      </c>
      <c r="CQ354" s="6">
        <f t="shared" ref="CQ354:CQ360" si="933">IF(CQ$5="Any",1,IF(AND(CQ$5="Med",AV354=0,SUM(AN354:AQ354)=0),1,IF(AND(CQ$5="Low",AV354=0,SUM(AN354:AQ354)=0,AM354=0),1,IF(AND(CQ$5="Flat",AV354=0,SUM(AN354:AQ354)=0,AM354=0,IFERROR(NOT(BE354="Y"),0)),1,0))))</f>
        <v>1</v>
      </c>
      <c r="CR354" s="81" t="str">
        <f t="shared" si="17"/>
        <v/>
      </c>
      <c r="CS354">
        <f t="shared" ref="CS354:CS360" si="934">CS$5*(12/(MIN(12,Q354))-1)</f>
        <v>0</v>
      </c>
      <c r="CT354">
        <f t="shared" si="766"/>
        <v>150</v>
      </c>
      <c r="CU354" t="str">
        <f t="shared" si="29"/>
        <v/>
      </c>
      <c r="CV354" s="81">
        <f t="shared" ref="CV354:CV360" si="935">CT354*IF(CU354="",1,Q354)</f>
        <v>150</v>
      </c>
      <c r="CW354" s="81">
        <f>(CV354/25)^1.5*(Calculator!$BU$4/10000)*CW$5</f>
        <v>7.6432310260371077</v>
      </c>
      <c r="CX354" t="str">
        <f t="shared" ref="CX354:CX360" si="936">"$"&amp;IF(LEFT(CU354,1)="r",CT354&amp;"/"&amp;CU354,CV354)</f>
        <v>$150</v>
      </c>
    </row>
    <row r="355" spans="2:102" x14ac:dyDescent="0.25">
      <c r="B355" s="115" t="s">
        <v>233</v>
      </c>
      <c r="C355" s="13">
        <v>46312.258333333331</v>
      </c>
      <c r="D355">
        <v>38013</v>
      </c>
      <c r="E355" s="54" t="s">
        <v>237</v>
      </c>
      <c r="F355" s="54" t="s">
        <v>645</v>
      </c>
      <c r="G355" s="54" t="s">
        <v>1946</v>
      </c>
      <c r="H355" s="55">
        <v>13.5</v>
      </c>
      <c r="I355" s="55">
        <v>13.100000000000001</v>
      </c>
      <c r="J355" s="55">
        <v>12.9</v>
      </c>
      <c r="K355" s="54"/>
      <c r="L355" s="56" t="b">
        <v>0</v>
      </c>
      <c r="M355" s="56" t="b">
        <v>0</v>
      </c>
      <c r="N355" s="54">
        <v>1</v>
      </c>
      <c r="O355" s="54" t="s">
        <v>228</v>
      </c>
      <c r="P355" s="54">
        <v>24</v>
      </c>
      <c r="Q355" s="54">
        <v>24</v>
      </c>
      <c r="R355" s="54">
        <v>150</v>
      </c>
      <c r="S355" s="54" t="s">
        <v>1785</v>
      </c>
      <c r="T355" s="54" t="s">
        <v>1947</v>
      </c>
      <c r="U355" s="54" t="s">
        <v>1782</v>
      </c>
      <c r="V355" s="54" t="s">
        <v>1787</v>
      </c>
      <c r="W355" s="54" t="b">
        <v>0</v>
      </c>
      <c r="X355" s="54"/>
      <c r="Y355" s="57" t="s">
        <v>2086</v>
      </c>
      <c r="Z355" s="54" t="s">
        <v>1948</v>
      </c>
      <c r="AA355" s="54"/>
      <c r="AB355" s="54" t="s">
        <v>1788</v>
      </c>
      <c r="AC355" s="56" t="b">
        <v>1</v>
      </c>
      <c r="AD355" s="56" t="b">
        <v>0</v>
      </c>
      <c r="AE355" s="54" t="s">
        <v>302</v>
      </c>
      <c r="AF355" s="58">
        <v>46311</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5.8000000000000003E-2</v>
      </c>
      <c r="BC355" s="60">
        <v>4.0599999999999996</v>
      </c>
      <c r="BD355" s="61">
        <v>6.8672999999999998E-2</v>
      </c>
      <c r="BE355" s="62" t="s">
        <v>293</v>
      </c>
      <c r="BF355" s="35">
        <f t="shared" si="0"/>
        <v>4.0600000000000005</v>
      </c>
      <c r="BG355" s="35">
        <f t="shared" si="0"/>
        <v>6.8672999999999998E-2</v>
      </c>
      <c r="BH355" s="35" t="str">
        <f t="shared" si="926"/>
        <v>Low</v>
      </c>
      <c r="BI355" s="110">
        <f t="shared" si="927"/>
        <v>0</v>
      </c>
      <c r="BJ355" s="83">
        <f>VLOOKUP($F355,REP_Info!$D$6:$H$250,5,FALSE)</f>
        <v>1.198</v>
      </c>
      <c r="BK355" s="30">
        <f t="shared" si="928"/>
        <v>13.4793</v>
      </c>
      <c r="BL355" s="30">
        <f t="shared" si="928"/>
        <v>13.073300000000001</v>
      </c>
      <c r="BM355" s="30">
        <f t="shared" si="928"/>
        <v>12.8703</v>
      </c>
      <c r="BN355" s="29">
        <f t="shared" si="928"/>
        <v>12.802633333333334</v>
      </c>
      <c r="BO355" s="85" t="str">
        <f t="shared" si="2"/>
        <v>$$$</v>
      </c>
      <c r="BP355" s="88" t="str">
        <f t="shared" si="929"/>
        <v>$$$</v>
      </c>
      <c r="BQ355" s="88" t="str">
        <f t="shared" si="4"/>
        <v>$$$</v>
      </c>
      <c r="BR355" s="88" t="str">
        <f t="shared" si="5"/>
        <v>$$$</v>
      </c>
      <c r="BS355" s="29" t="e">
        <f t="shared" si="930"/>
        <v>#N/A</v>
      </c>
      <c r="BT355" s="29" t="e">
        <f t="shared" si="930"/>
        <v>#N/A</v>
      </c>
      <c r="BU355" s="29" t="e">
        <f t="shared" si="930"/>
        <v>#N/A</v>
      </c>
      <c r="BV355" s="29" t="e">
        <f t="shared" si="930"/>
        <v>#N/A</v>
      </c>
      <c r="BW355" s="29" t="e">
        <f t="shared" si="930"/>
        <v>#N/A</v>
      </c>
      <c r="BX355" s="29" t="e">
        <f t="shared" si="930"/>
        <v>#N/A</v>
      </c>
      <c r="BY355" s="29" t="e">
        <f t="shared" si="930"/>
        <v>#N/A</v>
      </c>
      <c r="BZ355" s="29" t="e">
        <f t="shared" si="930"/>
        <v>#N/A</v>
      </c>
      <c r="CA355" s="29" t="e">
        <f t="shared" si="930"/>
        <v>#N/A</v>
      </c>
      <c r="CB355" s="29" t="e">
        <f t="shared" si="930"/>
        <v>#N/A</v>
      </c>
      <c r="CC355" s="29" t="e">
        <f t="shared" si="930"/>
        <v>#N/A</v>
      </c>
      <c r="CD355" s="29" t="e">
        <f t="shared" si="930"/>
        <v>#N/A</v>
      </c>
      <c r="CE355" s="6" t="str">
        <f t="shared" si="844"/>
        <v/>
      </c>
      <c r="CF355" s="27" t="e">
        <f>IF(AND(CI355,NOT(AD355)),LOOKUP(CF$5,{0,750,1500},H355:J355),"")</f>
        <v>#N/A</v>
      </c>
      <c r="CG355" s="6" t="str">
        <f t="shared" si="845"/>
        <v/>
      </c>
      <c r="CH355" t="e">
        <f t="shared" si="931"/>
        <v>#N/A</v>
      </c>
      <c r="CI355" t="e">
        <f t="shared" si="932"/>
        <v>#N/A</v>
      </c>
      <c r="CJ355" s="6" t="e">
        <f t="shared" si="11"/>
        <v>#N/A</v>
      </c>
      <c r="CK355" s="6">
        <f t="shared" si="12"/>
        <v>1</v>
      </c>
      <c r="CL355" s="6">
        <f t="shared" si="26"/>
        <v>1</v>
      </c>
      <c r="CM355" s="6">
        <f t="shared" si="13"/>
        <v>1</v>
      </c>
      <c r="CN355" s="6">
        <f t="shared" si="14"/>
        <v>1</v>
      </c>
      <c r="CO355" s="6">
        <f t="shared" si="15"/>
        <v>0</v>
      </c>
      <c r="CP355" s="6">
        <f t="shared" si="16"/>
        <v>1</v>
      </c>
      <c r="CQ355" s="6">
        <f t="shared" si="933"/>
        <v>1</v>
      </c>
      <c r="CR355" s="81" t="str">
        <f t="shared" si="17"/>
        <v/>
      </c>
      <c r="CS355">
        <f t="shared" si="934"/>
        <v>0</v>
      </c>
      <c r="CT355">
        <f t="shared" si="766"/>
        <v>150</v>
      </c>
      <c r="CU355" t="str">
        <f t="shared" si="29"/>
        <v/>
      </c>
      <c r="CV355" s="81">
        <f t="shared" si="935"/>
        <v>150</v>
      </c>
      <c r="CW355" s="81">
        <f>(CV355/25)^1.5*(Calculator!$BU$4/10000)*CW$5</f>
        <v>7.6432310260371077</v>
      </c>
      <c r="CX355" t="str">
        <f t="shared" si="936"/>
        <v>$150</v>
      </c>
    </row>
    <row r="356" spans="2:102" x14ac:dyDescent="0.25">
      <c r="B356" s="115" t="s">
        <v>233</v>
      </c>
      <c r="C356" s="13">
        <v>46314.470138888886</v>
      </c>
      <c r="D356">
        <v>38015</v>
      </c>
      <c r="E356" s="54" t="s">
        <v>235</v>
      </c>
      <c r="F356" s="54" t="s">
        <v>645</v>
      </c>
      <c r="G356" s="54" t="s">
        <v>1946</v>
      </c>
      <c r="H356" s="55">
        <v>13.3</v>
      </c>
      <c r="I356" s="55">
        <v>12.8</v>
      </c>
      <c r="J356" s="55">
        <v>12.6</v>
      </c>
      <c r="K356" s="54"/>
      <c r="L356" s="56" t="b">
        <v>0</v>
      </c>
      <c r="M356" s="56" t="b">
        <v>0</v>
      </c>
      <c r="N356" s="54">
        <v>1</v>
      </c>
      <c r="O356" s="54" t="s">
        <v>228</v>
      </c>
      <c r="P356" s="54">
        <v>24</v>
      </c>
      <c r="Q356" s="54">
        <v>24</v>
      </c>
      <c r="R356" s="54">
        <v>150</v>
      </c>
      <c r="S356" s="54" t="s">
        <v>1785</v>
      </c>
      <c r="T356" s="54" t="s">
        <v>1947</v>
      </c>
      <c r="U356" s="54" t="s">
        <v>1782</v>
      </c>
      <c r="V356" s="54" t="s">
        <v>1787</v>
      </c>
      <c r="W356" s="54" t="b">
        <v>0</v>
      </c>
      <c r="X356" s="54"/>
      <c r="Y356" s="57" t="s">
        <v>2093</v>
      </c>
      <c r="Z356" s="54" t="s">
        <v>2094</v>
      </c>
      <c r="AA356" s="54"/>
      <c r="AB356" s="54" t="s">
        <v>1788</v>
      </c>
      <c r="AC356" s="56" t="b">
        <v>1</v>
      </c>
      <c r="AD356" s="56" t="b">
        <v>0</v>
      </c>
      <c r="AE356" s="54" t="s">
        <v>302</v>
      </c>
      <c r="AF356" s="58">
        <v>46311</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5.8000000000000003E-2</v>
      </c>
      <c r="BC356" s="60">
        <v>4.9000000000000004</v>
      </c>
      <c r="BD356" s="61">
        <v>6.5333000000000002E-2</v>
      </c>
      <c r="BE356" s="62" t="s">
        <v>293</v>
      </c>
      <c r="BF356" s="35">
        <f t="shared" si="0"/>
        <v>4.9000000000000004</v>
      </c>
      <c r="BG356" s="35">
        <f t="shared" si="0"/>
        <v>6.5333000000000002E-2</v>
      </c>
      <c r="BH356" s="35" t="str">
        <f t="shared" si="926"/>
        <v>Low</v>
      </c>
      <c r="BI356" s="110">
        <f t="shared" si="927"/>
        <v>0</v>
      </c>
      <c r="BJ356" s="83">
        <f>VLOOKUP($F356,REP_Info!$D$6:$H$250,5,FALSE)</f>
        <v>1.198</v>
      </c>
      <c r="BK356" s="30">
        <f t="shared" si="928"/>
        <v>13.313299999999998</v>
      </c>
      <c r="BL356" s="30">
        <f t="shared" si="928"/>
        <v>12.823300000000001</v>
      </c>
      <c r="BM356" s="30">
        <f t="shared" si="928"/>
        <v>12.578299999999999</v>
      </c>
      <c r="BN356" s="29">
        <f t="shared" si="928"/>
        <v>12.496633333333333</v>
      </c>
      <c r="BO356" s="85" t="str">
        <f t="shared" si="2"/>
        <v>$$$</v>
      </c>
      <c r="BP356" s="88" t="str">
        <f t="shared" si="929"/>
        <v>$$$</v>
      </c>
      <c r="BQ356" s="88" t="str">
        <f t="shared" si="4"/>
        <v>$$$</v>
      </c>
      <c r="BR356" s="88" t="str">
        <f t="shared" si="5"/>
        <v>$$$</v>
      </c>
      <c r="BS356" s="29" t="e">
        <f t="shared" si="930"/>
        <v>#N/A</v>
      </c>
      <c r="BT356" s="29" t="e">
        <f t="shared" si="930"/>
        <v>#N/A</v>
      </c>
      <c r="BU356" s="29" t="e">
        <f t="shared" si="930"/>
        <v>#N/A</v>
      </c>
      <c r="BV356" s="29" t="e">
        <f t="shared" si="930"/>
        <v>#N/A</v>
      </c>
      <c r="BW356" s="29" t="e">
        <f t="shared" si="930"/>
        <v>#N/A</v>
      </c>
      <c r="BX356" s="29" t="e">
        <f t="shared" si="930"/>
        <v>#N/A</v>
      </c>
      <c r="BY356" s="29" t="e">
        <f t="shared" si="930"/>
        <v>#N/A</v>
      </c>
      <c r="BZ356" s="29" t="e">
        <f t="shared" si="930"/>
        <v>#N/A</v>
      </c>
      <c r="CA356" s="29" t="e">
        <f t="shared" si="930"/>
        <v>#N/A</v>
      </c>
      <c r="CB356" s="29" t="e">
        <f t="shared" si="930"/>
        <v>#N/A</v>
      </c>
      <c r="CC356" s="29" t="e">
        <f t="shared" si="930"/>
        <v>#N/A</v>
      </c>
      <c r="CD356" s="29" t="e">
        <f t="shared" si="930"/>
        <v>#N/A</v>
      </c>
      <c r="CE356" s="6" t="str">
        <f t="shared" si="844"/>
        <v/>
      </c>
      <c r="CF356" s="27" t="e">
        <f>IF(AND(CI356,NOT(AD356)),LOOKUP(CF$5,{0,750,1500},H356:J356),"")</f>
        <v>#N/A</v>
      </c>
      <c r="CG356" s="6" t="str">
        <f t="shared" si="845"/>
        <v/>
      </c>
      <c r="CH356" t="e">
        <f t="shared" si="931"/>
        <v>#N/A</v>
      </c>
      <c r="CI356" t="e">
        <f t="shared" si="932"/>
        <v>#N/A</v>
      </c>
      <c r="CJ356" s="6" t="e">
        <f t="shared" si="11"/>
        <v>#N/A</v>
      </c>
      <c r="CK356" s="6">
        <f t="shared" si="12"/>
        <v>1</v>
      </c>
      <c r="CL356" s="6">
        <f t="shared" si="26"/>
        <v>1</v>
      </c>
      <c r="CM356" s="6">
        <f t="shared" si="13"/>
        <v>1</v>
      </c>
      <c r="CN356" s="6">
        <f t="shared" si="14"/>
        <v>1</v>
      </c>
      <c r="CO356" s="6">
        <f t="shared" si="15"/>
        <v>0</v>
      </c>
      <c r="CP356" s="6">
        <f t="shared" si="16"/>
        <v>1</v>
      </c>
      <c r="CQ356" s="6">
        <f t="shared" si="933"/>
        <v>1</v>
      </c>
      <c r="CR356" s="81" t="str">
        <f t="shared" si="17"/>
        <v/>
      </c>
      <c r="CS356">
        <f t="shared" si="934"/>
        <v>0</v>
      </c>
      <c r="CT356">
        <f t="shared" si="766"/>
        <v>150</v>
      </c>
      <c r="CU356" t="str">
        <f t="shared" si="29"/>
        <v/>
      </c>
      <c r="CV356" s="81">
        <f t="shared" si="935"/>
        <v>150</v>
      </c>
      <c r="CW356" s="81">
        <f>(CV356/25)^1.5*(Calculator!$BU$4/10000)*CW$5</f>
        <v>7.6432310260371077</v>
      </c>
      <c r="CX356" t="str">
        <f t="shared" si="936"/>
        <v>$150</v>
      </c>
    </row>
    <row r="357" spans="2:102" x14ac:dyDescent="0.25">
      <c r="B357" s="115" t="s">
        <v>233</v>
      </c>
      <c r="C357" s="13">
        <v>46309.581944444442</v>
      </c>
      <c r="D357">
        <v>38480</v>
      </c>
      <c r="E357" s="54" t="s">
        <v>237</v>
      </c>
      <c r="F357" s="54" t="s">
        <v>645</v>
      </c>
      <c r="G357" s="54" t="s">
        <v>2034</v>
      </c>
      <c r="H357" s="55">
        <v>12.2</v>
      </c>
      <c r="I357" s="55">
        <v>11.799999999999999</v>
      </c>
      <c r="J357" s="55">
        <v>11.600000000000001</v>
      </c>
      <c r="K357" s="54"/>
      <c r="L357" s="56" t="b">
        <v>0</v>
      </c>
      <c r="M357" s="56" t="b">
        <v>0</v>
      </c>
      <c r="N357" s="54">
        <v>1</v>
      </c>
      <c r="O357" s="54" t="s">
        <v>228</v>
      </c>
      <c r="P357" s="54">
        <v>24</v>
      </c>
      <c r="Q357" s="54">
        <v>8</v>
      </c>
      <c r="R357" s="54">
        <v>150</v>
      </c>
      <c r="S357" s="54" t="s">
        <v>1785</v>
      </c>
      <c r="T357" s="54" t="s">
        <v>1947</v>
      </c>
      <c r="U357" s="54" t="s">
        <v>1782</v>
      </c>
      <c r="V357" s="54" t="s">
        <v>1787</v>
      </c>
      <c r="W357" s="54" t="b">
        <v>0</v>
      </c>
      <c r="X357" s="54"/>
      <c r="Y357" s="57" t="s">
        <v>2035</v>
      </c>
      <c r="Z357" s="54" t="s">
        <v>2036</v>
      </c>
      <c r="AA357" s="54"/>
      <c r="AB357" s="54" t="s">
        <v>1788</v>
      </c>
      <c r="AC357" s="56" t="b">
        <v>1</v>
      </c>
      <c r="AD357" s="56" t="b">
        <v>0</v>
      </c>
      <c r="AE357" s="54" t="s">
        <v>302</v>
      </c>
      <c r="AF357" s="58">
        <v>46309</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4.4999999999999998E-2</v>
      </c>
      <c r="BC357" s="60">
        <v>4.0599999999999996</v>
      </c>
      <c r="BD357" s="61">
        <v>6.8672999999999998E-2</v>
      </c>
      <c r="BE357" s="62" t="s">
        <v>293</v>
      </c>
      <c r="BF357" s="35">
        <f t="shared" si="0"/>
        <v>4.0600000000000005</v>
      </c>
      <c r="BG357" s="35">
        <f t="shared" si="0"/>
        <v>6.8672999999999998E-2</v>
      </c>
      <c r="BH357" s="35" t="str">
        <f t="shared" si="926"/>
        <v>Low</v>
      </c>
      <c r="BI357" s="110">
        <f t="shared" si="927"/>
        <v>0</v>
      </c>
      <c r="BJ357" s="83">
        <f>VLOOKUP($F357,REP_Info!$D$6:$H$250,5,FALSE)</f>
        <v>1.198</v>
      </c>
      <c r="BK357" s="30">
        <f t="shared" si="928"/>
        <v>12.179300000000001</v>
      </c>
      <c r="BL357" s="30">
        <f t="shared" si="928"/>
        <v>11.773300000000001</v>
      </c>
      <c r="BM357" s="30">
        <f t="shared" si="928"/>
        <v>11.570300000000001</v>
      </c>
      <c r="BN357" s="29">
        <f t="shared" si="928"/>
        <v>11.502633333333334</v>
      </c>
      <c r="BO357" s="85" t="str">
        <f t="shared" si="2"/>
        <v>$$$</v>
      </c>
      <c r="BP357" s="88" t="str">
        <f t="shared" si="929"/>
        <v>$$$</v>
      </c>
      <c r="BQ357" s="88" t="str">
        <f t="shared" si="4"/>
        <v>$$$</v>
      </c>
      <c r="BR357" s="88" t="str">
        <f t="shared" si="5"/>
        <v>$$$</v>
      </c>
      <c r="BS357" s="29" t="e">
        <f t="shared" si="930"/>
        <v>#N/A</v>
      </c>
      <c r="BT357" s="29" t="e">
        <f t="shared" si="930"/>
        <v>#N/A</v>
      </c>
      <c r="BU357" s="29" t="e">
        <f t="shared" si="930"/>
        <v>#N/A</v>
      </c>
      <c r="BV357" s="29" t="e">
        <f t="shared" si="930"/>
        <v>#N/A</v>
      </c>
      <c r="BW357" s="29" t="e">
        <f t="shared" si="930"/>
        <v>#N/A</v>
      </c>
      <c r="BX357" s="29" t="e">
        <f t="shared" si="930"/>
        <v>#N/A</v>
      </c>
      <c r="BY357" s="29" t="e">
        <f t="shared" si="930"/>
        <v>#N/A</v>
      </c>
      <c r="BZ357" s="29" t="e">
        <f t="shared" si="930"/>
        <v>#N/A</v>
      </c>
      <c r="CA357" s="29" t="e">
        <f t="shared" si="930"/>
        <v>#N/A</v>
      </c>
      <c r="CB357" s="29" t="e">
        <f t="shared" si="930"/>
        <v>#N/A</v>
      </c>
      <c r="CC357" s="29" t="e">
        <f t="shared" si="930"/>
        <v>#N/A</v>
      </c>
      <c r="CD357" s="29" t="e">
        <f t="shared" si="930"/>
        <v>#N/A</v>
      </c>
      <c r="CE357" s="6" t="str">
        <f t="shared" si="844"/>
        <v/>
      </c>
      <c r="CF357" s="27" t="e">
        <f>IF(AND(CI357,NOT(AD357)),LOOKUP(CF$5,{0,750,1500},H357:J357),"")</f>
        <v>#N/A</v>
      </c>
      <c r="CG357" s="6" t="str">
        <f t="shared" si="845"/>
        <v/>
      </c>
      <c r="CH357" t="e">
        <f t="shared" si="931"/>
        <v>#N/A</v>
      </c>
      <c r="CI357" t="e">
        <f t="shared" si="932"/>
        <v>#N/A</v>
      </c>
      <c r="CJ357" s="6" t="e">
        <f t="shared" si="11"/>
        <v>#N/A</v>
      </c>
      <c r="CK357" s="6">
        <f t="shared" si="12"/>
        <v>1</v>
      </c>
      <c r="CL357" s="6">
        <f t="shared" si="26"/>
        <v>1</v>
      </c>
      <c r="CM357" s="6">
        <f t="shared" si="13"/>
        <v>1</v>
      </c>
      <c r="CN357" s="6">
        <f t="shared" si="14"/>
        <v>0</v>
      </c>
      <c r="CO357" s="6">
        <f t="shared" si="15"/>
        <v>1</v>
      </c>
      <c r="CP357" s="6">
        <f t="shared" si="16"/>
        <v>1</v>
      </c>
      <c r="CQ357" s="6">
        <f t="shared" si="933"/>
        <v>1</v>
      </c>
      <c r="CR357" s="81" t="str">
        <f t="shared" si="17"/>
        <v/>
      </c>
      <c r="CS357">
        <f t="shared" si="934"/>
        <v>9</v>
      </c>
      <c r="CT357">
        <f t="shared" si="766"/>
        <v>150</v>
      </c>
      <c r="CU357" t="str">
        <f t="shared" si="29"/>
        <v/>
      </c>
      <c r="CV357" s="81">
        <f t="shared" si="935"/>
        <v>150</v>
      </c>
      <c r="CW357" s="81">
        <f>(CV357/25)^1.5*(Calculator!$BU$4/10000)*CW$5</f>
        <v>7.6432310260371077</v>
      </c>
      <c r="CX357" t="str">
        <f t="shared" si="936"/>
        <v>$150</v>
      </c>
    </row>
    <row r="358" spans="2:102" x14ac:dyDescent="0.25">
      <c r="B358" s="115" t="s">
        <v>233</v>
      </c>
      <c r="C358" s="13">
        <v>46309.581944444442</v>
      </c>
      <c r="D358">
        <v>38482</v>
      </c>
      <c r="E358" s="54" t="s">
        <v>235</v>
      </c>
      <c r="F358" s="54" t="s">
        <v>645</v>
      </c>
      <c r="G358" s="54" t="s">
        <v>2034</v>
      </c>
      <c r="H358" s="55">
        <v>12.2</v>
      </c>
      <c r="I358" s="55">
        <v>11.700000000000001</v>
      </c>
      <c r="J358" s="55">
        <v>11.5</v>
      </c>
      <c r="K358" s="54"/>
      <c r="L358" s="56" t="b">
        <v>0</v>
      </c>
      <c r="M358" s="56" t="b">
        <v>0</v>
      </c>
      <c r="N358" s="54">
        <v>1</v>
      </c>
      <c r="O358" s="54" t="s">
        <v>228</v>
      </c>
      <c r="P358" s="54">
        <v>24</v>
      </c>
      <c r="Q358" s="54">
        <v>8</v>
      </c>
      <c r="R358" s="54">
        <v>150</v>
      </c>
      <c r="S358" s="54" t="s">
        <v>1785</v>
      </c>
      <c r="T358" s="54" t="s">
        <v>1947</v>
      </c>
      <c r="U358" s="54" t="s">
        <v>1782</v>
      </c>
      <c r="V358" s="54" t="s">
        <v>1787</v>
      </c>
      <c r="W358" s="54" t="b">
        <v>0</v>
      </c>
      <c r="X358" s="54"/>
      <c r="Y358" s="57" t="s">
        <v>2037</v>
      </c>
      <c r="Z358" s="54" t="s">
        <v>2038</v>
      </c>
      <c r="AA358" s="54"/>
      <c r="AB358" s="54" t="s">
        <v>1788</v>
      </c>
      <c r="AC358" s="56" t="b">
        <v>1</v>
      </c>
      <c r="AD358" s="56" t="b">
        <v>0</v>
      </c>
      <c r="AE358" s="54" t="s">
        <v>302</v>
      </c>
      <c r="AF358" s="58">
        <v>46309</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4.7E-2</v>
      </c>
      <c r="BC358" s="60">
        <v>4.9000000000000004</v>
      </c>
      <c r="BD358" s="61">
        <v>6.5333000000000002E-2</v>
      </c>
      <c r="BE358" s="62" t="s">
        <v>293</v>
      </c>
      <c r="BF358" s="35">
        <f t="shared" si="0"/>
        <v>4.9000000000000004</v>
      </c>
      <c r="BG358" s="35">
        <f t="shared" si="0"/>
        <v>6.5333000000000002E-2</v>
      </c>
      <c r="BH358" s="35" t="str">
        <f t="shared" si="926"/>
        <v>Low</v>
      </c>
      <c r="BI358" s="110">
        <f t="shared" si="927"/>
        <v>0</v>
      </c>
      <c r="BJ358" s="83">
        <f>VLOOKUP($F358,REP_Info!$D$6:$H$250,5,FALSE)</f>
        <v>1.198</v>
      </c>
      <c r="BK358" s="30">
        <f t="shared" si="928"/>
        <v>12.213299999999998</v>
      </c>
      <c r="BL358" s="30">
        <f t="shared" si="928"/>
        <v>11.723300000000002</v>
      </c>
      <c r="BM358" s="30">
        <f t="shared" si="928"/>
        <v>11.478299999999999</v>
      </c>
      <c r="BN358" s="29">
        <f t="shared" si="928"/>
        <v>11.396633333333334</v>
      </c>
      <c r="BO358" s="85" t="str">
        <f t="shared" si="2"/>
        <v>$$$</v>
      </c>
      <c r="BP358" s="88" t="str">
        <f t="shared" si="929"/>
        <v>$$$</v>
      </c>
      <c r="BQ358" s="88" t="str">
        <f t="shared" si="4"/>
        <v>$$$</v>
      </c>
      <c r="BR358" s="88" t="str">
        <f t="shared" si="5"/>
        <v>$$$</v>
      </c>
      <c r="BS358" s="29" t="e">
        <f t="shared" si="930"/>
        <v>#N/A</v>
      </c>
      <c r="BT358" s="29" t="e">
        <f t="shared" si="930"/>
        <v>#N/A</v>
      </c>
      <c r="BU358" s="29" t="e">
        <f t="shared" si="930"/>
        <v>#N/A</v>
      </c>
      <c r="BV358" s="29" t="e">
        <f t="shared" si="930"/>
        <v>#N/A</v>
      </c>
      <c r="BW358" s="29" t="e">
        <f t="shared" si="930"/>
        <v>#N/A</v>
      </c>
      <c r="BX358" s="29" t="e">
        <f t="shared" si="930"/>
        <v>#N/A</v>
      </c>
      <c r="BY358" s="29" t="e">
        <f t="shared" si="930"/>
        <v>#N/A</v>
      </c>
      <c r="BZ358" s="29" t="e">
        <f t="shared" si="930"/>
        <v>#N/A</v>
      </c>
      <c r="CA358" s="29" t="e">
        <f t="shared" si="930"/>
        <v>#N/A</v>
      </c>
      <c r="CB358" s="29" t="e">
        <f t="shared" si="930"/>
        <v>#N/A</v>
      </c>
      <c r="CC358" s="29" t="e">
        <f t="shared" si="930"/>
        <v>#N/A</v>
      </c>
      <c r="CD358" s="29" t="e">
        <f t="shared" si="930"/>
        <v>#N/A</v>
      </c>
      <c r="CE358" s="6" t="str">
        <f t="shared" si="844"/>
        <v/>
      </c>
      <c r="CF358" s="27" t="e">
        <f>IF(AND(CI358,NOT(AD358)),LOOKUP(CF$5,{0,750,1500},H358:J358),"")</f>
        <v>#N/A</v>
      </c>
      <c r="CG358" s="6" t="str">
        <f t="shared" si="845"/>
        <v/>
      </c>
      <c r="CH358" t="e">
        <f t="shared" si="931"/>
        <v>#N/A</v>
      </c>
      <c r="CI358" t="e">
        <f t="shared" si="932"/>
        <v>#N/A</v>
      </c>
      <c r="CJ358" s="6" t="e">
        <f t="shared" si="11"/>
        <v>#N/A</v>
      </c>
      <c r="CK358" s="6">
        <f t="shared" si="12"/>
        <v>1</v>
      </c>
      <c r="CL358" s="6">
        <f t="shared" si="26"/>
        <v>1</v>
      </c>
      <c r="CM358" s="6">
        <f t="shared" si="13"/>
        <v>1</v>
      </c>
      <c r="CN358" s="6">
        <f t="shared" si="14"/>
        <v>0</v>
      </c>
      <c r="CO358" s="6">
        <f t="shared" si="15"/>
        <v>1</v>
      </c>
      <c r="CP358" s="6">
        <f t="shared" si="16"/>
        <v>1</v>
      </c>
      <c r="CQ358" s="6">
        <f t="shared" si="933"/>
        <v>1</v>
      </c>
      <c r="CR358" s="81" t="str">
        <f t="shared" si="17"/>
        <v/>
      </c>
      <c r="CS358">
        <f t="shared" si="934"/>
        <v>9</v>
      </c>
      <c r="CT358">
        <f t="shared" si="766"/>
        <v>150</v>
      </c>
      <c r="CU358" t="str">
        <f t="shared" si="29"/>
        <v/>
      </c>
      <c r="CV358" s="81">
        <f t="shared" si="935"/>
        <v>150</v>
      </c>
      <c r="CW358" s="81">
        <f>(CV358/25)^1.5*(Calculator!$BU$4/10000)*CW$5</f>
        <v>7.6432310260371077</v>
      </c>
      <c r="CX358" t="str">
        <f t="shared" si="936"/>
        <v>$150</v>
      </c>
    </row>
    <row r="359" spans="2:102" x14ac:dyDescent="0.25">
      <c r="B359" s="115" t="s">
        <v>233</v>
      </c>
      <c r="C359" s="13">
        <v>46317.620833333334</v>
      </c>
      <c r="D359">
        <v>36629</v>
      </c>
      <c r="E359" s="54" t="s">
        <v>237</v>
      </c>
      <c r="F359" s="54" t="s">
        <v>1215</v>
      </c>
      <c r="G359" s="274" t="s">
        <v>1529</v>
      </c>
      <c r="H359" s="55">
        <v>12.5</v>
      </c>
      <c r="I359" s="55">
        <v>12.1</v>
      </c>
      <c r="J359" s="55">
        <v>11.899999999999999</v>
      </c>
      <c r="K359" s="54"/>
      <c r="L359" s="56" t="b">
        <v>0</v>
      </c>
      <c r="M359" s="56" t="b">
        <v>0</v>
      </c>
      <c r="N359" s="54">
        <v>1</v>
      </c>
      <c r="O359" s="54" t="s">
        <v>228</v>
      </c>
      <c r="P359" s="54">
        <v>3</v>
      </c>
      <c r="Q359" s="54">
        <v>12</v>
      </c>
      <c r="R359" s="54" t="s">
        <v>1524</v>
      </c>
      <c r="S359" s="54" t="s">
        <v>1532</v>
      </c>
      <c r="T359" s="54"/>
      <c r="U359" s="54" t="s">
        <v>1515</v>
      </c>
      <c r="V359" s="54" t="s">
        <v>1530</v>
      </c>
      <c r="W359" s="54" t="b">
        <v>0</v>
      </c>
      <c r="X359" s="54"/>
      <c r="Y359" s="57" t="s">
        <v>1531</v>
      </c>
      <c r="Z359" s="54" t="s">
        <v>1532</v>
      </c>
      <c r="AA359" s="54"/>
      <c r="AB359" s="54" t="s">
        <v>1533</v>
      </c>
      <c r="AC359" s="56" t="b">
        <v>1</v>
      </c>
      <c r="AD359" s="56" t="b">
        <v>0</v>
      </c>
      <c r="AE359" s="54" t="s">
        <v>302</v>
      </c>
      <c r="AF359" s="58">
        <v>46317</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4.8297E-2</v>
      </c>
      <c r="BC359" s="60"/>
      <c r="BD359" s="61"/>
      <c r="BE359" s="62" t="e">
        <v>#N/A</v>
      </c>
      <c r="BF359" s="35">
        <f t="shared" si="0"/>
        <v>4.0600000000000005</v>
      </c>
      <c r="BG359" s="35">
        <f t="shared" si="0"/>
        <v>6.8672999999999998E-2</v>
      </c>
      <c r="BH359" s="35" t="str">
        <f t="shared" si="926"/>
        <v>?</v>
      </c>
      <c r="BI359" s="110">
        <f t="shared" si="927"/>
        <v>0</v>
      </c>
      <c r="BJ359" s="83" t="str">
        <f>VLOOKUP($F359,REP_Info!$D$6:$H$250,5,FALSE)</f>
        <v/>
      </c>
      <c r="BK359" s="30" t="e">
        <f t="shared" si="928"/>
        <v>#N/A</v>
      </c>
      <c r="BL359" s="30" t="e">
        <f t="shared" si="928"/>
        <v>#N/A</v>
      </c>
      <c r="BM359" s="30" t="e">
        <f t="shared" si="928"/>
        <v>#N/A</v>
      </c>
      <c r="BN359" s="29" t="e">
        <f t="shared" si="928"/>
        <v>#N/A</v>
      </c>
      <c r="BO359" s="85" t="str">
        <f t="shared" si="2"/>
        <v>$$$</v>
      </c>
      <c r="BP359" s="88" t="str">
        <f t="shared" si="929"/>
        <v>$$$</v>
      </c>
      <c r="BQ359" s="88" t="str">
        <f t="shared" si="4"/>
        <v>$$$</v>
      </c>
      <c r="BR359" s="88" t="str">
        <f t="shared" si="5"/>
        <v>$$$</v>
      </c>
      <c r="BS359" s="29" t="e">
        <f t="shared" si="930"/>
        <v>#N/A</v>
      </c>
      <c r="BT359" s="29" t="e">
        <f t="shared" si="930"/>
        <v>#N/A</v>
      </c>
      <c r="BU359" s="29" t="e">
        <f t="shared" si="930"/>
        <v>#N/A</v>
      </c>
      <c r="BV359" s="29" t="e">
        <f t="shared" si="930"/>
        <v>#N/A</v>
      </c>
      <c r="BW359" s="29" t="e">
        <f t="shared" si="930"/>
        <v>#N/A</v>
      </c>
      <c r="BX359" s="29" t="e">
        <f t="shared" si="930"/>
        <v>#N/A</v>
      </c>
      <c r="BY359" s="29" t="e">
        <f t="shared" si="930"/>
        <v>#N/A</v>
      </c>
      <c r="BZ359" s="29" t="e">
        <f t="shared" si="930"/>
        <v>#N/A</v>
      </c>
      <c r="CA359" s="29" t="e">
        <f t="shared" si="930"/>
        <v>#N/A</v>
      </c>
      <c r="CB359" s="29" t="e">
        <f t="shared" si="930"/>
        <v>#N/A</v>
      </c>
      <c r="CC359" s="29" t="e">
        <f t="shared" si="930"/>
        <v>#N/A</v>
      </c>
      <c r="CD359" s="29" t="e">
        <f t="shared" si="930"/>
        <v>#N/A</v>
      </c>
      <c r="CE359" s="6" t="str">
        <f t="shared" si="844"/>
        <v/>
      </c>
      <c r="CF359" s="27" t="e">
        <f>IF(AND(CI359,NOT(AD359)),LOOKUP(CF$5,{0,750,1500},H359:J359),"")</f>
        <v>#N/A</v>
      </c>
      <c r="CG359" s="6" t="str">
        <f t="shared" si="845"/>
        <v/>
      </c>
      <c r="CH359" t="e">
        <f t="shared" si="931"/>
        <v>#N/A</v>
      </c>
      <c r="CI359" t="e">
        <f t="shared" si="932"/>
        <v>#N/A</v>
      </c>
      <c r="CJ359" s="6" t="e">
        <f t="shared" si="11"/>
        <v>#N/A</v>
      </c>
      <c r="CK359" s="6">
        <f t="shared" si="12"/>
        <v>1</v>
      </c>
      <c r="CL359" s="6">
        <f t="shared" si="26"/>
        <v>1</v>
      </c>
      <c r="CM359" s="6">
        <f t="shared" si="13"/>
        <v>1</v>
      </c>
      <c r="CN359" s="6">
        <f t="shared" si="14"/>
        <v>1</v>
      </c>
      <c r="CO359" s="6">
        <f t="shared" si="15"/>
        <v>1</v>
      </c>
      <c r="CP359" s="6">
        <f t="shared" si="16"/>
        <v>1</v>
      </c>
      <c r="CQ359" s="6">
        <f t="shared" si="933"/>
        <v>1</v>
      </c>
      <c r="CR359" s="81" t="str">
        <f t="shared" si="17"/>
        <v/>
      </c>
      <c r="CS359">
        <f t="shared" si="934"/>
        <v>0</v>
      </c>
      <c r="CT359">
        <f t="shared" si="766"/>
        <v>20</v>
      </c>
      <c r="CU359" t="str">
        <f t="shared" si="29"/>
        <v>rm</v>
      </c>
      <c r="CV359" s="81">
        <f t="shared" si="935"/>
        <v>240</v>
      </c>
      <c r="CW359" s="81">
        <f>(CV359/25)^1.5*(Calculator!$BU$4/10000)*CW$5</f>
        <v>15.468811984091507</v>
      </c>
      <c r="CX359" t="str">
        <f t="shared" si="936"/>
        <v>$20/rm</v>
      </c>
    </row>
    <row r="360" spans="2:102" x14ac:dyDescent="0.25">
      <c r="B360" s="115" t="s">
        <v>233</v>
      </c>
      <c r="C360" s="13">
        <v>46317.620833333334</v>
      </c>
      <c r="D360">
        <v>36630</v>
      </c>
      <c r="E360" s="54" t="s">
        <v>235</v>
      </c>
      <c r="F360" s="54" t="s">
        <v>1215</v>
      </c>
      <c r="G360" s="54" t="s">
        <v>1529</v>
      </c>
      <c r="H360" s="55">
        <v>12.4</v>
      </c>
      <c r="I360" s="55">
        <v>11.899999999999999</v>
      </c>
      <c r="J360" s="55">
        <v>11.700000000000001</v>
      </c>
      <c r="K360" s="54"/>
      <c r="L360" s="56" t="b">
        <v>0</v>
      </c>
      <c r="M360" s="56" t="b">
        <v>0</v>
      </c>
      <c r="N360" s="54">
        <v>1</v>
      </c>
      <c r="O360" s="54" t="s">
        <v>228</v>
      </c>
      <c r="P360" s="54">
        <v>3</v>
      </c>
      <c r="Q360" s="54">
        <v>12</v>
      </c>
      <c r="R360" s="54" t="s">
        <v>1524</v>
      </c>
      <c r="S360" s="54" t="s">
        <v>1532</v>
      </c>
      <c r="T360" s="54"/>
      <c r="U360" s="54" t="s">
        <v>1516</v>
      </c>
      <c r="V360" s="54" t="s">
        <v>1534</v>
      </c>
      <c r="W360" s="54" t="b">
        <v>0</v>
      </c>
      <c r="X360" s="54"/>
      <c r="Y360" s="57" t="s">
        <v>1535</v>
      </c>
      <c r="Z360" s="54" t="s">
        <v>1532</v>
      </c>
      <c r="AA360" s="54"/>
      <c r="AB360" s="54" t="s">
        <v>1533</v>
      </c>
      <c r="AC360" s="56" t="b">
        <v>1</v>
      </c>
      <c r="AD360" s="56" t="b">
        <v>0</v>
      </c>
      <c r="AE360" s="54" t="s">
        <v>302</v>
      </c>
      <c r="AF360" s="58">
        <v>46317</v>
      </c>
      <c r="AG360" s="62" t="s">
        <v>293</v>
      </c>
      <c r="AH360" s="54">
        <v>0</v>
      </c>
      <c r="AI360" s="54"/>
      <c r="AJ360" s="54"/>
      <c r="AK360" s="54"/>
      <c r="AL360" s="54"/>
      <c r="AM360" s="54">
        <v>0</v>
      </c>
      <c r="AN360" s="54"/>
      <c r="AO360" s="54"/>
      <c r="AP360" s="54"/>
      <c r="AQ360" s="54"/>
      <c r="AR360" s="54"/>
      <c r="AS360" s="54"/>
      <c r="AT360" s="54"/>
      <c r="AU360" s="54"/>
      <c r="AV360" s="54"/>
      <c r="AW360" s="54"/>
      <c r="AX360" s="59"/>
      <c r="AY360" s="59"/>
      <c r="AZ360" s="59"/>
      <c r="BA360" s="59"/>
      <c r="BB360" s="59">
        <v>4.9216999999999997E-2</v>
      </c>
      <c r="BC360" s="60"/>
      <c r="BD360" s="61"/>
      <c r="BE360" s="62" t="e">
        <v>#N/A</v>
      </c>
      <c r="BF360" s="35">
        <f t="shared" si="0"/>
        <v>4.9000000000000004</v>
      </c>
      <c r="BG360" s="35">
        <f t="shared" si="0"/>
        <v>6.5333000000000002E-2</v>
      </c>
      <c r="BH360" s="35" t="str">
        <f t="shared" si="926"/>
        <v>?</v>
      </c>
      <c r="BI360" s="110">
        <f t="shared" si="927"/>
        <v>0</v>
      </c>
      <c r="BJ360" s="83" t="str">
        <f>VLOOKUP($F360,REP_Info!$D$6:$H$250,5,FALSE)</f>
        <v/>
      </c>
      <c r="BK360" s="30" t="e">
        <f t="shared" si="928"/>
        <v>#N/A</v>
      </c>
      <c r="BL360" s="30" t="e">
        <f t="shared" si="928"/>
        <v>#N/A</v>
      </c>
      <c r="BM360" s="30" t="e">
        <f t="shared" si="928"/>
        <v>#N/A</v>
      </c>
      <c r="BN360" s="29" t="e">
        <f t="shared" si="928"/>
        <v>#N/A</v>
      </c>
      <c r="BO360" s="85" t="str">
        <f t="shared" si="2"/>
        <v>$$$</v>
      </c>
      <c r="BP360" s="88" t="str">
        <f t="shared" si="929"/>
        <v>$$$</v>
      </c>
      <c r="BQ360" s="88" t="str">
        <f t="shared" si="4"/>
        <v>$$$</v>
      </c>
      <c r="BR360" s="88" t="str">
        <f t="shared" si="5"/>
        <v>$$$</v>
      </c>
      <c r="BS360" s="29" t="e">
        <f t="shared" si="930"/>
        <v>#N/A</v>
      </c>
      <c r="BT360" s="29" t="e">
        <f t="shared" si="930"/>
        <v>#N/A</v>
      </c>
      <c r="BU360" s="29" t="e">
        <f t="shared" si="930"/>
        <v>#N/A</v>
      </c>
      <c r="BV360" s="29" t="e">
        <f t="shared" si="930"/>
        <v>#N/A</v>
      </c>
      <c r="BW360" s="29" t="e">
        <f t="shared" si="930"/>
        <v>#N/A</v>
      </c>
      <c r="BX360" s="29" t="e">
        <f t="shared" si="930"/>
        <v>#N/A</v>
      </c>
      <c r="BY360" s="29" t="e">
        <f t="shared" si="930"/>
        <v>#N/A</v>
      </c>
      <c r="BZ360" s="29" t="e">
        <f t="shared" si="930"/>
        <v>#N/A</v>
      </c>
      <c r="CA360" s="29" t="e">
        <f t="shared" si="930"/>
        <v>#N/A</v>
      </c>
      <c r="CB360" s="29" t="e">
        <f t="shared" si="930"/>
        <v>#N/A</v>
      </c>
      <c r="CC360" s="29" t="e">
        <f t="shared" si="930"/>
        <v>#N/A</v>
      </c>
      <c r="CD360" s="29" t="e">
        <f t="shared" si="930"/>
        <v>#N/A</v>
      </c>
      <c r="CE360" s="6" t="str">
        <f t="shared" si="844"/>
        <v/>
      </c>
      <c r="CF360" s="27" t="e">
        <f>IF(AND(CI360,NOT(AD360)),LOOKUP(CF$5,{0,750,1500},H360:J360),"")</f>
        <v>#N/A</v>
      </c>
      <c r="CG360" s="6" t="str">
        <f t="shared" si="845"/>
        <v/>
      </c>
      <c r="CH360" t="e">
        <f t="shared" si="931"/>
        <v>#N/A</v>
      </c>
      <c r="CI360" t="e">
        <f t="shared" si="932"/>
        <v>#N/A</v>
      </c>
      <c r="CJ360" s="6" t="e">
        <f t="shared" si="11"/>
        <v>#N/A</v>
      </c>
      <c r="CK360" s="6">
        <f t="shared" si="12"/>
        <v>1</v>
      </c>
      <c r="CL360" s="6">
        <f t="shared" si="26"/>
        <v>1</v>
      </c>
      <c r="CM360" s="6">
        <f t="shared" si="13"/>
        <v>1</v>
      </c>
      <c r="CN360" s="6">
        <f t="shared" si="14"/>
        <v>1</v>
      </c>
      <c r="CO360" s="6">
        <f t="shared" si="15"/>
        <v>1</v>
      </c>
      <c r="CP360" s="6">
        <f t="shared" si="16"/>
        <v>1</v>
      </c>
      <c r="CQ360" s="6">
        <f t="shared" si="933"/>
        <v>1</v>
      </c>
      <c r="CR360" s="81" t="str">
        <f t="shared" si="17"/>
        <v/>
      </c>
      <c r="CS360">
        <f t="shared" si="934"/>
        <v>0</v>
      </c>
      <c r="CT360">
        <f t="shared" si="766"/>
        <v>20</v>
      </c>
      <c r="CU360" t="str">
        <f t="shared" si="29"/>
        <v>rm</v>
      </c>
      <c r="CV360" s="81">
        <f t="shared" si="935"/>
        <v>240</v>
      </c>
      <c r="CW360" s="81">
        <f>(CV360/25)^1.5*(Calculator!$BU$4/10000)*CW$5</f>
        <v>15.468811984091507</v>
      </c>
      <c r="CX360" t="str">
        <f t="shared" si="936"/>
        <v>$20/rm</v>
      </c>
    </row>
    <row r="362" spans="2:102" x14ac:dyDescent="0.25">
      <c r="D362" t="s">
        <v>646</v>
      </c>
      <c r="BJ362" t="s">
        <v>646</v>
      </c>
    </row>
  </sheetData>
  <sheetProtection sort="0" autoFilter="0"/>
  <sortState xmlns:xlrd2="http://schemas.microsoft.com/office/spreadsheetml/2017/richdata2" ref="B8:CQ360">
    <sortCondition ref="F8:F360"/>
    <sortCondition ref="D8:D360"/>
  </sortState>
  <conditionalFormatting sqref="A1">
    <cfRule type="expression" dxfId="6" priority="43">
      <formula>AND(NOW()&gt;$C$3)</formula>
    </cfRule>
  </conditionalFormatting>
  <conditionalFormatting sqref="G8:G360">
    <cfRule type="expression" dxfId="5" priority="45">
      <formula>$B8&lt;&gt;"PTC"</formula>
    </cfRule>
  </conditionalFormatting>
  <conditionalFormatting sqref="H8:J360">
    <cfRule type="expression" dxfId="4" priority="47">
      <formula>NOT(H8=ROUND(BK8,1))</formula>
    </cfRule>
  </conditionalFormatting>
  <conditionalFormatting sqref="L8:L360 AC8:AD360">
    <cfRule type="cellIs" dxfId="3" priority="49" operator="equal">
      <formula>FALSE</formula>
    </cfRule>
    <cfRule type="cellIs" dxfId="2" priority="51" operator="equal">
      <formula>TRUE</formula>
    </cfRule>
  </conditionalFormatting>
  <conditionalFormatting sqref="BC8:BD360">
    <cfRule type="expression" dxfId="1" priority="42">
      <formula>ABS(BF8-BC8)&gt;0.00009</formula>
    </cfRule>
  </conditionalFormatting>
  <conditionalFormatting sqref="BE8:BE360">
    <cfRule type="cellIs" dxfId="0" priority="26" operator="equal">
      <formula>"?"</formula>
    </cfRule>
  </conditionalFormatting>
  <conditionalFormatting sqref="BK8:BN360 BS8:CD360">
    <cfRule type="colorScale" priority="27">
      <colorScale>
        <cfvo type="num" val="5"/>
        <cfvo type="percentile" val="50"/>
        <cfvo type="num" val="16"/>
        <color rgb="FF63BE7B"/>
        <color theme="0"/>
        <color rgb="FFF8696B"/>
      </colorScale>
    </cfRule>
  </conditionalFormatting>
  <conditionalFormatting sqref="BO8:BO360">
    <cfRule type="colorScale" priority="14690">
      <colorScale>
        <cfvo type="min"/>
        <cfvo type="percentile" val="50"/>
        <cfvo type="max"/>
        <color rgb="FF63BE7B"/>
        <color theme="0"/>
        <color rgb="FFF8696B"/>
      </colorScale>
    </cfRule>
  </conditionalFormatting>
  <conditionalFormatting sqref="BP8:BQ360">
    <cfRule type="colorScale" priority="14692">
      <colorScale>
        <cfvo type="min"/>
        <cfvo type="percentile" val="50"/>
        <cfvo type="max"/>
        <color rgb="FF63BE7B"/>
        <color theme="0"/>
        <color rgb="FFF8696B"/>
      </colorScale>
    </cfRule>
  </conditionalFormatting>
  <conditionalFormatting sqref="BR8:BR360">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W8:W360 AC8:AD360 L8:M360" xr:uid="{00000000-0002-0000-0100-000000000000}">
      <formula1>$L$4:$L$5</formula1>
    </dataValidation>
    <dataValidation type="list" allowBlank="1" showInputMessage="1" showErrorMessage="1" sqref="O8:O360" xr:uid="{00000000-0002-0000-0100-000001000000}">
      <formula1>$O$3:$O$5</formula1>
    </dataValidation>
    <dataValidation type="list" allowBlank="1" showInputMessage="1" showErrorMessage="1" sqref="E8:E360"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647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648</v>
      </c>
      <c r="G2" s="5" t="s">
        <v>649</v>
      </c>
      <c r="H2" s="5" t="s">
        <v>650</v>
      </c>
      <c r="I2" s="5" t="s">
        <v>651</v>
      </c>
      <c r="J2" s="5" t="s">
        <v>652</v>
      </c>
      <c r="K2" s="5" t="s">
        <v>653</v>
      </c>
      <c r="L2" s="5" t="s">
        <v>654</v>
      </c>
      <c r="M2" s="5" t="s">
        <v>655</v>
      </c>
      <c r="N2" s="5" t="s">
        <v>656</v>
      </c>
      <c r="O2" s="5" t="s">
        <v>657</v>
      </c>
      <c r="P2" s="5" t="s">
        <v>658</v>
      </c>
      <c r="Q2" s="5" t="s">
        <v>659</v>
      </c>
      <c r="R2" s="5" t="s">
        <v>660</v>
      </c>
      <c r="S2" s="5" t="s">
        <v>661</v>
      </c>
      <c r="T2" s="5" t="s">
        <v>662</v>
      </c>
      <c r="U2" s="5" t="s">
        <v>663</v>
      </c>
      <c r="V2" s="5" t="s">
        <v>664</v>
      </c>
      <c r="W2" s="5" t="s">
        <v>665</v>
      </c>
      <c r="X2" s="5" t="s">
        <v>666</v>
      </c>
      <c r="Y2" s="5" t="s">
        <v>667</v>
      </c>
      <c r="Z2" s="5" t="s">
        <v>668</v>
      </c>
      <c r="AA2" s="5" t="s">
        <v>150</v>
      </c>
      <c r="AB2" s="5" t="s">
        <v>669</v>
      </c>
      <c r="AC2" s="5" t="s">
        <v>152</v>
      </c>
      <c r="AD2" s="5" t="s">
        <v>670</v>
      </c>
      <c r="AE2" s="5" t="s">
        <v>671</v>
      </c>
      <c r="AF2" s="5" t="s">
        <v>672</v>
      </c>
      <c r="AG2" s="5" t="s">
        <v>673</v>
      </c>
      <c r="AH2" s="5" t="s">
        <v>674</v>
      </c>
      <c r="AI2" s="5" t="s">
        <v>675</v>
      </c>
      <c r="AJ2" s="5" t="s">
        <v>160</v>
      </c>
      <c r="AK2" s="5" t="s">
        <v>676</v>
      </c>
      <c r="AL2" s="5" t="s">
        <v>677</v>
      </c>
      <c r="AM2" s="137" t="s">
        <v>678</v>
      </c>
      <c r="AN2" s="5" t="s">
        <v>679</v>
      </c>
      <c r="AO2" s="5" t="s">
        <v>680</v>
      </c>
      <c r="AP2" s="5" t="s">
        <v>681</v>
      </c>
    </row>
    <row r="3" spans="1:42" x14ac:dyDescent="0.25">
      <c r="B3" s="273">
        <f>COUNTA(B6:B213)</f>
        <v>208</v>
      </c>
      <c r="F3" s="5" t="s">
        <v>682</v>
      </c>
      <c r="G3" s="5" t="s">
        <v>683</v>
      </c>
      <c r="H3" s="5" t="s">
        <v>684</v>
      </c>
      <c r="I3" s="5" t="s">
        <v>685</v>
      </c>
      <c r="J3" s="5" t="s">
        <v>686</v>
      </c>
      <c r="K3" s="5" t="s">
        <v>686</v>
      </c>
      <c r="L3" s="5" t="s">
        <v>686</v>
      </c>
      <c r="M3" s="5" t="s">
        <v>687</v>
      </c>
      <c r="O3" s="5" t="s">
        <v>688</v>
      </c>
      <c r="P3" s="5" t="s">
        <v>689</v>
      </c>
      <c r="Q3" s="5" t="s">
        <v>690</v>
      </c>
      <c r="R3" s="5" t="s">
        <v>691</v>
      </c>
      <c r="S3" s="5" t="s">
        <v>692</v>
      </c>
      <c r="T3" s="5" t="s">
        <v>693</v>
      </c>
      <c r="U3" s="5" t="s">
        <v>694</v>
      </c>
      <c r="V3" s="5" t="s">
        <v>695</v>
      </c>
      <c r="W3" s="5" t="s">
        <v>696</v>
      </c>
      <c r="X3" s="5" t="s">
        <v>697</v>
      </c>
      <c r="Y3" s="5" t="s">
        <v>698</v>
      </c>
      <c r="Z3" s="5" t="s">
        <v>699</v>
      </c>
      <c r="AA3" s="5" t="s">
        <v>700</v>
      </c>
      <c r="AB3" s="5" t="s">
        <v>701</v>
      </c>
      <c r="AC3" s="5" t="s">
        <v>702</v>
      </c>
      <c r="AD3" s="5" t="s">
        <v>703</v>
      </c>
      <c r="AE3" s="5" t="s">
        <v>704</v>
      </c>
      <c r="AF3" s="5" t="s">
        <v>705</v>
      </c>
      <c r="AG3" s="5" t="s">
        <v>706</v>
      </c>
      <c r="AH3" s="5" t="s">
        <v>707</v>
      </c>
      <c r="AI3" s="5" t="s">
        <v>708</v>
      </c>
      <c r="AJ3" s="5" t="s">
        <v>709</v>
      </c>
      <c r="AK3" s="5" t="s">
        <v>710</v>
      </c>
      <c r="AL3" s="5" t="s">
        <v>711</v>
      </c>
      <c r="AM3" s="137" t="s">
        <v>712</v>
      </c>
    </row>
    <row r="4" spans="1:42" ht="15" customHeight="1" x14ac:dyDescent="0.25"/>
    <row r="5" spans="1:42" s="269" customFormat="1" ht="90" customHeight="1" x14ac:dyDescent="0.25">
      <c r="A5" s="5"/>
      <c r="B5" s="268" t="s">
        <v>713</v>
      </c>
      <c r="C5" s="264" t="s">
        <v>714</v>
      </c>
      <c r="D5" s="264" t="s">
        <v>715</v>
      </c>
      <c r="E5" s="264" t="s">
        <v>716</v>
      </c>
      <c r="F5" s="106" t="s">
        <v>131</v>
      </c>
      <c r="G5" s="106" t="s">
        <v>132</v>
      </c>
      <c r="H5" s="106" t="s">
        <v>133</v>
      </c>
      <c r="I5" s="106" t="s">
        <v>134</v>
      </c>
      <c r="J5" s="106" t="s">
        <v>137</v>
      </c>
      <c r="K5" s="106" t="s">
        <v>136</v>
      </c>
      <c r="L5" s="106" t="s">
        <v>135</v>
      </c>
      <c r="M5" s="106" t="s">
        <v>138</v>
      </c>
      <c r="N5" s="106" t="s">
        <v>717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718</v>
      </c>
      <c r="AM5" s="106" t="s">
        <v>719</v>
      </c>
      <c r="AN5" s="106" t="s">
        <v>679</v>
      </c>
      <c r="AO5" s="106" t="s">
        <v>111</v>
      </c>
      <c r="AP5" s="106" t="s">
        <v>720</v>
      </c>
    </row>
    <row r="6" spans="1:42" x14ac:dyDescent="0.25">
      <c r="B6" s="5" t="s">
        <v>811</v>
      </c>
      <c r="C6" s="5" t="s">
        <v>1880</v>
      </c>
      <c r="D6" s="271">
        <v>46301</v>
      </c>
      <c r="E6" s="5" t="s">
        <v>1881</v>
      </c>
      <c r="F6" s="265" t="s">
        <v>724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617</v>
      </c>
    </row>
    <row r="7" spans="1:42" x14ac:dyDescent="0.25">
      <c r="B7" s="5" t="s">
        <v>294</v>
      </c>
      <c r="C7" s="5" t="s">
        <v>298</v>
      </c>
      <c r="D7" s="271">
        <v>45568</v>
      </c>
      <c r="E7" s="5" t="s">
        <v>721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617</v>
      </c>
    </row>
    <row r="8" spans="1:42" x14ac:dyDescent="0.25">
      <c r="B8" s="5" t="s">
        <v>304</v>
      </c>
      <c r="C8" s="5" t="s">
        <v>314</v>
      </c>
      <c r="D8" s="271">
        <v>46081</v>
      </c>
      <c r="E8" s="5" t="s">
        <v>722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617</v>
      </c>
    </row>
    <row r="9" spans="1:42" x14ac:dyDescent="0.25">
      <c r="B9" s="5" t="s">
        <v>304</v>
      </c>
      <c r="C9" s="5" t="s">
        <v>317</v>
      </c>
      <c r="D9" s="271">
        <v>46081</v>
      </c>
      <c r="E9" s="5" t="s">
        <v>722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617</v>
      </c>
    </row>
    <row r="10" spans="1:42" x14ac:dyDescent="0.25">
      <c r="B10" s="5" t="s">
        <v>304</v>
      </c>
      <c r="C10" s="5" t="s">
        <v>1612</v>
      </c>
      <c r="D10" s="271">
        <v>45912</v>
      </c>
      <c r="E10" s="5" t="s">
        <v>722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617</v>
      </c>
    </row>
    <row r="11" spans="1:42" x14ac:dyDescent="0.25">
      <c r="B11" s="5" t="s">
        <v>304</v>
      </c>
      <c r="C11" s="5" t="s">
        <v>1613</v>
      </c>
      <c r="D11" s="271">
        <v>45912</v>
      </c>
      <c r="E11" s="5" t="s">
        <v>722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617</v>
      </c>
    </row>
    <row r="12" spans="1:42" x14ac:dyDescent="0.25">
      <c r="B12" s="5" t="s">
        <v>304</v>
      </c>
      <c r="C12" s="5" t="s">
        <v>329</v>
      </c>
      <c r="D12" s="271">
        <v>45419</v>
      </c>
      <c r="E12" s="5" t="s">
        <v>723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617</v>
      </c>
    </row>
    <row r="13" spans="1:42" x14ac:dyDescent="0.25">
      <c r="B13" s="5" t="s">
        <v>304</v>
      </c>
      <c r="C13" s="5" t="s">
        <v>321</v>
      </c>
      <c r="D13" s="271">
        <v>45419</v>
      </c>
      <c r="E13" s="5" t="s">
        <v>723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617</v>
      </c>
    </row>
    <row r="14" spans="1:42" x14ac:dyDescent="0.25">
      <c r="B14" s="5" t="s">
        <v>304</v>
      </c>
      <c r="C14" s="5" t="s">
        <v>324</v>
      </c>
      <c r="D14" s="271">
        <v>45419</v>
      </c>
      <c r="E14" s="5" t="s">
        <v>723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617</v>
      </c>
    </row>
    <row r="15" spans="1:42" x14ac:dyDescent="0.25">
      <c r="B15" s="5" t="s">
        <v>304</v>
      </c>
      <c r="C15" s="5" t="s">
        <v>327</v>
      </c>
      <c r="D15" s="271">
        <v>45419</v>
      </c>
      <c r="E15" s="5" t="s">
        <v>723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617</v>
      </c>
    </row>
    <row r="16" spans="1:42" x14ac:dyDescent="0.25">
      <c r="B16" s="5" t="s">
        <v>304</v>
      </c>
      <c r="C16" s="5" t="s">
        <v>1614</v>
      </c>
      <c r="D16" s="271">
        <v>45350</v>
      </c>
      <c r="E16" s="5" t="s">
        <v>1615</v>
      </c>
      <c r="F16" s="265" t="s">
        <v>724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1616</v>
      </c>
      <c r="D17" s="271">
        <v>45350</v>
      </c>
      <c r="E17" s="5" t="s">
        <v>1615</v>
      </c>
      <c r="F17" s="265" t="s">
        <v>724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1949</v>
      </c>
      <c r="D18" s="271">
        <v>46303</v>
      </c>
      <c r="E18" s="5" t="s">
        <v>1537</v>
      </c>
      <c r="F18" s="265" t="s">
        <v>724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725</v>
      </c>
      <c r="AH18" s="265"/>
      <c r="AI18" s="265"/>
      <c r="AJ18" s="265"/>
      <c r="AK18" s="265"/>
      <c r="AL18" s="265"/>
      <c r="AM18" s="265"/>
      <c r="AP18" s="137" t="s">
        <v>617</v>
      </c>
    </row>
    <row r="19" spans="2:42" x14ac:dyDescent="0.25">
      <c r="B19" s="5" t="s">
        <v>331</v>
      </c>
      <c r="C19" s="5" t="s">
        <v>1950</v>
      </c>
      <c r="D19" s="271">
        <v>46303</v>
      </c>
      <c r="E19" s="5" t="s">
        <v>1537</v>
      </c>
      <c r="F19" s="265" t="s">
        <v>724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725</v>
      </c>
      <c r="AH19" s="265"/>
      <c r="AI19" s="265"/>
      <c r="AJ19" s="265"/>
      <c r="AK19" s="265"/>
      <c r="AL19" s="265"/>
      <c r="AM19" s="265"/>
      <c r="AP19" s="137" t="s">
        <v>617</v>
      </c>
    </row>
    <row r="20" spans="2:42" x14ac:dyDescent="0.25">
      <c r="B20" s="5" t="s">
        <v>331</v>
      </c>
      <c r="C20" s="5" t="s">
        <v>1729</v>
      </c>
      <c r="D20" s="271">
        <v>46277</v>
      </c>
      <c r="E20" s="5" t="s">
        <v>1537</v>
      </c>
      <c r="F20" s="265" t="s">
        <v>724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725</v>
      </c>
      <c r="AH20" s="265"/>
      <c r="AI20" s="265"/>
      <c r="AJ20" s="265"/>
      <c r="AK20" s="265"/>
      <c r="AL20" s="265"/>
      <c r="AM20" s="265"/>
      <c r="AP20" s="137" t="s">
        <v>617</v>
      </c>
    </row>
    <row r="21" spans="2:42" x14ac:dyDescent="0.25">
      <c r="B21" s="5" t="s">
        <v>331</v>
      </c>
      <c r="C21" s="5" t="s">
        <v>1730</v>
      </c>
      <c r="D21" s="271">
        <v>46277</v>
      </c>
      <c r="E21" s="5" t="s">
        <v>1537</v>
      </c>
      <c r="F21" s="265" t="s">
        <v>724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725</v>
      </c>
      <c r="AH21" s="265"/>
      <c r="AI21" s="265"/>
      <c r="AJ21" s="265"/>
      <c r="AK21" s="265"/>
      <c r="AL21" s="265"/>
      <c r="AM21" s="265"/>
      <c r="AP21" s="137" t="s">
        <v>617</v>
      </c>
    </row>
    <row r="22" spans="2:42" x14ac:dyDescent="0.25">
      <c r="B22" s="5" t="s">
        <v>331</v>
      </c>
      <c r="C22" s="5" t="s">
        <v>1707</v>
      </c>
      <c r="D22" s="271">
        <v>46274</v>
      </c>
      <c r="E22" s="5" t="s">
        <v>1537</v>
      </c>
      <c r="F22" s="265" t="s">
        <v>724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725</v>
      </c>
      <c r="AH22" s="265"/>
      <c r="AI22" s="265"/>
      <c r="AJ22" s="265"/>
      <c r="AK22" s="265"/>
      <c r="AL22" s="265"/>
      <c r="AM22" s="265"/>
      <c r="AP22" s="137" t="s">
        <v>617</v>
      </c>
    </row>
    <row r="23" spans="2:42" x14ac:dyDescent="0.25">
      <c r="B23" s="5" t="s">
        <v>331</v>
      </c>
      <c r="C23" s="5" t="s">
        <v>1708</v>
      </c>
      <c r="D23" s="271">
        <v>46274</v>
      </c>
      <c r="E23" s="5" t="s">
        <v>1537</v>
      </c>
      <c r="F23" s="265" t="s">
        <v>724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725</v>
      </c>
      <c r="AH23" s="265"/>
      <c r="AI23" s="265"/>
      <c r="AJ23" s="265"/>
      <c r="AK23" s="265"/>
      <c r="AL23" s="265"/>
      <c r="AM23" s="265"/>
      <c r="AP23" s="137" t="s">
        <v>617</v>
      </c>
    </row>
    <row r="24" spans="2:42" x14ac:dyDescent="0.25">
      <c r="B24" s="5" t="s">
        <v>331</v>
      </c>
      <c r="C24" s="5" t="s">
        <v>1536</v>
      </c>
      <c r="D24" s="271">
        <v>46218</v>
      </c>
      <c r="E24" s="5" t="s">
        <v>1537</v>
      </c>
      <c r="F24" s="265" t="s">
        <v>724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725</v>
      </c>
      <c r="AH24" s="265"/>
      <c r="AI24" s="265"/>
      <c r="AJ24" s="265"/>
      <c r="AK24" s="265"/>
      <c r="AL24" s="265"/>
      <c r="AM24" s="265"/>
      <c r="AP24" s="137" t="s">
        <v>617</v>
      </c>
    </row>
    <row r="25" spans="2:42" x14ac:dyDescent="0.25">
      <c r="B25" s="5" t="s">
        <v>331</v>
      </c>
      <c r="C25" s="5" t="s">
        <v>1538</v>
      </c>
      <c r="D25" s="271">
        <v>46218</v>
      </c>
      <c r="E25" s="5" t="s">
        <v>1537</v>
      </c>
      <c r="F25" s="265" t="s">
        <v>724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725</v>
      </c>
      <c r="AH25" s="265"/>
      <c r="AI25" s="265"/>
      <c r="AJ25" s="265"/>
      <c r="AK25" s="265"/>
      <c r="AL25" s="265"/>
      <c r="AM25" s="265"/>
      <c r="AP25" s="137" t="s">
        <v>617</v>
      </c>
    </row>
    <row r="26" spans="2:42" x14ac:dyDescent="0.25">
      <c r="B26" s="5" t="s">
        <v>331</v>
      </c>
      <c r="C26" s="5" t="s">
        <v>336</v>
      </c>
      <c r="D26" s="271">
        <v>45464</v>
      </c>
      <c r="E26" s="5" t="s">
        <v>726</v>
      </c>
      <c r="F26" s="265" t="s">
        <v>724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725</v>
      </c>
      <c r="AH26" s="265"/>
      <c r="AI26" s="265"/>
      <c r="AJ26" s="265"/>
      <c r="AK26" s="265"/>
      <c r="AL26" s="265"/>
      <c r="AM26" s="265"/>
      <c r="AP26" s="137" t="s">
        <v>617</v>
      </c>
    </row>
    <row r="27" spans="2:42" x14ac:dyDescent="0.25">
      <c r="B27" s="5" t="s">
        <v>331</v>
      </c>
      <c r="C27" s="5" t="s">
        <v>341</v>
      </c>
      <c r="D27" s="271">
        <v>45464</v>
      </c>
      <c r="E27" s="5" t="s">
        <v>727</v>
      </c>
      <c r="F27" s="265" t="s">
        <v>724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725</v>
      </c>
      <c r="AH27" s="265"/>
      <c r="AI27" s="265"/>
      <c r="AJ27" s="265"/>
      <c r="AK27" s="265"/>
      <c r="AL27" s="265"/>
      <c r="AM27" s="265"/>
      <c r="AP27" s="137" t="s">
        <v>617</v>
      </c>
    </row>
    <row r="28" spans="2:42" x14ac:dyDescent="0.25">
      <c r="B28" s="5" t="s">
        <v>345</v>
      </c>
      <c r="C28" s="5" t="s">
        <v>348</v>
      </c>
      <c r="D28" s="271">
        <v>46096</v>
      </c>
      <c r="E28" s="5" t="s">
        <v>728</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617</v>
      </c>
    </row>
    <row r="29" spans="2:42" x14ac:dyDescent="0.25">
      <c r="B29" s="5" t="s">
        <v>355</v>
      </c>
      <c r="C29" s="5" t="s">
        <v>1644</v>
      </c>
      <c r="D29" s="271">
        <v>45871</v>
      </c>
      <c r="E29" s="5" t="s">
        <v>1605</v>
      </c>
      <c r="F29" s="265" t="s">
        <v>724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617</v>
      </c>
    </row>
    <row r="30" spans="2:42" x14ac:dyDescent="0.25">
      <c r="B30" s="5" t="s">
        <v>355</v>
      </c>
      <c r="C30" s="5" t="s">
        <v>1645</v>
      </c>
      <c r="D30" s="271">
        <v>45871</v>
      </c>
      <c r="E30" s="5" t="s">
        <v>1605</v>
      </c>
      <c r="F30" s="265" t="s">
        <v>724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617</v>
      </c>
    </row>
    <row r="31" spans="2:42" x14ac:dyDescent="0.25">
      <c r="B31" s="5" t="s">
        <v>355</v>
      </c>
      <c r="C31" s="5" t="s">
        <v>2245</v>
      </c>
      <c r="D31" s="271">
        <v>45545</v>
      </c>
      <c r="E31" s="5" t="s">
        <v>2246</v>
      </c>
      <c r="F31" s="265" t="s">
        <v>724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617</v>
      </c>
    </row>
    <row r="32" spans="2:42" x14ac:dyDescent="0.25">
      <c r="B32" s="5" t="s">
        <v>355</v>
      </c>
      <c r="C32" s="5" t="s">
        <v>2247</v>
      </c>
      <c r="D32" s="271">
        <v>45329</v>
      </c>
      <c r="E32" s="5" t="s">
        <v>729</v>
      </c>
      <c r="F32" s="265" t="s">
        <v>724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617</v>
      </c>
    </row>
    <row r="33" spans="2:42" x14ac:dyDescent="0.25">
      <c r="B33" s="5" t="s">
        <v>355</v>
      </c>
      <c r="C33" s="5" t="s">
        <v>1853</v>
      </c>
      <c r="D33" s="271">
        <v>45317</v>
      </c>
      <c r="E33" s="5" t="s">
        <v>729</v>
      </c>
      <c r="F33" s="265" t="s">
        <v>724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617</v>
      </c>
    </row>
    <row r="34" spans="2:42" x14ac:dyDescent="0.25">
      <c r="B34" s="5" t="s">
        <v>355</v>
      </c>
      <c r="C34" s="5" t="s">
        <v>1854</v>
      </c>
      <c r="D34" s="271">
        <v>45317</v>
      </c>
      <c r="E34" s="5" t="s">
        <v>729</v>
      </c>
      <c r="F34" s="265" t="s">
        <v>724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617</v>
      </c>
    </row>
    <row r="35" spans="2:42" x14ac:dyDescent="0.25">
      <c r="B35" s="5" t="s">
        <v>355</v>
      </c>
      <c r="C35" s="5" t="s">
        <v>1855</v>
      </c>
      <c r="D35" s="271">
        <v>45275</v>
      </c>
      <c r="E35" s="5" t="s">
        <v>729</v>
      </c>
      <c r="F35" s="265" t="s">
        <v>724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617</v>
      </c>
    </row>
    <row r="36" spans="2:42" x14ac:dyDescent="0.25">
      <c r="B36" s="5" t="s">
        <v>355</v>
      </c>
      <c r="C36" s="5" t="s">
        <v>1674</v>
      </c>
      <c r="D36" s="271">
        <v>45275</v>
      </c>
      <c r="E36" s="5" t="s">
        <v>729</v>
      </c>
      <c r="F36" s="265" t="s">
        <v>724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617</v>
      </c>
    </row>
    <row r="37" spans="2:42" x14ac:dyDescent="0.25">
      <c r="B37" s="5" t="s">
        <v>355</v>
      </c>
      <c r="C37" s="5" t="s">
        <v>1856</v>
      </c>
      <c r="D37" s="271">
        <v>45275</v>
      </c>
      <c r="E37" s="5" t="s">
        <v>729</v>
      </c>
      <c r="F37" s="265" t="s">
        <v>724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617</v>
      </c>
    </row>
    <row r="38" spans="2:42" x14ac:dyDescent="0.25">
      <c r="B38" s="5" t="s">
        <v>355</v>
      </c>
      <c r="C38" s="5" t="s">
        <v>1675</v>
      </c>
      <c r="D38" s="271">
        <v>45275</v>
      </c>
      <c r="E38" s="5" t="s">
        <v>729</v>
      </c>
      <c r="F38" s="265" t="s">
        <v>724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617</v>
      </c>
    </row>
    <row r="39" spans="2:42" x14ac:dyDescent="0.25">
      <c r="B39" s="5" t="s">
        <v>364</v>
      </c>
      <c r="C39" s="5" t="s">
        <v>2248</v>
      </c>
      <c r="D39" s="271">
        <v>46321</v>
      </c>
      <c r="E39" s="5" t="s">
        <v>730</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617</v>
      </c>
    </row>
    <row r="40" spans="2:42" x14ac:dyDescent="0.25">
      <c r="B40" s="5" t="s">
        <v>364</v>
      </c>
      <c r="C40" s="5" t="s">
        <v>2249</v>
      </c>
      <c r="D40" s="271">
        <v>46321</v>
      </c>
      <c r="E40" s="5" t="s">
        <v>730</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617</v>
      </c>
    </row>
    <row r="41" spans="2:42" x14ac:dyDescent="0.25">
      <c r="B41" s="5" t="s">
        <v>364</v>
      </c>
      <c r="C41" s="5" t="s">
        <v>2250</v>
      </c>
      <c r="D41" s="271">
        <v>46321</v>
      </c>
      <c r="E41" s="5" t="s">
        <v>730</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617</v>
      </c>
    </row>
    <row r="42" spans="2:42" x14ac:dyDescent="0.25">
      <c r="B42" s="5" t="s">
        <v>364</v>
      </c>
      <c r="C42" s="5" t="s">
        <v>2251</v>
      </c>
      <c r="D42" s="271">
        <v>46321</v>
      </c>
      <c r="E42" s="5" t="s">
        <v>730</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617</v>
      </c>
    </row>
    <row r="43" spans="2:42" x14ac:dyDescent="0.25">
      <c r="B43" s="5" t="s">
        <v>364</v>
      </c>
      <c r="C43" s="5" t="s">
        <v>2252</v>
      </c>
      <c r="D43" s="271">
        <v>46321</v>
      </c>
      <c r="E43" s="5" t="s">
        <v>730</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617</v>
      </c>
    </row>
    <row r="44" spans="2:42" x14ac:dyDescent="0.25">
      <c r="B44" s="5" t="s">
        <v>364</v>
      </c>
      <c r="C44" s="5" t="s">
        <v>2253</v>
      </c>
      <c r="D44" s="271">
        <v>46321</v>
      </c>
      <c r="E44" s="5" t="s">
        <v>730</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617</v>
      </c>
    </row>
    <row r="45" spans="2:42" x14ac:dyDescent="0.25">
      <c r="B45" s="5" t="s">
        <v>364</v>
      </c>
      <c r="C45" s="5" t="s">
        <v>2254</v>
      </c>
      <c r="D45" s="271">
        <v>46321</v>
      </c>
      <c r="E45" s="5" t="s">
        <v>730</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617</v>
      </c>
    </row>
    <row r="46" spans="2:42" x14ac:dyDescent="0.25">
      <c r="B46" s="5" t="s">
        <v>364</v>
      </c>
      <c r="C46" s="5" t="s">
        <v>2255</v>
      </c>
      <c r="D46" s="271">
        <v>46321</v>
      </c>
      <c r="E46" s="5" t="s">
        <v>730</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617</v>
      </c>
    </row>
    <row r="47" spans="2:42" x14ac:dyDescent="0.25">
      <c r="B47" s="5" t="s">
        <v>364</v>
      </c>
      <c r="C47" s="5" t="s">
        <v>2099</v>
      </c>
      <c r="D47" s="271">
        <v>46316</v>
      </c>
      <c r="E47" s="5" t="s">
        <v>730</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617</v>
      </c>
    </row>
    <row r="48" spans="2:42" x14ac:dyDescent="0.25">
      <c r="B48" s="5" t="s">
        <v>364</v>
      </c>
      <c r="C48" s="5" t="s">
        <v>2100</v>
      </c>
      <c r="D48" s="271">
        <v>46316</v>
      </c>
      <c r="E48" s="5" t="s">
        <v>730</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617</v>
      </c>
    </row>
    <row r="49" spans="2:42" x14ac:dyDescent="0.25">
      <c r="B49" s="5" t="s">
        <v>365</v>
      </c>
      <c r="C49" s="5" t="s">
        <v>369</v>
      </c>
      <c r="D49" s="271">
        <v>45926</v>
      </c>
      <c r="E49" s="5" t="s">
        <v>731</v>
      </c>
      <c r="F49" s="265" t="s">
        <v>724</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617</v>
      </c>
    </row>
    <row r="50" spans="2:42" x14ac:dyDescent="0.25">
      <c r="B50" s="5" t="s">
        <v>382</v>
      </c>
      <c r="C50" s="5" t="s">
        <v>2229</v>
      </c>
      <c r="D50" s="271">
        <v>46318</v>
      </c>
      <c r="E50" s="5" t="s">
        <v>732</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733</v>
      </c>
      <c r="AH50" s="265"/>
      <c r="AI50" s="265"/>
      <c r="AJ50" s="265"/>
      <c r="AK50" s="265"/>
      <c r="AL50" s="265"/>
      <c r="AM50" s="265"/>
      <c r="AP50" s="137" t="s">
        <v>617</v>
      </c>
    </row>
    <row r="51" spans="2:42" x14ac:dyDescent="0.25">
      <c r="B51" s="5" t="s">
        <v>382</v>
      </c>
      <c r="C51" s="5" t="s">
        <v>2230</v>
      </c>
      <c r="D51" s="271">
        <v>46318</v>
      </c>
      <c r="E51" s="5" t="s">
        <v>732</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733</v>
      </c>
      <c r="AH51" s="265"/>
      <c r="AI51" s="265"/>
      <c r="AJ51" s="265"/>
      <c r="AK51" s="265"/>
      <c r="AL51" s="265"/>
      <c r="AM51" s="265"/>
      <c r="AP51" s="137" t="s">
        <v>617</v>
      </c>
    </row>
    <row r="52" spans="2:42" x14ac:dyDescent="0.25">
      <c r="B52" s="5" t="s">
        <v>382</v>
      </c>
      <c r="C52" s="5" t="s">
        <v>2231</v>
      </c>
      <c r="D52" s="271">
        <v>46318</v>
      </c>
      <c r="E52" s="5" t="s">
        <v>732</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733</v>
      </c>
      <c r="AH52" s="265"/>
      <c r="AI52" s="265"/>
      <c r="AJ52" s="265"/>
      <c r="AK52" s="265"/>
      <c r="AL52" s="265"/>
      <c r="AM52" s="265"/>
      <c r="AP52" s="137" t="s">
        <v>617</v>
      </c>
    </row>
    <row r="53" spans="2:42" x14ac:dyDescent="0.25">
      <c r="B53" s="5" t="s">
        <v>382</v>
      </c>
      <c r="C53" s="5" t="s">
        <v>2101</v>
      </c>
      <c r="D53" s="271">
        <v>46316</v>
      </c>
      <c r="E53" s="5" t="s">
        <v>732</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733</v>
      </c>
      <c r="AH53" s="265"/>
      <c r="AI53" s="265"/>
      <c r="AJ53" s="265"/>
      <c r="AK53" s="265"/>
      <c r="AL53" s="265"/>
      <c r="AM53" s="265"/>
      <c r="AP53" s="137" t="s">
        <v>617</v>
      </c>
    </row>
    <row r="54" spans="2:42" x14ac:dyDescent="0.25">
      <c r="B54" s="5" t="s">
        <v>382</v>
      </c>
      <c r="C54" s="5" t="s">
        <v>2102</v>
      </c>
      <c r="D54" s="271">
        <v>46316</v>
      </c>
      <c r="E54" s="5" t="s">
        <v>732</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733</v>
      </c>
      <c r="AH54" s="265"/>
      <c r="AI54" s="265"/>
      <c r="AJ54" s="265"/>
      <c r="AK54" s="265"/>
      <c r="AL54" s="265"/>
      <c r="AM54" s="265"/>
      <c r="AP54" s="137" t="s">
        <v>617</v>
      </c>
    </row>
    <row r="55" spans="2:42" x14ac:dyDescent="0.25">
      <c r="B55" s="5" t="s">
        <v>382</v>
      </c>
      <c r="C55" s="5" t="s">
        <v>2103</v>
      </c>
      <c r="D55" s="271">
        <v>46316</v>
      </c>
      <c r="E55" s="5" t="s">
        <v>732</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733</v>
      </c>
      <c r="AH55" s="265"/>
      <c r="AI55" s="265"/>
      <c r="AJ55" s="265"/>
      <c r="AK55" s="265"/>
      <c r="AL55" s="265"/>
      <c r="AM55" s="265"/>
      <c r="AP55" s="137" t="s">
        <v>617</v>
      </c>
    </row>
    <row r="56" spans="2:42" x14ac:dyDescent="0.25">
      <c r="B56" s="5" t="s">
        <v>382</v>
      </c>
      <c r="C56" s="5" t="s">
        <v>2067</v>
      </c>
      <c r="D56" s="271">
        <v>46312</v>
      </c>
      <c r="E56" s="5" t="s">
        <v>732</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733</v>
      </c>
      <c r="AH56" s="265"/>
      <c r="AI56" s="265"/>
      <c r="AJ56" s="265"/>
      <c r="AK56" s="265"/>
      <c r="AL56" s="265"/>
      <c r="AM56" s="265"/>
      <c r="AP56" s="137" t="s">
        <v>617</v>
      </c>
    </row>
    <row r="57" spans="2:42" x14ac:dyDescent="0.25">
      <c r="B57" s="5" t="s">
        <v>382</v>
      </c>
      <c r="C57" s="5" t="s">
        <v>2068</v>
      </c>
      <c r="D57" s="271">
        <v>46312</v>
      </c>
      <c r="E57" s="5" t="s">
        <v>732</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733</v>
      </c>
      <c r="AH57" s="265"/>
      <c r="AI57" s="265"/>
      <c r="AJ57" s="265"/>
      <c r="AK57" s="265"/>
      <c r="AL57" s="265"/>
      <c r="AM57" s="265"/>
      <c r="AP57" s="137" t="s">
        <v>617</v>
      </c>
    </row>
    <row r="58" spans="2:42" x14ac:dyDescent="0.25">
      <c r="B58" s="5" t="s">
        <v>382</v>
      </c>
      <c r="C58" s="5" t="s">
        <v>2039</v>
      </c>
      <c r="D58" s="271">
        <v>46310</v>
      </c>
      <c r="E58" s="5" t="s">
        <v>732</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733</v>
      </c>
      <c r="AH58" s="265"/>
      <c r="AI58" s="265"/>
      <c r="AJ58" s="265"/>
      <c r="AK58" s="265"/>
      <c r="AL58" s="265"/>
      <c r="AM58" s="265"/>
      <c r="AP58" s="137" t="s">
        <v>617</v>
      </c>
    </row>
    <row r="59" spans="2:42" x14ac:dyDescent="0.25">
      <c r="B59" s="5" t="s">
        <v>382</v>
      </c>
      <c r="C59" s="5" t="s">
        <v>2040</v>
      </c>
      <c r="D59" s="271">
        <v>46310</v>
      </c>
      <c r="E59" s="5" t="s">
        <v>732</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733</v>
      </c>
      <c r="AH59" s="265"/>
      <c r="AI59" s="265"/>
      <c r="AJ59" s="265"/>
      <c r="AK59" s="265"/>
      <c r="AL59" s="265"/>
      <c r="AM59" s="265"/>
      <c r="AP59" s="137" t="s">
        <v>617</v>
      </c>
    </row>
    <row r="60" spans="2:42" x14ac:dyDescent="0.25">
      <c r="B60" s="5" t="s">
        <v>404</v>
      </c>
      <c r="C60" s="5" t="s">
        <v>406</v>
      </c>
      <c r="D60" s="271">
        <v>46084</v>
      </c>
      <c r="E60" s="5" t="s">
        <v>734</v>
      </c>
      <c r="F60" s="265" t="s">
        <v>724</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617</v>
      </c>
    </row>
    <row r="61" spans="2:42" x14ac:dyDescent="0.25">
      <c r="B61" s="5" t="s">
        <v>404</v>
      </c>
      <c r="C61" s="5" t="s">
        <v>406</v>
      </c>
      <c r="D61" s="271">
        <v>46084</v>
      </c>
      <c r="E61" s="5" t="s">
        <v>734</v>
      </c>
      <c r="F61" s="265" t="s">
        <v>724</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617</v>
      </c>
    </row>
    <row r="62" spans="2:42" x14ac:dyDescent="0.25">
      <c r="B62" s="5" t="s">
        <v>404</v>
      </c>
      <c r="C62" s="5" t="s">
        <v>406</v>
      </c>
      <c r="D62" s="271">
        <v>46084</v>
      </c>
      <c r="E62" s="5" t="s">
        <v>734</v>
      </c>
      <c r="F62" s="265" t="s">
        <v>724</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617</v>
      </c>
    </row>
    <row r="63" spans="2:42" x14ac:dyDescent="0.25">
      <c r="B63" s="5" t="s">
        <v>404</v>
      </c>
      <c r="C63" s="5" t="s">
        <v>406</v>
      </c>
      <c r="D63" s="271">
        <v>46084</v>
      </c>
      <c r="E63" s="5" t="s">
        <v>734</v>
      </c>
      <c r="F63" s="265" t="s">
        <v>724</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617</v>
      </c>
    </row>
    <row r="64" spans="2:42" x14ac:dyDescent="0.25">
      <c r="B64" s="5" t="s">
        <v>404</v>
      </c>
      <c r="C64" s="5" t="s">
        <v>406</v>
      </c>
      <c r="D64" s="271">
        <v>46084</v>
      </c>
      <c r="E64" s="5" t="s">
        <v>734</v>
      </c>
      <c r="F64" s="265" t="s">
        <v>724</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617</v>
      </c>
    </row>
    <row r="65" spans="2:42" x14ac:dyDescent="0.25">
      <c r="B65" s="5" t="s">
        <v>404</v>
      </c>
      <c r="C65" s="5" t="s">
        <v>406</v>
      </c>
      <c r="D65" s="271">
        <v>46084</v>
      </c>
      <c r="E65" s="5" t="s">
        <v>734</v>
      </c>
      <c r="F65" s="265" t="s">
        <v>724</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617</v>
      </c>
    </row>
    <row r="66" spans="2:42" x14ac:dyDescent="0.25">
      <c r="B66" s="5" t="s">
        <v>408</v>
      </c>
      <c r="C66" s="5" t="s">
        <v>1882</v>
      </c>
      <c r="D66" s="271">
        <v>46301</v>
      </c>
      <c r="E66" s="5" t="s">
        <v>1574</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617</v>
      </c>
    </row>
    <row r="67" spans="2:42" x14ac:dyDescent="0.25">
      <c r="B67" s="5" t="s">
        <v>408</v>
      </c>
      <c r="C67" s="5" t="s">
        <v>1883</v>
      </c>
      <c r="D67" s="271">
        <v>46301</v>
      </c>
      <c r="E67" s="5" t="s">
        <v>1574</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617</v>
      </c>
    </row>
    <row r="68" spans="2:42" x14ac:dyDescent="0.25">
      <c r="B68" s="5" t="s">
        <v>408</v>
      </c>
      <c r="C68" s="5" t="s">
        <v>1884</v>
      </c>
      <c r="D68" s="271">
        <v>46301</v>
      </c>
      <c r="E68" s="5" t="s">
        <v>1574</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617</v>
      </c>
    </row>
    <row r="69" spans="2:42" x14ac:dyDescent="0.25">
      <c r="B69" s="5" t="s">
        <v>408</v>
      </c>
      <c r="C69" s="5" t="s">
        <v>1885</v>
      </c>
      <c r="D69" s="271">
        <v>46301</v>
      </c>
      <c r="E69" s="5" t="s">
        <v>1574</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617</v>
      </c>
    </row>
    <row r="70" spans="2:42" x14ac:dyDescent="0.25">
      <c r="B70" s="5" t="s">
        <v>408</v>
      </c>
      <c r="C70" s="5" t="s">
        <v>1886</v>
      </c>
      <c r="D70" s="271">
        <v>46301</v>
      </c>
      <c r="E70" s="5" t="s">
        <v>1574</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617</v>
      </c>
    </row>
    <row r="71" spans="2:42" x14ac:dyDescent="0.25">
      <c r="B71" s="5" t="s">
        <v>408</v>
      </c>
      <c r="C71" s="5" t="s">
        <v>1887</v>
      </c>
      <c r="D71" s="271">
        <v>46301</v>
      </c>
      <c r="E71" s="5" t="s">
        <v>1574</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617</v>
      </c>
    </row>
    <row r="72" spans="2:42" x14ac:dyDescent="0.25">
      <c r="B72" s="5" t="s">
        <v>414</v>
      </c>
      <c r="C72" s="5" t="s">
        <v>418</v>
      </c>
      <c r="D72" s="271">
        <v>45964</v>
      </c>
      <c r="E72" s="5" t="s">
        <v>735</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617</v>
      </c>
    </row>
    <row r="73" spans="2:42" x14ac:dyDescent="0.25">
      <c r="B73" s="5" t="s">
        <v>424</v>
      </c>
      <c r="C73" s="5" t="s">
        <v>2104</v>
      </c>
      <c r="D73" s="271">
        <v>46316</v>
      </c>
      <c r="E73" s="5" t="s">
        <v>2105</v>
      </c>
      <c r="F73" s="265" t="s">
        <v>724</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725</v>
      </c>
      <c r="AH73" s="265"/>
      <c r="AI73" s="265"/>
      <c r="AJ73" s="265"/>
      <c r="AK73" s="265"/>
      <c r="AL73" s="265"/>
      <c r="AM73" s="265"/>
      <c r="AP73" s="137" t="s">
        <v>617</v>
      </c>
    </row>
    <row r="74" spans="2:42" x14ac:dyDescent="0.25">
      <c r="B74" s="5" t="s">
        <v>424</v>
      </c>
      <c r="C74" s="5" t="s">
        <v>2106</v>
      </c>
      <c r="D74" s="271">
        <v>46316</v>
      </c>
      <c r="E74" s="5" t="s">
        <v>2107</v>
      </c>
      <c r="F74" s="265" t="s">
        <v>724</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725</v>
      </c>
      <c r="AH74" s="265"/>
      <c r="AI74" s="265"/>
      <c r="AJ74" s="265"/>
      <c r="AK74" s="265"/>
      <c r="AL74" s="265"/>
      <c r="AM74" s="265"/>
      <c r="AP74" s="137" t="s">
        <v>617</v>
      </c>
    </row>
    <row r="75" spans="2:42" x14ac:dyDescent="0.25">
      <c r="B75" s="5" t="s">
        <v>424</v>
      </c>
      <c r="C75" s="5" t="s">
        <v>2027</v>
      </c>
      <c r="D75" s="271">
        <v>46310</v>
      </c>
      <c r="E75" s="5" t="s">
        <v>2041</v>
      </c>
      <c r="F75" s="265" t="s">
        <v>724</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725</v>
      </c>
      <c r="AH75" s="265"/>
      <c r="AI75" s="265"/>
      <c r="AJ75" s="265"/>
      <c r="AK75" s="265"/>
      <c r="AL75" s="265"/>
      <c r="AM75" s="265"/>
      <c r="AP75" s="137" t="s">
        <v>617</v>
      </c>
    </row>
    <row r="76" spans="2:42" x14ac:dyDescent="0.25">
      <c r="B76" s="5" t="s">
        <v>424</v>
      </c>
      <c r="C76" s="5" t="s">
        <v>2017</v>
      </c>
      <c r="D76" s="271">
        <v>46309</v>
      </c>
      <c r="E76" s="5" t="s">
        <v>2018</v>
      </c>
      <c r="F76" s="265" t="s">
        <v>724</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725</v>
      </c>
      <c r="AH76" s="265"/>
      <c r="AI76" s="265"/>
      <c r="AJ76" s="265"/>
      <c r="AK76" s="265"/>
      <c r="AL76" s="265"/>
      <c r="AM76" s="265"/>
      <c r="AP76" s="137" t="s">
        <v>617</v>
      </c>
    </row>
    <row r="77" spans="2:42" x14ac:dyDescent="0.25">
      <c r="B77" s="5" t="s">
        <v>424</v>
      </c>
      <c r="C77" s="5" t="s">
        <v>2019</v>
      </c>
      <c r="D77" s="271">
        <v>46309</v>
      </c>
      <c r="E77" s="5" t="s">
        <v>2020</v>
      </c>
      <c r="F77" s="265" t="s">
        <v>724</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725</v>
      </c>
      <c r="AH77" s="265"/>
      <c r="AI77" s="265"/>
      <c r="AJ77" s="265"/>
      <c r="AK77" s="265"/>
      <c r="AL77" s="265"/>
      <c r="AM77" s="265"/>
      <c r="AP77" s="137" t="s">
        <v>617</v>
      </c>
    </row>
    <row r="78" spans="2:42" x14ac:dyDescent="0.25">
      <c r="B78" s="5" t="s">
        <v>424</v>
      </c>
      <c r="C78" s="5" t="s">
        <v>2021</v>
      </c>
      <c r="D78" s="271">
        <v>46309</v>
      </c>
      <c r="E78" s="5" t="s">
        <v>2022</v>
      </c>
      <c r="F78" s="265" t="s">
        <v>724</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725</v>
      </c>
      <c r="AH78" s="265"/>
      <c r="AI78" s="265"/>
      <c r="AJ78" s="265"/>
      <c r="AK78" s="265"/>
      <c r="AL78" s="265"/>
      <c r="AM78" s="265"/>
      <c r="AP78" s="137" t="s">
        <v>617</v>
      </c>
    </row>
    <row r="79" spans="2:42" x14ac:dyDescent="0.25">
      <c r="B79" s="5" t="s">
        <v>424</v>
      </c>
      <c r="C79" s="5" t="s">
        <v>2021</v>
      </c>
      <c r="D79" s="271">
        <v>46309</v>
      </c>
      <c r="E79" s="5" t="s">
        <v>2020</v>
      </c>
      <c r="F79" s="265" t="s">
        <v>724</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725</v>
      </c>
      <c r="AH79" s="265"/>
      <c r="AI79" s="265"/>
      <c r="AJ79" s="265"/>
      <c r="AK79" s="265"/>
      <c r="AL79" s="265"/>
      <c r="AM79" s="265"/>
      <c r="AP79" s="137" t="s">
        <v>617</v>
      </c>
    </row>
    <row r="80" spans="2:42" x14ac:dyDescent="0.25">
      <c r="B80" s="5" t="s">
        <v>424</v>
      </c>
      <c r="C80" s="5" t="s">
        <v>2023</v>
      </c>
      <c r="D80" s="271">
        <v>46309</v>
      </c>
      <c r="E80" s="5" t="s">
        <v>2024</v>
      </c>
      <c r="F80" s="265" t="s">
        <v>724</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725</v>
      </c>
      <c r="AH80" s="265"/>
      <c r="AI80" s="265"/>
      <c r="AJ80" s="265"/>
      <c r="AK80" s="265"/>
      <c r="AL80" s="265"/>
      <c r="AM80" s="265"/>
      <c r="AP80" s="137" t="s">
        <v>617</v>
      </c>
    </row>
    <row r="81" spans="2:42" x14ac:dyDescent="0.25">
      <c r="B81" s="5" t="s">
        <v>424</v>
      </c>
      <c r="C81" s="5" t="s">
        <v>2025</v>
      </c>
      <c r="D81" s="271">
        <v>46309</v>
      </c>
      <c r="E81" s="5" t="s">
        <v>2026</v>
      </c>
      <c r="F81" s="265" t="s">
        <v>724</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725</v>
      </c>
      <c r="AH81" s="265"/>
      <c r="AI81" s="265"/>
      <c r="AJ81" s="265"/>
      <c r="AK81" s="265"/>
      <c r="AL81" s="265"/>
      <c r="AM81" s="265"/>
      <c r="AP81" s="137" t="s">
        <v>617</v>
      </c>
    </row>
    <row r="82" spans="2:42" x14ac:dyDescent="0.25">
      <c r="B82" s="5" t="s">
        <v>425</v>
      </c>
      <c r="C82" s="5" t="s">
        <v>1673</v>
      </c>
      <c r="D82" s="271">
        <v>46261</v>
      </c>
      <c r="E82" s="5" t="s">
        <v>736</v>
      </c>
      <c r="F82" s="265" t="s">
        <v>724</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1673</v>
      </c>
      <c r="D83" s="271">
        <v>46261</v>
      </c>
      <c r="E83" s="5" t="s">
        <v>736</v>
      </c>
      <c r="F83" s="265" t="s">
        <v>724</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1673</v>
      </c>
      <c r="D84" s="271">
        <v>46261</v>
      </c>
      <c r="E84" s="5" t="s">
        <v>736</v>
      </c>
      <c r="F84" s="265" t="s">
        <v>724</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1673</v>
      </c>
      <c r="D85" s="271">
        <v>46261</v>
      </c>
      <c r="E85" s="5" t="s">
        <v>736</v>
      </c>
      <c r="F85" s="265" t="s">
        <v>724</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1673</v>
      </c>
      <c r="D86" s="271">
        <v>46261</v>
      </c>
      <c r="E86" s="5" t="s">
        <v>736</v>
      </c>
      <c r="F86" s="265" t="s">
        <v>724</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1673</v>
      </c>
      <c r="D87" s="271">
        <v>46261</v>
      </c>
      <c r="E87" s="5" t="s">
        <v>736</v>
      </c>
      <c r="F87" s="265" t="s">
        <v>724</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737</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617</v>
      </c>
    </row>
    <row r="89" spans="2:42" x14ac:dyDescent="0.25">
      <c r="B89" s="5" t="s">
        <v>432</v>
      </c>
      <c r="C89" s="5" t="s">
        <v>434</v>
      </c>
      <c r="D89" s="271">
        <v>46084</v>
      </c>
      <c r="E89" s="5" t="s">
        <v>737</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617</v>
      </c>
    </row>
    <row r="90" spans="2:42" x14ac:dyDescent="0.25">
      <c r="B90" s="5" t="s">
        <v>432</v>
      </c>
      <c r="C90" s="5" t="s">
        <v>434</v>
      </c>
      <c r="D90" s="271">
        <v>46084</v>
      </c>
      <c r="E90" s="5" t="s">
        <v>737</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617</v>
      </c>
    </row>
    <row r="91" spans="2:42" x14ac:dyDescent="0.25">
      <c r="B91" s="5" t="s">
        <v>432</v>
      </c>
      <c r="C91" s="5" t="s">
        <v>434</v>
      </c>
      <c r="D91" s="271">
        <v>46084</v>
      </c>
      <c r="E91" s="5" t="s">
        <v>737</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617</v>
      </c>
    </row>
    <row r="92" spans="2:42" x14ac:dyDescent="0.25">
      <c r="B92" s="5" t="s">
        <v>432</v>
      </c>
      <c r="C92" s="5" t="s">
        <v>434</v>
      </c>
      <c r="D92" s="271">
        <v>46084</v>
      </c>
      <c r="E92" s="5" t="s">
        <v>737</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617</v>
      </c>
    </row>
    <row r="93" spans="2:42" x14ac:dyDescent="0.25">
      <c r="B93" s="5" t="s">
        <v>432</v>
      </c>
      <c r="C93" s="5" t="s">
        <v>434</v>
      </c>
      <c r="D93" s="271">
        <v>46084</v>
      </c>
      <c r="E93" s="5" t="s">
        <v>737</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617</v>
      </c>
    </row>
    <row r="94" spans="2:42" x14ac:dyDescent="0.25">
      <c r="B94" s="5" t="s">
        <v>432</v>
      </c>
      <c r="C94" s="5" t="s">
        <v>434</v>
      </c>
      <c r="D94" s="271">
        <v>46084</v>
      </c>
      <c r="E94" s="5" t="s">
        <v>737</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617</v>
      </c>
    </row>
    <row r="95" spans="2:42" x14ac:dyDescent="0.25">
      <c r="B95" s="5" t="s">
        <v>432</v>
      </c>
      <c r="C95" s="5" t="s">
        <v>434</v>
      </c>
      <c r="D95" s="271">
        <v>46084</v>
      </c>
      <c r="E95" s="5" t="s">
        <v>737</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617</v>
      </c>
    </row>
    <row r="96" spans="2:42" x14ac:dyDescent="0.25">
      <c r="B96" s="5" t="s">
        <v>432</v>
      </c>
      <c r="C96" s="5" t="s">
        <v>434</v>
      </c>
      <c r="D96" s="271">
        <v>46084</v>
      </c>
      <c r="E96" s="5" t="s">
        <v>737</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617</v>
      </c>
    </row>
    <row r="97" spans="2:42" x14ac:dyDescent="0.25">
      <c r="B97" s="5" t="s">
        <v>432</v>
      </c>
      <c r="C97" s="5" t="s">
        <v>434</v>
      </c>
      <c r="D97" s="271">
        <v>46084</v>
      </c>
      <c r="E97" s="5" t="s">
        <v>737</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617</v>
      </c>
    </row>
    <row r="98" spans="2:42" x14ac:dyDescent="0.25">
      <c r="B98" s="5" t="s">
        <v>436</v>
      </c>
      <c r="C98" s="5" t="s">
        <v>440</v>
      </c>
      <c r="D98" s="271">
        <v>46065</v>
      </c>
      <c r="E98" s="5" t="s">
        <v>738</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617</v>
      </c>
    </row>
    <row r="99" spans="2:42" x14ac:dyDescent="0.25">
      <c r="B99" s="5" t="s">
        <v>1213</v>
      </c>
      <c r="C99" s="5" t="s">
        <v>1513</v>
      </c>
      <c r="D99" s="271">
        <v>46205</v>
      </c>
      <c r="E99" s="5" t="s">
        <v>1514</v>
      </c>
      <c r="F99" s="265" t="s">
        <v>724</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1508</v>
      </c>
      <c r="AP99" s="137" t="s">
        <v>617</v>
      </c>
    </row>
    <row r="100" spans="2:42" x14ac:dyDescent="0.25">
      <c r="B100" s="5" t="s">
        <v>1213</v>
      </c>
      <c r="C100" s="5" t="s">
        <v>1509</v>
      </c>
      <c r="D100" s="271">
        <v>46205</v>
      </c>
      <c r="E100" s="5" t="s">
        <v>1510</v>
      </c>
      <c r="F100" s="265" t="s">
        <v>724</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1508</v>
      </c>
      <c r="AP100" s="137" t="s">
        <v>617</v>
      </c>
    </row>
    <row r="101" spans="2:42" x14ac:dyDescent="0.25">
      <c r="B101" s="5" t="s">
        <v>1213</v>
      </c>
      <c r="C101" s="5" t="s">
        <v>1511</v>
      </c>
      <c r="D101" s="271">
        <v>46205</v>
      </c>
      <c r="E101" s="5" t="s">
        <v>1512</v>
      </c>
      <c r="F101" s="265" t="s">
        <v>724</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1508</v>
      </c>
      <c r="AP101" s="137" t="s">
        <v>617</v>
      </c>
    </row>
    <row r="102" spans="2:42" x14ac:dyDescent="0.25">
      <c r="B102" s="5" t="s">
        <v>1213</v>
      </c>
      <c r="C102" s="5" t="s">
        <v>1506</v>
      </c>
      <c r="D102" s="271">
        <v>46205</v>
      </c>
      <c r="E102" s="5" t="s">
        <v>1507</v>
      </c>
      <c r="F102" s="265" t="s">
        <v>724</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1508</v>
      </c>
      <c r="AP102" s="137" t="s">
        <v>617</v>
      </c>
    </row>
    <row r="103" spans="2:42" x14ac:dyDescent="0.25">
      <c r="B103" s="5" t="s">
        <v>451</v>
      </c>
      <c r="C103" s="5" t="s">
        <v>454</v>
      </c>
      <c r="D103" s="271">
        <v>45116</v>
      </c>
      <c r="E103" s="5" t="s">
        <v>739</v>
      </c>
      <c r="F103" s="265" t="s">
        <v>724</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617</v>
      </c>
    </row>
    <row r="104" spans="2:42" x14ac:dyDescent="0.25">
      <c r="B104" s="5" t="s">
        <v>457</v>
      </c>
      <c r="C104" s="5" t="s">
        <v>460</v>
      </c>
      <c r="D104" s="271">
        <v>45116</v>
      </c>
      <c r="E104" s="5" t="s">
        <v>740</v>
      </c>
      <c r="F104" s="265" t="s">
        <v>724</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617</v>
      </c>
    </row>
    <row r="105" spans="2:42" x14ac:dyDescent="0.25">
      <c r="B105" s="5" t="s">
        <v>465</v>
      </c>
      <c r="C105" s="5" t="s">
        <v>2042</v>
      </c>
      <c r="D105" s="271">
        <v>45997</v>
      </c>
      <c r="E105" s="5">
        <v>20240510</v>
      </c>
      <c r="F105" s="265" t="s">
        <v>724</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617</v>
      </c>
    </row>
    <row r="106" spans="2:42" x14ac:dyDescent="0.25">
      <c r="B106" s="5" t="s">
        <v>465</v>
      </c>
      <c r="C106" s="5" t="s">
        <v>2042</v>
      </c>
      <c r="D106" s="271">
        <v>45997</v>
      </c>
      <c r="E106" s="5">
        <v>20240510</v>
      </c>
      <c r="F106" s="265" t="s">
        <v>724</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617</v>
      </c>
    </row>
    <row r="107" spans="2:42" x14ac:dyDescent="0.25">
      <c r="B107" s="5" t="s">
        <v>465</v>
      </c>
      <c r="C107" s="5" t="s">
        <v>2043</v>
      </c>
      <c r="D107" s="271">
        <v>45997</v>
      </c>
      <c r="E107" s="5">
        <v>20240510</v>
      </c>
      <c r="F107" s="265" t="s">
        <v>724</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617</v>
      </c>
    </row>
    <row r="108" spans="2:42" x14ac:dyDescent="0.25">
      <c r="B108" s="5" t="s">
        <v>465</v>
      </c>
      <c r="C108" s="5" t="s">
        <v>2043</v>
      </c>
      <c r="D108" s="271">
        <v>45997</v>
      </c>
      <c r="E108" s="5">
        <v>20240510</v>
      </c>
      <c r="F108" s="265" t="s">
        <v>724</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617</v>
      </c>
    </row>
    <row r="109" spans="2:42" x14ac:dyDescent="0.25">
      <c r="B109" s="5" t="s">
        <v>465</v>
      </c>
      <c r="C109" s="5" t="s">
        <v>2044</v>
      </c>
      <c r="D109" s="271">
        <v>45997</v>
      </c>
      <c r="E109" s="5">
        <v>20240510</v>
      </c>
      <c r="F109" s="265" t="s">
        <v>724</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617</v>
      </c>
    </row>
    <row r="110" spans="2:42" x14ac:dyDescent="0.25">
      <c r="B110" s="5" t="s">
        <v>465</v>
      </c>
      <c r="C110" s="5" t="s">
        <v>2044</v>
      </c>
      <c r="D110" s="271">
        <v>45997</v>
      </c>
      <c r="E110" s="5">
        <v>20240510</v>
      </c>
      <c r="F110" s="265" t="s">
        <v>724</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617</v>
      </c>
    </row>
    <row r="111" spans="2:42" x14ac:dyDescent="0.25">
      <c r="B111" s="5" t="s">
        <v>467</v>
      </c>
      <c r="C111" s="5" t="s">
        <v>471</v>
      </c>
      <c r="D111" s="271">
        <v>46084</v>
      </c>
      <c r="E111" s="5" t="s">
        <v>741</v>
      </c>
      <c r="F111" s="265" t="s">
        <v>724</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617</v>
      </c>
    </row>
    <row r="112" spans="2:42" x14ac:dyDescent="0.25">
      <c r="B112" s="5" t="s">
        <v>467</v>
      </c>
      <c r="C112" s="5" t="s">
        <v>471</v>
      </c>
      <c r="D112" s="271">
        <v>46084</v>
      </c>
      <c r="E112" s="5" t="s">
        <v>741</v>
      </c>
      <c r="F112" s="265" t="s">
        <v>724</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617</v>
      </c>
    </row>
    <row r="113" spans="2:42" x14ac:dyDescent="0.25">
      <c r="B113" s="5" t="s">
        <v>467</v>
      </c>
      <c r="C113" s="5" t="s">
        <v>471</v>
      </c>
      <c r="D113" s="271">
        <v>46084</v>
      </c>
      <c r="E113" s="5" t="s">
        <v>741</v>
      </c>
      <c r="F113" s="265" t="s">
        <v>724</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617</v>
      </c>
    </row>
    <row r="114" spans="2:42" x14ac:dyDescent="0.25">
      <c r="B114" s="5" t="s">
        <v>467</v>
      </c>
      <c r="C114" s="5" t="s">
        <v>471</v>
      </c>
      <c r="D114" s="271">
        <v>46084</v>
      </c>
      <c r="E114" s="5" t="s">
        <v>741</v>
      </c>
      <c r="F114" s="265" t="s">
        <v>724</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617</v>
      </c>
    </row>
    <row r="115" spans="2:42" x14ac:dyDescent="0.25">
      <c r="B115" s="5" t="s">
        <v>467</v>
      </c>
      <c r="C115" s="5" t="s">
        <v>471</v>
      </c>
      <c r="D115" s="271">
        <v>46084</v>
      </c>
      <c r="E115" s="5" t="s">
        <v>741</v>
      </c>
      <c r="F115" s="265" t="s">
        <v>724</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617</v>
      </c>
    </row>
    <row r="116" spans="2:42" x14ac:dyDescent="0.25">
      <c r="B116" s="5" t="s">
        <v>467</v>
      </c>
      <c r="C116" s="5" t="s">
        <v>471</v>
      </c>
      <c r="D116" s="271">
        <v>46084</v>
      </c>
      <c r="E116" s="5" t="s">
        <v>741</v>
      </c>
      <c r="F116" s="265" t="s">
        <v>724</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617</v>
      </c>
    </row>
    <row r="117" spans="2:42" x14ac:dyDescent="0.25">
      <c r="B117" s="5" t="s">
        <v>742</v>
      </c>
      <c r="C117" s="5" t="s">
        <v>482</v>
      </c>
      <c r="D117" s="271">
        <v>36892</v>
      </c>
      <c r="E117" s="5" t="s">
        <v>743</v>
      </c>
      <c r="F117" s="265" t="s">
        <v>724</v>
      </c>
      <c r="G117" s="5">
        <v>35</v>
      </c>
      <c r="H117" s="265">
        <v>5</v>
      </c>
      <c r="I117" s="265">
        <v>5</v>
      </c>
      <c r="J117" s="265"/>
      <c r="K117" s="265"/>
      <c r="L117" s="265"/>
      <c r="M117" s="265" t="s">
        <v>744</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494</v>
      </c>
      <c r="C118" s="5" t="s">
        <v>506</v>
      </c>
      <c r="D118" s="271">
        <v>46079</v>
      </c>
      <c r="E118" s="5" t="s">
        <v>745</v>
      </c>
      <c r="F118" s="265" t="s">
        <v>724</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494</v>
      </c>
      <c r="C119" s="5" t="s">
        <v>503</v>
      </c>
      <c r="D119" s="271">
        <v>46079</v>
      </c>
      <c r="E119" s="5" t="s">
        <v>745</v>
      </c>
      <c r="F119" s="265" t="s">
        <v>724</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494</v>
      </c>
      <c r="C120" s="5" t="s">
        <v>1617</v>
      </c>
      <c r="D120" s="271">
        <v>45749</v>
      </c>
      <c r="E120" s="5" t="s">
        <v>746</v>
      </c>
      <c r="F120" s="265" t="s">
        <v>724</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494</v>
      </c>
      <c r="C121" s="5" t="s">
        <v>1618</v>
      </c>
      <c r="D121" s="271">
        <v>45749</v>
      </c>
      <c r="E121" s="5" t="s">
        <v>746</v>
      </c>
      <c r="F121" s="265" t="s">
        <v>724</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494</v>
      </c>
      <c r="C122" s="5" t="s">
        <v>510</v>
      </c>
      <c r="D122" s="271">
        <v>45419</v>
      </c>
      <c r="E122" s="5" t="s">
        <v>747</v>
      </c>
      <c r="F122" s="265" t="s">
        <v>724</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513</v>
      </c>
      <c r="D123" s="271">
        <v>45419</v>
      </c>
      <c r="E123" s="5" t="s">
        <v>747</v>
      </c>
      <c r="F123" s="265" t="s">
        <v>724</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517</v>
      </c>
      <c r="D124" s="271">
        <v>45419</v>
      </c>
      <c r="E124" s="5" t="s">
        <v>747</v>
      </c>
      <c r="F124" s="265" t="s">
        <v>724</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515</v>
      </c>
      <c r="D125" s="271">
        <v>45419</v>
      </c>
      <c r="E125" s="5" t="s">
        <v>747</v>
      </c>
      <c r="F125" s="265" t="s">
        <v>724</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1619</v>
      </c>
      <c r="D126" s="271">
        <v>45350</v>
      </c>
      <c r="E126" s="5" t="s">
        <v>1615</v>
      </c>
      <c r="F126" s="265" t="s">
        <v>724</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1620</v>
      </c>
      <c r="D127" s="271">
        <v>45350</v>
      </c>
      <c r="E127" s="5" t="s">
        <v>1615</v>
      </c>
      <c r="F127" s="265" t="s">
        <v>724</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527</v>
      </c>
      <c r="C128" s="5" t="s">
        <v>1606</v>
      </c>
      <c r="D128" s="271">
        <v>46293</v>
      </c>
      <c r="E128" s="5" t="s">
        <v>1835</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725</v>
      </c>
      <c r="AH128" s="265"/>
      <c r="AI128" s="265"/>
      <c r="AJ128" s="265"/>
      <c r="AK128" s="265"/>
      <c r="AL128" s="265"/>
      <c r="AM128" s="265"/>
      <c r="AP128" s="137" t="s">
        <v>617</v>
      </c>
    </row>
    <row r="129" spans="2:42" x14ac:dyDescent="0.25">
      <c r="B129" s="5" t="s">
        <v>527</v>
      </c>
      <c r="C129" s="5" t="s">
        <v>531</v>
      </c>
      <c r="D129" s="271">
        <v>46242</v>
      </c>
      <c r="E129" s="5" t="s">
        <v>1607</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725</v>
      </c>
      <c r="AH129" s="265"/>
      <c r="AI129" s="265"/>
      <c r="AJ129" s="265"/>
      <c r="AK129" s="265"/>
      <c r="AL129" s="265"/>
      <c r="AM129" s="265"/>
      <c r="AP129" s="137" t="s">
        <v>617</v>
      </c>
    </row>
    <row r="130" spans="2:42" x14ac:dyDescent="0.25">
      <c r="B130" s="5" t="s">
        <v>527</v>
      </c>
      <c r="C130" s="5" t="s">
        <v>531</v>
      </c>
      <c r="D130" s="271">
        <v>46242</v>
      </c>
      <c r="E130" s="5" t="s">
        <v>1607</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725</v>
      </c>
      <c r="AH130" s="265"/>
      <c r="AI130" s="265"/>
      <c r="AJ130" s="265"/>
      <c r="AK130" s="265"/>
      <c r="AL130" s="265"/>
      <c r="AM130" s="265"/>
      <c r="AP130" s="137" t="s">
        <v>617</v>
      </c>
    </row>
    <row r="131" spans="2:42" x14ac:dyDescent="0.25">
      <c r="B131" s="5" t="s">
        <v>527</v>
      </c>
      <c r="C131" s="5" t="s">
        <v>530</v>
      </c>
      <c r="D131" s="271">
        <v>45293</v>
      </c>
      <c r="E131" s="5" t="s">
        <v>749</v>
      </c>
      <c r="F131" s="265" t="s">
        <v>724</v>
      </c>
      <c r="G131" s="5">
        <v>35</v>
      </c>
      <c r="H131" s="265"/>
      <c r="I131" s="265"/>
      <c r="J131" s="265"/>
      <c r="K131" s="265" t="s">
        <v>750</v>
      </c>
      <c r="L131" s="265" t="s">
        <v>750</v>
      </c>
      <c r="M131" s="265"/>
      <c r="O131" s="265"/>
      <c r="P131" s="265"/>
      <c r="Q131" s="265"/>
      <c r="R131" s="265"/>
      <c r="S131" s="265"/>
      <c r="T131" s="265">
        <v>5</v>
      </c>
      <c r="U131" s="265"/>
      <c r="V131" s="265"/>
      <c r="W131" s="265"/>
      <c r="X131" s="265"/>
      <c r="Y131" s="265"/>
      <c r="AA131" s="265">
        <v>10</v>
      </c>
      <c r="AB131" s="265"/>
      <c r="AD131" s="265"/>
      <c r="AE131" s="265"/>
      <c r="AF131" s="265"/>
      <c r="AG131" s="265" t="s">
        <v>725</v>
      </c>
      <c r="AH131" s="265"/>
      <c r="AI131" s="265"/>
      <c r="AJ131" s="265"/>
      <c r="AK131" s="265"/>
      <c r="AL131" s="265"/>
      <c r="AM131" s="265"/>
      <c r="AP131" s="137" t="s">
        <v>617</v>
      </c>
    </row>
    <row r="132" spans="2:42" x14ac:dyDescent="0.25">
      <c r="B132" s="5" t="s">
        <v>535</v>
      </c>
      <c r="C132" s="5" t="s">
        <v>537</v>
      </c>
      <c r="D132" s="271">
        <v>46053</v>
      </c>
      <c r="E132" s="5" t="s">
        <v>748</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725</v>
      </c>
      <c r="AH132" s="265"/>
      <c r="AI132" s="265"/>
      <c r="AJ132" s="265"/>
      <c r="AK132" s="265"/>
      <c r="AL132" s="265"/>
      <c r="AM132" s="265"/>
      <c r="AP132" s="137" t="s">
        <v>617</v>
      </c>
    </row>
    <row r="133" spans="2:42" x14ac:dyDescent="0.25">
      <c r="B133" s="5" t="s">
        <v>535</v>
      </c>
      <c r="C133" s="5" t="s">
        <v>537</v>
      </c>
      <c r="D133" s="271">
        <v>46053</v>
      </c>
      <c r="E133" s="5" t="s">
        <v>748</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725</v>
      </c>
      <c r="AH133" s="265"/>
      <c r="AI133" s="265"/>
      <c r="AJ133" s="265"/>
      <c r="AK133" s="265"/>
      <c r="AL133" s="265"/>
      <c r="AM133" s="265"/>
      <c r="AP133" s="137" t="s">
        <v>617</v>
      </c>
    </row>
    <row r="134" spans="2:42" x14ac:dyDescent="0.25">
      <c r="B134" s="5" t="s">
        <v>542</v>
      </c>
      <c r="C134" s="5" t="s">
        <v>1676</v>
      </c>
      <c r="D134" s="271">
        <v>46263</v>
      </c>
      <c r="E134" s="5" t="s">
        <v>1551</v>
      </c>
      <c r="F134" s="265" t="s">
        <v>724</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617</v>
      </c>
    </row>
    <row r="135" spans="2:42" x14ac:dyDescent="0.25">
      <c r="B135" s="5" t="s">
        <v>542</v>
      </c>
      <c r="C135" s="5" t="s">
        <v>1677</v>
      </c>
      <c r="D135" s="271">
        <v>46263</v>
      </c>
      <c r="E135" s="5" t="s">
        <v>1551</v>
      </c>
      <c r="F135" s="265" t="s">
        <v>724</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617</v>
      </c>
    </row>
    <row r="136" spans="2:42" x14ac:dyDescent="0.25">
      <c r="B136" s="5" t="s">
        <v>542</v>
      </c>
      <c r="C136" s="5" t="s">
        <v>1678</v>
      </c>
      <c r="D136" s="271">
        <v>46263</v>
      </c>
      <c r="E136" s="5" t="s">
        <v>1551</v>
      </c>
      <c r="F136" s="265" t="s">
        <v>724</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617</v>
      </c>
    </row>
    <row r="137" spans="2:42" x14ac:dyDescent="0.25">
      <c r="B137" s="5" t="s">
        <v>542</v>
      </c>
      <c r="C137" s="5" t="s">
        <v>1679</v>
      </c>
      <c r="D137" s="271">
        <v>46263</v>
      </c>
      <c r="E137" s="5" t="s">
        <v>1551</v>
      </c>
      <c r="F137" s="265" t="s">
        <v>724</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617</v>
      </c>
    </row>
    <row r="138" spans="2:42" x14ac:dyDescent="0.25">
      <c r="B138" s="5" t="s">
        <v>542</v>
      </c>
      <c r="C138" s="5" t="s">
        <v>1680</v>
      </c>
      <c r="D138" s="271">
        <v>46263</v>
      </c>
      <c r="E138" s="5" t="s">
        <v>1551</v>
      </c>
      <c r="F138" s="265" t="s">
        <v>724</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617</v>
      </c>
    </row>
    <row r="139" spans="2:42" x14ac:dyDescent="0.25">
      <c r="B139" s="5" t="s">
        <v>542</v>
      </c>
      <c r="C139" s="5" t="s">
        <v>1681</v>
      </c>
      <c r="D139" s="271">
        <v>46263</v>
      </c>
      <c r="E139" s="5" t="s">
        <v>1551</v>
      </c>
      <c r="F139" s="265" t="s">
        <v>724</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617</v>
      </c>
    </row>
    <row r="140" spans="2:42" x14ac:dyDescent="0.25">
      <c r="B140" s="5" t="s">
        <v>542</v>
      </c>
      <c r="C140" s="5" t="s">
        <v>1550</v>
      </c>
      <c r="D140" s="271">
        <v>46220</v>
      </c>
      <c r="E140" s="5" t="s">
        <v>1551</v>
      </c>
      <c r="F140" s="265" t="s">
        <v>724</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617</v>
      </c>
    </row>
    <row r="141" spans="2:42" x14ac:dyDescent="0.25">
      <c r="B141" s="5" t="s">
        <v>542</v>
      </c>
      <c r="C141" s="5" t="s">
        <v>1552</v>
      </c>
      <c r="D141" s="271">
        <v>46220</v>
      </c>
      <c r="E141" s="5" t="s">
        <v>1551</v>
      </c>
      <c r="F141" s="265" t="s">
        <v>724</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617</v>
      </c>
    </row>
    <row r="142" spans="2:42" x14ac:dyDescent="0.25">
      <c r="B142" s="5" t="s">
        <v>542</v>
      </c>
      <c r="C142" s="5" t="s">
        <v>1553</v>
      </c>
      <c r="D142" s="271">
        <v>46220</v>
      </c>
      <c r="E142" s="5" t="s">
        <v>1551</v>
      </c>
      <c r="F142" s="265" t="s">
        <v>724</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617</v>
      </c>
    </row>
    <row r="143" spans="2:42" x14ac:dyDescent="0.25">
      <c r="B143" s="5" t="s">
        <v>542</v>
      </c>
      <c r="C143" s="5" t="s">
        <v>1554</v>
      </c>
      <c r="D143" s="271">
        <v>46220</v>
      </c>
      <c r="E143" s="5" t="s">
        <v>1551</v>
      </c>
      <c r="F143" s="265" t="s">
        <v>724</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617</v>
      </c>
    </row>
    <row r="144" spans="2:42" x14ac:dyDescent="0.25">
      <c r="B144" s="5" t="s">
        <v>551</v>
      </c>
      <c r="C144" s="5" t="s">
        <v>1460</v>
      </c>
      <c r="D144" s="271">
        <v>46085</v>
      </c>
      <c r="E144" s="5" t="s">
        <v>1461</v>
      </c>
      <c r="F144" s="265" t="s">
        <v>724</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617</v>
      </c>
    </row>
    <row r="145" spans="2:42" x14ac:dyDescent="0.25">
      <c r="B145" s="5" t="s">
        <v>551</v>
      </c>
      <c r="C145" s="5" t="s">
        <v>1460</v>
      </c>
      <c r="D145" s="271">
        <v>46085</v>
      </c>
      <c r="E145" s="5" t="s">
        <v>1461</v>
      </c>
      <c r="F145" s="265" t="s">
        <v>724</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617</v>
      </c>
    </row>
    <row r="146" spans="2:42" x14ac:dyDescent="0.25">
      <c r="B146" s="5" t="s">
        <v>551</v>
      </c>
      <c r="C146" s="5" t="s">
        <v>1460</v>
      </c>
      <c r="D146" s="271">
        <v>46085</v>
      </c>
      <c r="E146" s="5" t="s">
        <v>1461</v>
      </c>
      <c r="F146" s="265" t="s">
        <v>724</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617</v>
      </c>
    </row>
    <row r="147" spans="2:42" x14ac:dyDescent="0.25">
      <c r="B147" s="5" t="s">
        <v>551</v>
      </c>
      <c r="C147" s="5" t="s">
        <v>1460</v>
      </c>
      <c r="D147" s="271">
        <v>46085</v>
      </c>
      <c r="E147" s="5" t="s">
        <v>1461</v>
      </c>
      <c r="F147" s="265" t="s">
        <v>724</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617</v>
      </c>
    </row>
    <row r="148" spans="2:42" x14ac:dyDescent="0.25">
      <c r="B148" s="5" t="s">
        <v>551</v>
      </c>
      <c r="C148" s="5" t="s">
        <v>1460</v>
      </c>
      <c r="D148" s="271">
        <v>46085</v>
      </c>
      <c r="E148" s="5" t="s">
        <v>1461</v>
      </c>
      <c r="F148" s="265" t="s">
        <v>724</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617</v>
      </c>
    </row>
    <row r="149" spans="2:42" x14ac:dyDescent="0.25">
      <c r="B149" s="5" t="s">
        <v>551</v>
      </c>
      <c r="C149" s="5" t="s">
        <v>1460</v>
      </c>
      <c r="D149" s="271">
        <v>46085</v>
      </c>
      <c r="E149" s="5" t="s">
        <v>1461</v>
      </c>
      <c r="F149" s="265" t="s">
        <v>724</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617</v>
      </c>
    </row>
    <row r="150" spans="2:42" x14ac:dyDescent="0.25">
      <c r="B150" s="5" t="s">
        <v>551</v>
      </c>
      <c r="C150" s="5" t="s">
        <v>1460</v>
      </c>
      <c r="D150" s="271">
        <v>46085</v>
      </c>
      <c r="E150" s="5" t="s">
        <v>1461</v>
      </c>
      <c r="F150" s="265" t="s">
        <v>724</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617</v>
      </c>
    </row>
    <row r="151" spans="2:42" x14ac:dyDescent="0.25">
      <c r="B151" s="5" t="s">
        <v>551</v>
      </c>
      <c r="C151" s="5" t="s">
        <v>1460</v>
      </c>
      <c r="D151" s="271">
        <v>46085</v>
      </c>
      <c r="E151" s="5" t="s">
        <v>1461</v>
      </c>
      <c r="F151" s="265" t="s">
        <v>724</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617</v>
      </c>
    </row>
    <row r="152" spans="2:42" x14ac:dyDescent="0.25">
      <c r="B152" s="5" t="s">
        <v>551</v>
      </c>
      <c r="C152" s="5" t="s">
        <v>1460</v>
      </c>
      <c r="D152" s="271">
        <v>46085</v>
      </c>
      <c r="E152" s="5" t="s">
        <v>1461</v>
      </c>
      <c r="F152" s="265" t="s">
        <v>724</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617</v>
      </c>
    </row>
    <row r="153" spans="2:42" x14ac:dyDescent="0.25">
      <c r="B153" s="5" t="s">
        <v>551</v>
      </c>
      <c r="C153" s="5" t="s">
        <v>1460</v>
      </c>
      <c r="D153" s="271">
        <v>46085</v>
      </c>
      <c r="E153" s="5" t="s">
        <v>1461</v>
      </c>
      <c r="F153" s="265" t="s">
        <v>724</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617</v>
      </c>
    </row>
    <row r="154" spans="2:42" x14ac:dyDescent="0.25">
      <c r="B154" s="5" t="s">
        <v>552</v>
      </c>
      <c r="C154" s="5" t="s">
        <v>554</v>
      </c>
      <c r="D154" s="271">
        <v>46084</v>
      </c>
      <c r="E154" s="5" t="s">
        <v>751</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617</v>
      </c>
    </row>
    <row r="155" spans="2:42" x14ac:dyDescent="0.25">
      <c r="B155" s="5" t="s">
        <v>552</v>
      </c>
      <c r="C155" s="5" t="s">
        <v>554</v>
      </c>
      <c r="D155" s="271">
        <v>46084</v>
      </c>
      <c r="E155" s="5" t="s">
        <v>751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617</v>
      </c>
    </row>
    <row r="156" spans="2:42" x14ac:dyDescent="0.25">
      <c r="B156" s="5" t="s">
        <v>552</v>
      </c>
      <c r="C156" s="5" t="s">
        <v>554</v>
      </c>
      <c r="D156" s="271">
        <v>46084</v>
      </c>
      <c r="E156" s="5" t="s">
        <v>751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617</v>
      </c>
    </row>
    <row r="157" spans="2:42" x14ac:dyDescent="0.25">
      <c r="B157" s="5" t="s">
        <v>552</v>
      </c>
      <c r="C157" s="5" t="s">
        <v>554</v>
      </c>
      <c r="D157" s="271">
        <v>46084</v>
      </c>
      <c r="E157" s="5" t="s">
        <v>751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617</v>
      </c>
    </row>
    <row r="158" spans="2:42" x14ac:dyDescent="0.25">
      <c r="B158" s="5" t="s">
        <v>552</v>
      </c>
      <c r="C158" s="5" t="s">
        <v>554</v>
      </c>
      <c r="D158" s="271">
        <v>46084</v>
      </c>
      <c r="E158" s="5" t="s">
        <v>751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617</v>
      </c>
    </row>
    <row r="159" spans="2:42" x14ac:dyDescent="0.25">
      <c r="B159" s="5" t="s">
        <v>552</v>
      </c>
      <c r="C159" s="5" t="s">
        <v>554</v>
      </c>
      <c r="D159" s="271">
        <v>46084</v>
      </c>
      <c r="E159" s="5" t="s">
        <v>751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617</v>
      </c>
    </row>
    <row r="160" spans="2:42" x14ac:dyDescent="0.25">
      <c r="B160" s="5" t="s">
        <v>559</v>
      </c>
      <c r="C160" s="5" t="s">
        <v>563</v>
      </c>
      <c r="D160" s="271">
        <v>36892</v>
      </c>
      <c r="E160" s="5" t="s">
        <v>752</v>
      </c>
      <c r="F160" s="265" t="s">
        <v>724</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617</v>
      </c>
    </row>
    <row r="161" spans="2:42" x14ac:dyDescent="0.25">
      <c r="B161" s="5" t="s">
        <v>575</v>
      </c>
      <c r="C161" s="5" t="s">
        <v>578</v>
      </c>
      <c r="D161" s="271">
        <v>46065</v>
      </c>
      <c r="E161" s="5" t="s">
        <v>753</v>
      </c>
      <c r="F161" s="265" t="s">
        <v>724</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617</v>
      </c>
    </row>
    <row r="162" spans="2:42" x14ac:dyDescent="0.25">
      <c r="B162" s="5" t="s">
        <v>585</v>
      </c>
      <c r="C162" s="5" t="s">
        <v>588</v>
      </c>
      <c r="D162" s="271">
        <v>46135</v>
      </c>
      <c r="E162" s="5" t="s">
        <v>754</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585</v>
      </c>
      <c r="C163" s="5" t="s">
        <v>588</v>
      </c>
      <c r="D163" s="271">
        <v>46135</v>
      </c>
      <c r="E163" s="5" t="s">
        <v>754</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585</v>
      </c>
      <c r="C164" s="5" t="s">
        <v>588</v>
      </c>
      <c r="D164" s="271">
        <v>46135</v>
      </c>
      <c r="E164" s="5" t="s">
        <v>754</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585</v>
      </c>
      <c r="C165" s="5" t="s">
        <v>588</v>
      </c>
      <c r="D165" s="271">
        <v>46135</v>
      </c>
      <c r="E165" s="5" t="s">
        <v>754</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1115</v>
      </c>
      <c r="C166" s="5" t="s">
        <v>1449</v>
      </c>
      <c r="D166" s="271">
        <v>46170</v>
      </c>
      <c r="E166" s="5" t="s">
        <v>1450</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617</v>
      </c>
    </row>
    <row r="167" spans="2:42" x14ac:dyDescent="0.25">
      <c r="B167" s="5" t="s">
        <v>1115</v>
      </c>
      <c r="C167" s="5" t="s">
        <v>1449</v>
      </c>
      <c r="D167" s="271">
        <v>46170</v>
      </c>
      <c r="E167" s="5" t="s">
        <v>1450</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617</v>
      </c>
    </row>
    <row r="168" spans="2:42" x14ac:dyDescent="0.25">
      <c r="B168" s="5" t="s">
        <v>1115</v>
      </c>
      <c r="C168" s="5" t="s">
        <v>1449</v>
      </c>
      <c r="D168" s="271">
        <v>46170</v>
      </c>
      <c r="E168" s="5" t="s">
        <v>1450</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617</v>
      </c>
    </row>
    <row r="169" spans="2:42" x14ac:dyDescent="0.25">
      <c r="B169" s="5" t="s">
        <v>1115</v>
      </c>
      <c r="C169" s="5" t="s">
        <v>1449</v>
      </c>
      <c r="D169" s="271">
        <v>46170</v>
      </c>
      <c r="E169" s="5" t="s">
        <v>1450</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617</v>
      </c>
    </row>
    <row r="170" spans="2:42" x14ac:dyDescent="0.25">
      <c r="B170" s="5" t="s">
        <v>1115</v>
      </c>
      <c r="C170" s="5" t="s">
        <v>1449</v>
      </c>
      <c r="D170" s="271">
        <v>46170</v>
      </c>
      <c r="E170" s="5" t="s">
        <v>1450</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617</v>
      </c>
    </row>
    <row r="171" spans="2:42" x14ac:dyDescent="0.25">
      <c r="B171" s="5" t="s">
        <v>1115</v>
      </c>
      <c r="C171" s="5" t="s">
        <v>1449</v>
      </c>
      <c r="D171" s="271">
        <v>46170</v>
      </c>
      <c r="E171" s="5" t="s">
        <v>1450</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617</v>
      </c>
    </row>
    <row r="172" spans="2:42" x14ac:dyDescent="0.25">
      <c r="B172" s="5" t="s">
        <v>590</v>
      </c>
      <c r="C172" s="5" t="s">
        <v>1462</v>
      </c>
      <c r="D172" s="271">
        <v>46085</v>
      </c>
      <c r="E172" s="5" t="s">
        <v>1461</v>
      </c>
      <c r="F172" s="265" t="s">
        <v>724</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617</v>
      </c>
    </row>
    <row r="173" spans="2:42" x14ac:dyDescent="0.25">
      <c r="B173" s="5" t="s">
        <v>590</v>
      </c>
      <c r="C173" s="5" t="s">
        <v>1462</v>
      </c>
      <c r="D173" s="271">
        <v>46085</v>
      </c>
      <c r="E173" s="5" t="s">
        <v>1461</v>
      </c>
      <c r="F173" s="265" t="s">
        <v>724</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617</v>
      </c>
    </row>
    <row r="174" spans="2:42" x14ac:dyDescent="0.25">
      <c r="B174" s="5" t="s">
        <v>590</v>
      </c>
      <c r="C174" s="5" t="s">
        <v>1462</v>
      </c>
      <c r="D174" s="271">
        <v>46085</v>
      </c>
      <c r="E174" s="5" t="s">
        <v>1461</v>
      </c>
      <c r="F174" s="265" t="s">
        <v>724</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617</v>
      </c>
    </row>
    <row r="175" spans="2:42" x14ac:dyDescent="0.25">
      <c r="B175" s="5" t="s">
        <v>590</v>
      </c>
      <c r="C175" s="5" t="s">
        <v>1462</v>
      </c>
      <c r="D175" s="271">
        <v>46085</v>
      </c>
      <c r="E175" s="5" t="s">
        <v>1461</v>
      </c>
      <c r="F175" s="265" t="s">
        <v>724</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617</v>
      </c>
    </row>
    <row r="176" spans="2:42" x14ac:dyDescent="0.25">
      <c r="B176" s="5" t="s">
        <v>590</v>
      </c>
      <c r="C176" s="5" t="s">
        <v>1462</v>
      </c>
      <c r="D176" s="271">
        <v>46085</v>
      </c>
      <c r="E176" s="5" t="s">
        <v>1461</v>
      </c>
      <c r="F176" s="265" t="s">
        <v>724</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617</v>
      </c>
    </row>
    <row r="177" spans="2:42" x14ac:dyDescent="0.25">
      <c r="B177" s="5" t="s">
        <v>590</v>
      </c>
      <c r="C177" s="5" t="s">
        <v>1462</v>
      </c>
      <c r="D177" s="271">
        <v>46085</v>
      </c>
      <c r="E177" s="5" t="s">
        <v>1461</v>
      </c>
      <c r="F177" s="265" t="s">
        <v>724</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617</v>
      </c>
    </row>
    <row r="178" spans="2:42" x14ac:dyDescent="0.25">
      <c r="B178" s="5" t="s">
        <v>590</v>
      </c>
      <c r="C178" s="5" t="s">
        <v>1462</v>
      </c>
      <c r="D178" s="271">
        <v>46085</v>
      </c>
      <c r="E178" s="5" t="s">
        <v>1461</v>
      </c>
      <c r="F178" s="265" t="s">
        <v>724</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617</v>
      </c>
    </row>
    <row r="179" spans="2:42" x14ac:dyDescent="0.25">
      <c r="B179" s="5" t="s">
        <v>590</v>
      </c>
      <c r="C179" s="5" t="s">
        <v>1462</v>
      </c>
      <c r="D179" s="271">
        <v>46085</v>
      </c>
      <c r="E179" s="5" t="s">
        <v>1461</v>
      </c>
      <c r="F179" s="265" t="s">
        <v>724</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617</v>
      </c>
    </row>
    <row r="180" spans="2:42" x14ac:dyDescent="0.25">
      <c r="B180" s="5" t="s">
        <v>590</v>
      </c>
      <c r="C180" s="5" t="s">
        <v>1462</v>
      </c>
      <c r="D180" s="271">
        <v>46085</v>
      </c>
      <c r="E180" s="5" t="s">
        <v>1461</v>
      </c>
      <c r="F180" s="265" t="s">
        <v>724</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617</v>
      </c>
    </row>
    <row r="181" spans="2:42" x14ac:dyDescent="0.25">
      <c r="B181" s="5" t="s">
        <v>590</v>
      </c>
      <c r="C181" s="5" t="s">
        <v>1462</v>
      </c>
      <c r="D181" s="271">
        <v>46085</v>
      </c>
      <c r="E181" s="5" t="s">
        <v>1461</v>
      </c>
      <c r="F181" s="265" t="s">
        <v>724</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617</v>
      </c>
    </row>
    <row r="182" spans="2:42" x14ac:dyDescent="0.25">
      <c r="B182" s="5" t="s">
        <v>591</v>
      </c>
      <c r="C182" s="5" t="s">
        <v>1800</v>
      </c>
      <c r="D182" s="271">
        <v>45948</v>
      </c>
      <c r="E182" s="5" t="s">
        <v>1801</v>
      </c>
      <c r="F182" s="265" t="s">
        <v>724</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617</v>
      </c>
    </row>
    <row r="183" spans="2:42" x14ac:dyDescent="0.25">
      <c r="B183" s="5" t="s">
        <v>591</v>
      </c>
      <c r="C183" s="5" t="s">
        <v>1802</v>
      </c>
      <c r="D183" s="271">
        <v>46242</v>
      </c>
      <c r="E183" s="5" t="s">
        <v>1801</v>
      </c>
      <c r="F183" s="265" t="s">
        <v>724</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617</v>
      </c>
    </row>
    <row r="184" spans="2:42" x14ac:dyDescent="0.25">
      <c r="B184" s="5" t="s">
        <v>591</v>
      </c>
      <c r="C184" s="5" t="s">
        <v>1803</v>
      </c>
      <c r="D184" s="271">
        <v>46242</v>
      </c>
      <c r="E184" s="5" t="s">
        <v>1801</v>
      </c>
      <c r="F184" s="265" t="s">
        <v>724</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617</v>
      </c>
    </row>
    <row r="185" spans="2:42" x14ac:dyDescent="0.25">
      <c r="B185" s="5" t="s">
        <v>591</v>
      </c>
      <c r="C185" s="5" t="s">
        <v>1804</v>
      </c>
      <c r="D185" s="271">
        <v>45116</v>
      </c>
      <c r="E185" s="5" t="s">
        <v>1805</v>
      </c>
      <c r="F185" s="265" t="s">
        <v>724</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617</v>
      </c>
    </row>
    <row r="186" spans="2:42" x14ac:dyDescent="0.25">
      <c r="B186" s="5" t="s">
        <v>591</v>
      </c>
      <c r="C186" s="5" t="s">
        <v>1806</v>
      </c>
      <c r="D186" s="271">
        <v>45116</v>
      </c>
      <c r="E186" s="5" t="s">
        <v>1805</v>
      </c>
      <c r="F186" s="265" t="s">
        <v>724</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617</v>
      </c>
    </row>
    <row r="187" spans="2:42" x14ac:dyDescent="0.25">
      <c r="B187" s="5" t="s">
        <v>591</v>
      </c>
      <c r="C187" s="5" t="s">
        <v>1807</v>
      </c>
      <c r="D187" s="271">
        <v>45116</v>
      </c>
      <c r="E187" s="5" t="s">
        <v>1805</v>
      </c>
      <c r="F187" s="265" t="s">
        <v>724</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617</v>
      </c>
    </row>
    <row r="188" spans="2:42" x14ac:dyDescent="0.25">
      <c r="B188" s="5" t="s">
        <v>591</v>
      </c>
      <c r="C188" s="5" t="s">
        <v>1808</v>
      </c>
      <c r="D188" s="271">
        <v>36892</v>
      </c>
      <c r="E188" s="5" t="s">
        <v>1805</v>
      </c>
      <c r="F188" s="265" t="s">
        <v>724</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617</v>
      </c>
    </row>
    <row r="189" spans="2:42" x14ac:dyDescent="0.25">
      <c r="B189" s="5" t="s">
        <v>591</v>
      </c>
      <c r="C189" s="5" t="s">
        <v>1809</v>
      </c>
      <c r="D189" s="271">
        <v>36892</v>
      </c>
      <c r="E189" s="5" t="s">
        <v>1805</v>
      </c>
      <c r="F189" s="265" t="s">
        <v>724</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617</v>
      </c>
    </row>
    <row r="190" spans="2:42" x14ac:dyDescent="0.25">
      <c r="B190" s="5" t="s">
        <v>592</v>
      </c>
      <c r="C190" s="5" t="s">
        <v>604</v>
      </c>
      <c r="D190" s="271">
        <v>46081</v>
      </c>
      <c r="E190" s="5" t="s">
        <v>755</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617</v>
      </c>
    </row>
    <row r="191" spans="2:42" x14ac:dyDescent="0.25">
      <c r="B191" s="5" t="s">
        <v>592</v>
      </c>
      <c r="C191" s="5" t="s">
        <v>601</v>
      </c>
      <c r="D191" s="271">
        <v>46081</v>
      </c>
      <c r="E191" s="5" t="s">
        <v>755</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617</v>
      </c>
    </row>
    <row r="192" spans="2:42" x14ac:dyDescent="0.25">
      <c r="B192" s="5" t="s">
        <v>592</v>
      </c>
      <c r="C192" s="5" t="s">
        <v>1621</v>
      </c>
      <c r="D192" s="271">
        <v>45912</v>
      </c>
      <c r="E192" s="5" t="s">
        <v>755</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617</v>
      </c>
    </row>
    <row r="193" spans="2:42" x14ac:dyDescent="0.25">
      <c r="B193" s="5" t="s">
        <v>592</v>
      </c>
      <c r="C193" s="5" t="s">
        <v>1622</v>
      </c>
      <c r="D193" s="271">
        <v>45912</v>
      </c>
      <c r="E193" s="5" t="s">
        <v>755</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617</v>
      </c>
    </row>
    <row r="194" spans="2:42" x14ac:dyDescent="0.25">
      <c r="B194" s="5" t="s">
        <v>592</v>
      </c>
      <c r="C194" s="5" t="s">
        <v>614</v>
      </c>
      <c r="D194" s="271">
        <v>45419</v>
      </c>
      <c r="E194" s="5" t="s">
        <v>756</v>
      </c>
      <c r="F194" s="265" t="s">
        <v>724</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592</v>
      </c>
      <c r="C195" s="5" t="s">
        <v>612</v>
      </c>
      <c r="D195" s="271">
        <v>45419</v>
      </c>
      <c r="E195" s="5" t="s">
        <v>756</v>
      </c>
      <c r="F195" s="265" t="s">
        <v>724</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592</v>
      </c>
      <c r="C196" s="5" t="s">
        <v>610</v>
      </c>
      <c r="D196" s="271">
        <v>45419</v>
      </c>
      <c r="E196" s="5" t="s">
        <v>756</v>
      </c>
      <c r="F196" s="265" t="s">
        <v>724</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592</v>
      </c>
      <c r="C197" s="5" t="s">
        <v>607</v>
      </c>
      <c r="D197" s="271">
        <v>45419</v>
      </c>
      <c r="E197" s="5" t="s">
        <v>756</v>
      </c>
      <c r="F197" s="265" t="s">
        <v>724</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592</v>
      </c>
      <c r="C198" s="5" t="s">
        <v>1623</v>
      </c>
      <c r="D198" s="271">
        <v>45350</v>
      </c>
      <c r="E198" s="5" t="s">
        <v>1624</v>
      </c>
      <c r="F198" s="265" t="s">
        <v>724</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592</v>
      </c>
      <c r="C199" s="5" t="s">
        <v>1625</v>
      </c>
      <c r="D199" s="271">
        <v>45350</v>
      </c>
      <c r="E199" s="5" t="s">
        <v>1624</v>
      </c>
      <c r="F199" s="265" t="s">
        <v>724</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616</v>
      </c>
      <c r="C200" s="5" t="s">
        <v>1739</v>
      </c>
      <c r="D200" s="271">
        <v>46003</v>
      </c>
      <c r="E200" s="5" t="s">
        <v>1740</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617</v>
      </c>
    </row>
    <row r="201" spans="2:42" x14ac:dyDescent="0.25">
      <c r="B201" s="5" t="s">
        <v>616</v>
      </c>
      <c r="C201" s="5" t="s">
        <v>1741</v>
      </c>
      <c r="D201" s="271">
        <v>46003</v>
      </c>
      <c r="E201" s="5" t="s">
        <v>1740</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617</v>
      </c>
    </row>
    <row r="202" spans="2:42" x14ac:dyDescent="0.25">
      <c r="B202" s="5" t="s">
        <v>616</v>
      </c>
      <c r="C202" s="5" t="s">
        <v>1742</v>
      </c>
      <c r="D202" s="271">
        <v>46002</v>
      </c>
      <c r="E202" s="5" t="s">
        <v>1743</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617</v>
      </c>
    </row>
    <row r="203" spans="2:42" x14ac:dyDescent="0.25">
      <c r="B203" s="5" t="s">
        <v>616</v>
      </c>
      <c r="C203" s="5" t="s">
        <v>1744</v>
      </c>
      <c r="D203" s="271">
        <v>46002</v>
      </c>
      <c r="E203" s="5" t="s">
        <v>1743</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617</v>
      </c>
    </row>
    <row r="204" spans="2:42" x14ac:dyDescent="0.25">
      <c r="B204" s="5" t="s">
        <v>616</v>
      </c>
      <c r="C204" s="5" t="s">
        <v>1745</v>
      </c>
      <c r="D204" s="271">
        <v>45996</v>
      </c>
      <c r="E204" s="5" t="s">
        <v>1743</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617</v>
      </c>
    </row>
    <row r="205" spans="2:42" x14ac:dyDescent="0.25">
      <c r="B205" s="5" t="s">
        <v>616</v>
      </c>
      <c r="C205" s="5" t="s">
        <v>1746</v>
      </c>
      <c r="D205" s="271">
        <v>45996</v>
      </c>
      <c r="E205" s="5" t="s">
        <v>1743</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617</v>
      </c>
    </row>
    <row r="206" spans="2:42" x14ac:dyDescent="0.25">
      <c r="B206" s="5" t="s">
        <v>618</v>
      </c>
      <c r="C206" s="5" t="s">
        <v>622</v>
      </c>
      <c r="D206" s="271">
        <v>45607</v>
      </c>
      <c r="E206" s="5" t="s">
        <v>757</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617</v>
      </c>
    </row>
    <row r="207" spans="2:42" x14ac:dyDescent="0.25">
      <c r="B207" s="5" t="s">
        <v>628</v>
      </c>
      <c r="C207" s="5" t="s">
        <v>637</v>
      </c>
      <c r="D207" s="271">
        <v>45579</v>
      </c>
      <c r="E207" s="5" t="s">
        <v>758</v>
      </c>
      <c r="F207" s="265" t="s">
        <v>724</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617</v>
      </c>
    </row>
    <row r="208" spans="2:42" x14ac:dyDescent="0.25">
      <c r="B208" s="5" t="s">
        <v>628</v>
      </c>
      <c r="C208" s="5" t="s">
        <v>634</v>
      </c>
      <c r="D208" s="271">
        <v>45579</v>
      </c>
      <c r="E208" s="5" t="s">
        <v>758</v>
      </c>
      <c r="F208" s="265" t="s">
        <v>724</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617</v>
      </c>
    </row>
    <row r="209" spans="2:42" x14ac:dyDescent="0.25">
      <c r="B209" s="5" t="s">
        <v>640</v>
      </c>
      <c r="C209" s="5" t="s">
        <v>1474</v>
      </c>
      <c r="D209" s="271">
        <v>46187</v>
      </c>
      <c r="E209" s="5" t="s">
        <v>1475</v>
      </c>
      <c r="F209" s="265" t="s">
        <v>724</v>
      </c>
      <c r="G209" s="5">
        <v>30</v>
      </c>
      <c r="H209" s="265"/>
      <c r="I209" s="265" t="s">
        <v>1476</v>
      </c>
      <c r="J209" s="265" t="s">
        <v>1476</v>
      </c>
      <c r="K209" s="265" t="s">
        <v>1476</v>
      </c>
      <c r="L209" s="265"/>
      <c r="M209" s="265" t="s">
        <v>1476</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617</v>
      </c>
    </row>
    <row r="210" spans="2:42" x14ac:dyDescent="0.25">
      <c r="B210" s="5" t="s">
        <v>641</v>
      </c>
      <c r="C210" s="5" t="s">
        <v>642</v>
      </c>
      <c r="D210" s="271">
        <v>45208</v>
      </c>
      <c r="E210" s="5" t="s">
        <v>759</v>
      </c>
      <c r="F210" s="265" t="s">
        <v>724</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617</v>
      </c>
    </row>
    <row r="211" spans="2:42" x14ac:dyDescent="0.25">
      <c r="B211" s="5" t="s">
        <v>645</v>
      </c>
      <c r="C211" s="5" t="s">
        <v>1782</v>
      </c>
      <c r="D211" s="271">
        <v>45332</v>
      </c>
      <c r="E211" s="5" t="s">
        <v>1783</v>
      </c>
      <c r="F211" s="265" t="s">
        <v>724</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617</v>
      </c>
    </row>
    <row r="212" spans="2:42" x14ac:dyDescent="0.25">
      <c r="B212" s="5" t="s">
        <v>1215</v>
      </c>
      <c r="C212" s="5" t="s">
        <v>1516</v>
      </c>
      <c r="D212" s="271">
        <v>46205</v>
      </c>
      <c r="E212" s="5" t="s">
        <v>1507</v>
      </c>
      <c r="F212" s="265" t="s">
        <v>724</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1508</v>
      </c>
      <c r="AP212" s="137" t="s">
        <v>617</v>
      </c>
    </row>
    <row r="213" spans="2:42" x14ac:dyDescent="0.25">
      <c r="B213" s="5" t="s">
        <v>1215</v>
      </c>
      <c r="C213" s="5" t="s">
        <v>1515</v>
      </c>
      <c r="D213" s="271">
        <v>46205</v>
      </c>
      <c r="E213" s="5" t="s">
        <v>1507</v>
      </c>
      <c r="F213" s="265" t="s">
        <v>724</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1508</v>
      </c>
      <c r="AP213" s="137" t="s">
        <v>617</v>
      </c>
    </row>
    <row r="215" spans="2:42" x14ac:dyDescent="0.25">
      <c r="B215" s="5" t="s">
        <v>760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761</v>
      </c>
    </row>
    <row r="2" spans="1:4" x14ac:dyDescent="0.25">
      <c r="A2" s="34" t="s">
        <v>227</v>
      </c>
    </row>
    <row r="4" spans="1:4" x14ac:dyDescent="0.25">
      <c r="A4" s="16" t="s">
        <v>762</v>
      </c>
    </row>
    <row r="5" spans="1:4" x14ac:dyDescent="0.25">
      <c r="A5" t="s">
        <v>763</v>
      </c>
    </row>
    <row r="7" spans="1:4" s="1" customFormat="1" ht="15.75" thickBot="1" x14ac:dyDescent="0.3">
      <c r="B7" s="1" t="s">
        <v>764</v>
      </c>
      <c r="C7" s="1" t="s">
        <v>765</v>
      </c>
      <c r="D7" s="1" t="s">
        <v>766</v>
      </c>
    </row>
    <row r="8" spans="1:4" x14ac:dyDescent="0.25">
      <c r="B8" s="314" t="s">
        <v>10</v>
      </c>
      <c r="C8" s="17" t="s">
        <v>767</v>
      </c>
      <c r="D8" s="317" t="s">
        <v>768</v>
      </c>
    </row>
    <row r="9" spans="1:4" x14ac:dyDescent="0.25">
      <c r="B9" s="316"/>
      <c r="C9" s="18" t="s">
        <v>769</v>
      </c>
      <c r="D9" s="318"/>
    </row>
    <row r="10" spans="1:4" x14ac:dyDescent="0.25">
      <c r="B10" s="316"/>
      <c r="C10" s="19" t="s">
        <v>235</v>
      </c>
      <c r="D10" s="318"/>
    </row>
    <row r="11" spans="1:4" x14ac:dyDescent="0.25">
      <c r="B11" s="316"/>
      <c r="C11" s="19" t="s">
        <v>237</v>
      </c>
      <c r="D11" s="318"/>
    </row>
    <row r="12" spans="1:4" ht="15.75" thickBot="1" x14ac:dyDescent="0.3">
      <c r="B12" s="315"/>
      <c r="C12" s="20" t="s">
        <v>770</v>
      </c>
      <c r="D12" s="319"/>
    </row>
    <row r="13" spans="1:4" x14ac:dyDescent="0.25">
      <c r="B13" s="314" t="s">
        <v>771</v>
      </c>
      <c r="C13" s="21" t="s">
        <v>772</v>
      </c>
      <c r="D13" s="317" t="s">
        <v>773</v>
      </c>
    </row>
    <row r="14" spans="1:4" x14ac:dyDescent="0.25">
      <c r="B14" s="316"/>
      <c r="C14" s="19" t="s">
        <v>774</v>
      </c>
      <c r="D14" s="318"/>
    </row>
    <row r="15" spans="1:4" ht="15.75" thickBot="1" x14ac:dyDescent="0.3">
      <c r="B15" s="315"/>
      <c r="C15" s="22" t="s">
        <v>775</v>
      </c>
      <c r="D15" s="319"/>
    </row>
    <row r="16" spans="1:4" x14ac:dyDescent="0.25">
      <c r="B16" s="314" t="s">
        <v>776</v>
      </c>
      <c r="C16" s="21" t="s">
        <v>777</v>
      </c>
      <c r="D16" s="317" t="s">
        <v>778</v>
      </c>
    </row>
    <row r="17" spans="2:4" ht="15.75" thickBot="1" x14ac:dyDescent="0.3">
      <c r="B17" s="315"/>
      <c r="C17" s="20" t="s">
        <v>779</v>
      </c>
      <c r="D17" s="319"/>
    </row>
    <row r="18" spans="2:4" x14ac:dyDescent="0.25">
      <c r="B18" s="314" t="s">
        <v>780</v>
      </c>
      <c r="C18" s="17" t="s">
        <v>781</v>
      </c>
      <c r="D18" s="280" t="s">
        <v>782</v>
      </c>
    </row>
    <row r="19" spans="2:4" ht="45" x14ac:dyDescent="0.25">
      <c r="B19" s="320"/>
      <c r="C19" s="19" t="s">
        <v>783</v>
      </c>
      <c r="D19" s="67" t="s">
        <v>784</v>
      </c>
    </row>
    <row r="20" spans="2:4" ht="60" x14ac:dyDescent="0.25">
      <c r="B20" s="316"/>
      <c r="C20" s="19" t="s">
        <v>785</v>
      </c>
      <c r="D20" s="40" t="s">
        <v>786</v>
      </c>
    </row>
    <row r="21" spans="2:4" ht="30.75" thickBot="1" x14ac:dyDescent="0.3">
      <c r="B21" s="315"/>
      <c r="C21" s="22" t="s">
        <v>787</v>
      </c>
      <c r="D21" s="282" t="s">
        <v>788</v>
      </c>
    </row>
    <row r="22" spans="2:4" x14ac:dyDescent="0.25">
      <c r="B22" s="314" t="s">
        <v>789</v>
      </c>
      <c r="C22" s="21" t="s">
        <v>790</v>
      </c>
      <c r="D22" s="280"/>
    </row>
    <row r="23" spans="2:4" ht="15.75" thickBot="1" x14ac:dyDescent="0.3">
      <c r="B23" s="315"/>
      <c r="C23" s="22" t="s">
        <v>791</v>
      </c>
      <c r="D23" s="282"/>
    </row>
    <row r="24" spans="2:4" x14ac:dyDescent="0.25">
      <c r="B24" s="314" t="s">
        <v>792</v>
      </c>
      <c r="C24" s="21" t="s">
        <v>228</v>
      </c>
      <c r="D24" s="280" t="s">
        <v>793</v>
      </c>
    </row>
    <row r="25" spans="2:4" x14ac:dyDescent="0.25">
      <c r="B25" s="316"/>
      <c r="C25" s="18" t="s">
        <v>238</v>
      </c>
      <c r="D25" s="281" t="s">
        <v>794</v>
      </c>
    </row>
    <row r="26" spans="2:4" ht="15.75" thickBot="1" x14ac:dyDescent="0.3">
      <c r="B26" s="315"/>
      <c r="C26" s="22" t="s">
        <v>236</v>
      </c>
      <c r="D26" s="69" t="s">
        <v>795</v>
      </c>
    </row>
    <row r="27" spans="2:4" x14ac:dyDescent="0.25">
      <c r="B27" s="314" t="s">
        <v>796</v>
      </c>
      <c r="C27" s="17" t="s">
        <v>797</v>
      </c>
      <c r="D27" s="281" t="s">
        <v>794</v>
      </c>
    </row>
    <row r="28" spans="2:4" ht="15.75" thickBot="1" x14ac:dyDescent="0.3">
      <c r="B28" s="315"/>
      <c r="C28" s="22" t="s">
        <v>798</v>
      </c>
      <c r="D28" s="282"/>
    </row>
    <row r="29" spans="2:4" ht="15.75" thickBot="1" x14ac:dyDescent="0.3">
      <c r="B29" s="314" t="s">
        <v>799</v>
      </c>
      <c r="C29" s="21" t="s">
        <v>797</v>
      </c>
      <c r="D29" s="69" t="s">
        <v>795</v>
      </c>
    </row>
    <row r="30" spans="2:4" ht="15.75" thickBot="1" x14ac:dyDescent="0.3">
      <c r="B30" s="315"/>
      <c r="C30" s="22" t="s">
        <v>798</v>
      </c>
      <c r="D30" s="282"/>
    </row>
    <row r="31" spans="2:4" x14ac:dyDescent="0.25">
      <c r="B31" s="314" t="s">
        <v>800</v>
      </c>
      <c r="C31" s="21" t="s">
        <v>801</v>
      </c>
      <c r="D31" s="280"/>
    </row>
    <row r="32" spans="2:4" x14ac:dyDescent="0.25">
      <c r="B32" s="316"/>
      <c r="C32" s="19" t="s">
        <v>802</v>
      </c>
      <c r="D32" s="281"/>
    </row>
    <row r="33" spans="2:4" x14ac:dyDescent="0.25">
      <c r="B33" s="316"/>
      <c r="C33" s="19" t="s">
        <v>803</v>
      </c>
      <c r="D33" s="281"/>
    </row>
    <row r="34" spans="2:4" x14ac:dyDescent="0.25">
      <c r="B34" s="316"/>
      <c r="C34" s="19" t="s">
        <v>804</v>
      </c>
      <c r="D34" s="281"/>
    </row>
    <row r="35" spans="2:4" ht="15.75" thickBot="1" x14ac:dyDescent="0.3">
      <c r="B35" s="315"/>
      <c r="C35" s="22" t="s">
        <v>805</v>
      </c>
      <c r="D35" s="282"/>
    </row>
    <row r="36" spans="2:4" ht="30.75" thickBot="1" x14ac:dyDescent="0.3">
      <c r="B36" s="23" t="s">
        <v>806</v>
      </c>
      <c r="C36" s="24" t="s">
        <v>807</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808</v>
      </c>
    </row>
    <row r="2" spans="1:3" x14ac:dyDescent="0.25">
      <c r="A2" s="34" t="s">
        <v>227</v>
      </c>
    </row>
    <row r="4" spans="1:3" x14ac:dyDescent="0.25">
      <c r="B4" s="1" t="s">
        <v>809</v>
      </c>
      <c r="C4" s="1" t="s">
        <v>810</v>
      </c>
    </row>
    <row r="5" spans="1:3" x14ac:dyDescent="0.25">
      <c r="B5" t="s">
        <v>105</v>
      </c>
      <c r="C5" t="str">
        <f t="shared" ref="C5:C55" si="0">IF(Locked,"[Any]",$B5)</f>
        <v>[Any]</v>
      </c>
    </row>
    <row r="6" spans="1:3" x14ac:dyDescent="0.25">
      <c r="B6" t="s">
        <v>811</v>
      </c>
      <c r="C6" t="str">
        <f t="shared" si="0"/>
        <v>[Any]</v>
      </c>
    </row>
    <row r="7" spans="1:3" x14ac:dyDescent="0.25">
      <c r="B7" t="s">
        <v>812</v>
      </c>
      <c r="C7" t="str">
        <f t="shared" si="0"/>
        <v>[Any]</v>
      </c>
    </row>
    <row r="8" spans="1:3" x14ac:dyDescent="0.25">
      <c r="B8" t="s">
        <v>813</v>
      </c>
      <c r="C8" t="str">
        <f t="shared" si="0"/>
        <v>[Any]</v>
      </c>
    </row>
    <row r="9" spans="1:3" x14ac:dyDescent="0.25">
      <c r="B9" t="s">
        <v>814</v>
      </c>
      <c r="C9" t="str">
        <f t="shared" si="0"/>
        <v>[Any]</v>
      </c>
    </row>
    <row r="10" spans="1:3" x14ac:dyDescent="0.25">
      <c r="B10" t="s">
        <v>815</v>
      </c>
      <c r="C10" t="str">
        <f t="shared" si="0"/>
        <v>[Any]</v>
      </c>
    </row>
    <row r="11" spans="1:3" x14ac:dyDescent="0.25">
      <c r="B11" t="s">
        <v>354</v>
      </c>
      <c r="C11" t="str">
        <f t="shared" si="0"/>
        <v>[Any]</v>
      </c>
    </row>
    <row r="12" spans="1:3" x14ac:dyDescent="0.25">
      <c r="B12" t="s">
        <v>355</v>
      </c>
      <c r="C12" t="str">
        <f t="shared" si="0"/>
        <v>[Any]</v>
      </c>
    </row>
    <row r="13" spans="1:3" x14ac:dyDescent="0.25">
      <c r="B13" t="s">
        <v>816</v>
      </c>
      <c r="C13" t="str">
        <f t="shared" si="0"/>
        <v>[Any]</v>
      </c>
    </row>
    <row r="14" spans="1:3" x14ac:dyDescent="0.25">
      <c r="B14" t="s">
        <v>364</v>
      </c>
      <c r="C14" t="str">
        <f t="shared" si="0"/>
        <v>[Any]</v>
      </c>
    </row>
    <row r="15" spans="1:3" x14ac:dyDescent="0.25">
      <c r="B15" t="s">
        <v>817</v>
      </c>
      <c r="C15" t="str">
        <f t="shared" si="0"/>
        <v>[Any]</v>
      </c>
    </row>
    <row r="16" spans="1:3" x14ac:dyDescent="0.25">
      <c r="B16" t="s">
        <v>818</v>
      </c>
      <c r="C16" t="str">
        <f t="shared" si="0"/>
        <v>[Any]</v>
      </c>
    </row>
    <row r="17" spans="2:3" x14ac:dyDescent="0.25">
      <c r="B17" t="s">
        <v>819</v>
      </c>
      <c r="C17" t="str">
        <f t="shared" si="0"/>
        <v>[Any]</v>
      </c>
    </row>
    <row r="18" spans="2:3" x14ac:dyDescent="0.25">
      <c r="B18" t="s">
        <v>408</v>
      </c>
      <c r="C18" t="str">
        <f t="shared" si="0"/>
        <v>[Any]</v>
      </c>
    </row>
    <row r="19" spans="2:3" x14ac:dyDescent="0.25">
      <c r="B19" t="s">
        <v>414</v>
      </c>
      <c r="C19" t="str">
        <f t="shared" si="0"/>
        <v>[Any]</v>
      </c>
    </row>
    <row r="20" spans="2:3" x14ac:dyDescent="0.25">
      <c r="B20" t="s">
        <v>820</v>
      </c>
      <c r="C20" t="str">
        <f t="shared" si="0"/>
        <v>[Any]</v>
      </c>
    </row>
    <row r="21" spans="2:3" x14ac:dyDescent="0.25">
      <c r="B21" t="s">
        <v>821</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822</v>
      </c>
      <c r="C25" t="str">
        <f t="shared" si="0"/>
        <v>[Any]</v>
      </c>
    </row>
    <row r="26" spans="2:3" x14ac:dyDescent="0.25">
      <c r="B26" t="s">
        <v>823</v>
      </c>
      <c r="C26" t="str">
        <f t="shared" si="0"/>
        <v>[Any]</v>
      </c>
    </row>
    <row r="27" spans="2:3" x14ac:dyDescent="0.25">
      <c r="B27" t="s">
        <v>824</v>
      </c>
      <c r="C27" t="str">
        <f t="shared" si="0"/>
        <v>[Any]</v>
      </c>
    </row>
    <row r="28" spans="2:3" x14ac:dyDescent="0.25">
      <c r="B28" t="s">
        <v>825</v>
      </c>
      <c r="C28" t="str">
        <f t="shared" si="0"/>
        <v>[Any]</v>
      </c>
    </row>
    <row r="29" spans="2:3" x14ac:dyDescent="0.25">
      <c r="B29" t="s">
        <v>826</v>
      </c>
      <c r="C29" t="str">
        <f t="shared" si="0"/>
        <v>[Any]</v>
      </c>
    </row>
    <row r="30" spans="2:3" x14ac:dyDescent="0.25">
      <c r="B30" t="s">
        <v>827</v>
      </c>
      <c r="C30" t="str">
        <f t="shared" si="0"/>
        <v>[Any]</v>
      </c>
    </row>
    <row r="31" spans="2:3" x14ac:dyDescent="0.25">
      <c r="B31" t="s">
        <v>828</v>
      </c>
      <c r="C31" t="str">
        <f t="shared" si="0"/>
        <v>[Any]</v>
      </c>
    </row>
    <row r="32" spans="2:3" x14ac:dyDescent="0.25">
      <c r="B32" t="s">
        <v>829</v>
      </c>
      <c r="C32" t="str">
        <f t="shared" si="0"/>
        <v>[Any]</v>
      </c>
    </row>
    <row r="33" spans="2:3" x14ac:dyDescent="0.25">
      <c r="B33" t="s">
        <v>830</v>
      </c>
      <c r="C33" t="str">
        <f t="shared" si="0"/>
        <v>[Any]</v>
      </c>
    </row>
    <row r="34" spans="2:3" x14ac:dyDescent="0.25">
      <c r="B34" t="s">
        <v>831</v>
      </c>
      <c r="C34" t="str">
        <f t="shared" si="0"/>
        <v>[Any]</v>
      </c>
    </row>
    <row r="35" spans="2:3" x14ac:dyDescent="0.25">
      <c r="B35" t="s">
        <v>832</v>
      </c>
      <c r="C35" t="str">
        <f t="shared" si="0"/>
        <v>[Any]</v>
      </c>
    </row>
    <row r="36" spans="2:3" x14ac:dyDescent="0.25">
      <c r="B36" t="s">
        <v>833</v>
      </c>
      <c r="C36" t="str">
        <f t="shared" si="0"/>
        <v>[Any]</v>
      </c>
    </row>
    <row r="37" spans="2:3" x14ac:dyDescent="0.25">
      <c r="B37" t="s">
        <v>527</v>
      </c>
      <c r="C37" t="str">
        <f t="shared" si="0"/>
        <v>[Any]</v>
      </c>
    </row>
    <row r="38" spans="2:3" x14ac:dyDescent="0.25">
      <c r="B38" t="s">
        <v>527</v>
      </c>
      <c r="C38" t="str">
        <f t="shared" si="0"/>
        <v>[Any]</v>
      </c>
    </row>
    <row r="39" spans="2:3" x14ac:dyDescent="0.25">
      <c r="B39" t="s">
        <v>834</v>
      </c>
      <c r="C39" t="str">
        <f t="shared" si="0"/>
        <v>[Any]</v>
      </c>
    </row>
    <row r="40" spans="2:3" x14ac:dyDescent="0.25">
      <c r="B40" t="s">
        <v>835</v>
      </c>
      <c r="C40" t="str">
        <f t="shared" si="0"/>
        <v>[Any]</v>
      </c>
    </row>
    <row r="41" spans="2:3" x14ac:dyDescent="0.25">
      <c r="B41" t="s">
        <v>551</v>
      </c>
      <c r="C41" t="str">
        <f t="shared" si="0"/>
        <v>[Any]</v>
      </c>
    </row>
    <row r="42" spans="2:3" x14ac:dyDescent="0.25">
      <c r="B42" t="s">
        <v>836</v>
      </c>
      <c r="C42" t="str">
        <f t="shared" si="0"/>
        <v>[Any]</v>
      </c>
    </row>
    <row r="43" spans="2:3" x14ac:dyDescent="0.25">
      <c r="B43" t="s">
        <v>837</v>
      </c>
      <c r="C43" t="str">
        <f t="shared" si="0"/>
        <v>[Any]</v>
      </c>
    </row>
    <row r="44" spans="2:3" x14ac:dyDescent="0.25">
      <c r="B44" t="s">
        <v>838</v>
      </c>
      <c r="C44" t="str">
        <f t="shared" si="0"/>
        <v>[Any]</v>
      </c>
    </row>
    <row r="45" spans="2:3" x14ac:dyDescent="0.25">
      <c r="B45" t="s">
        <v>839</v>
      </c>
      <c r="C45" t="str">
        <f t="shared" si="0"/>
        <v>[Any]</v>
      </c>
    </row>
    <row r="46" spans="2:3" x14ac:dyDescent="0.25">
      <c r="B46" t="s">
        <v>840</v>
      </c>
      <c r="C46" t="str">
        <f t="shared" si="0"/>
        <v>[Any]</v>
      </c>
    </row>
    <row r="47" spans="2:3" x14ac:dyDescent="0.25">
      <c r="B47" t="s">
        <v>841</v>
      </c>
      <c r="C47" t="str">
        <f t="shared" si="0"/>
        <v>[Any]</v>
      </c>
    </row>
    <row r="48" spans="2:3" x14ac:dyDescent="0.25">
      <c r="B48" t="s">
        <v>842</v>
      </c>
      <c r="C48" t="str">
        <f t="shared" si="0"/>
        <v>[Any]</v>
      </c>
    </row>
    <row r="49" spans="2:3" x14ac:dyDescent="0.25">
      <c r="B49" t="s">
        <v>616</v>
      </c>
      <c r="C49" t="str">
        <f t="shared" si="0"/>
        <v>[Any]</v>
      </c>
    </row>
    <row r="50" spans="2:3" x14ac:dyDescent="0.25">
      <c r="B50" t="s">
        <v>618</v>
      </c>
      <c r="C50" t="str">
        <f t="shared" si="0"/>
        <v>[Any]</v>
      </c>
    </row>
    <row r="51" spans="2:3" x14ac:dyDescent="0.25">
      <c r="B51" t="s">
        <v>618</v>
      </c>
      <c r="C51" t="str">
        <f t="shared" si="0"/>
        <v>[Any]</v>
      </c>
    </row>
    <row r="52" spans="2:3" x14ac:dyDescent="0.25">
      <c r="B52" t="s">
        <v>843</v>
      </c>
      <c r="C52" t="str">
        <f t="shared" si="0"/>
        <v>[Any]</v>
      </c>
    </row>
    <row r="53" spans="2:3" x14ac:dyDescent="0.25">
      <c r="B53" t="s">
        <v>844</v>
      </c>
      <c r="C53" t="str">
        <f t="shared" si="0"/>
        <v>[Any]</v>
      </c>
    </row>
    <row r="54" spans="2:3" x14ac:dyDescent="0.25">
      <c r="B54" t="s">
        <v>845</v>
      </c>
      <c r="C54" t="str">
        <f t="shared" si="0"/>
        <v>[Any]</v>
      </c>
    </row>
    <row r="55" spans="2:3" x14ac:dyDescent="0.25">
      <c r="B55" t="s">
        <v>846</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847</v>
      </c>
      <c r="I1" s="1" t="s">
        <v>848</v>
      </c>
    </row>
    <row r="2" spans="1:11" x14ac:dyDescent="0.25">
      <c r="A2" s="34" t="s">
        <v>227</v>
      </c>
    </row>
    <row r="3" spans="1:11" x14ac:dyDescent="0.25">
      <c r="G3" s="232" t="s">
        <v>849</v>
      </c>
      <c r="H3" s="233" t="s">
        <v>850</v>
      </c>
      <c r="I3" s="231" t="s">
        <v>851</v>
      </c>
    </row>
    <row r="4" spans="1:11" hidden="1" x14ac:dyDescent="0.25"/>
    <row r="5" spans="1:11" s="2" customFormat="1" ht="45" x14ac:dyDescent="0.25">
      <c r="B5" s="2" t="s">
        <v>852</v>
      </c>
      <c r="C5" s="2" t="s">
        <v>853</v>
      </c>
      <c r="D5" s="76" t="s">
        <v>854</v>
      </c>
      <c r="E5" s="2" t="s">
        <v>855</v>
      </c>
      <c r="F5" s="2" t="s">
        <v>856</v>
      </c>
      <c r="G5" s="77" t="s">
        <v>857</v>
      </c>
      <c r="H5" s="2" t="s">
        <v>858</v>
      </c>
      <c r="I5" s="63" t="s">
        <v>859</v>
      </c>
      <c r="J5" s="2" t="s">
        <v>860</v>
      </c>
      <c r="K5" s="2" t="s">
        <v>861</v>
      </c>
    </row>
    <row r="6" spans="1:11" x14ac:dyDescent="0.25">
      <c r="B6" t="s">
        <v>208</v>
      </c>
      <c r="C6" t="s">
        <v>862</v>
      </c>
      <c r="D6" t="s">
        <v>862</v>
      </c>
      <c r="E6" t="s">
        <v>208</v>
      </c>
      <c r="F6" t="s">
        <v>208</v>
      </c>
      <c r="G6" s="75">
        <v>37324</v>
      </c>
      <c r="H6">
        <v>3.9169999999999998</v>
      </c>
      <c r="I6" s="6">
        <v>1</v>
      </c>
      <c r="J6" s="78"/>
      <c r="K6" s="78"/>
    </row>
    <row r="7" spans="1:11" x14ac:dyDescent="0.25">
      <c r="B7" s="82" t="s">
        <v>863</v>
      </c>
      <c r="C7" t="s">
        <v>862</v>
      </c>
      <c r="D7" t="s">
        <v>382</v>
      </c>
      <c r="E7" t="s">
        <v>818</v>
      </c>
      <c r="F7" t="s">
        <v>864</v>
      </c>
      <c r="G7" s="75">
        <v>37324</v>
      </c>
      <c r="H7">
        <v>3.9169999999999998</v>
      </c>
      <c r="I7" s="6">
        <v>1</v>
      </c>
      <c r="J7" s="78">
        <v>43528</v>
      </c>
      <c r="K7" s="78"/>
    </row>
    <row r="8" spans="1:11" x14ac:dyDescent="0.25">
      <c r="B8" s="82" t="s">
        <v>208</v>
      </c>
      <c r="C8" t="s">
        <v>862</v>
      </c>
      <c r="D8" t="s">
        <v>865</v>
      </c>
      <c r="E8" t="s">
        <v>208</v>
      </c>
      <c r="F8" t="s">
        <v>208</v>
      </c>
      <c r="G8" s="75">
        <v>37324</v>
      </c>
      <c r="H8">
        <v>3.9169999999999998</v>
      </c>
      <c r="I8" s="6">
        <v>1</v>
      </c>
      <c r="J8" s="78"/>
      <c r="K8" s="78"/>
    </row>
    <row r="9" spans="1:11" x14ac:dyDescent="0.25">
      <c r="B9" s="82" t="s">
        <v>208</v>
      </c>
      <c r="C9" t="s">
        <v>866</v>
      </c>
      <c r="D9" t="s">
        <v>866</v>
      </c>
      <c r="E9" t="s">
        <v>208</v>
      </c>
      <c r="F9" t="s">
        <v>208</v>
      </c>
      <c r="G9" s="75">
        <v>2538</v>
      </c>
      <c r="H9" t="s">
        <v>208</v>
      </c>
      <c r="I9" s="6">
        <v>0</v>
      </c>
      <c r="J9" s="78"/>
      <c r="K9" s="78"/>
    </row>
    <row r="10" spans="1:11" x14ac:dyDescent="0.25">
      <c r="B10" s="82" t="s">
        <v>208</v>
      </c>
      <c r="C10" t="s">
        <v>866</v>
      </c>
      <c r="D10" t="s">
        <v>867</v>
      </c>
      <c r="E10" t="s">
        <v>208</v>
      </c>
      <c r="F10" t="s">
        <v>208</v>
      </c>
      <c r="G10" s="75">
        <v>2538</v>
      </c>
      <c r="H10" t="s">
        <v>208</v>
      </c>
      <c r="I10" s="6">
        <v>0</v>
      </c>
      <c r="J10" s="78"/>
      <c r="K10" s="78"/>
    </row>
    <row r="11" spans="1:11" x14ac:dyDescent="0.25">
      <c r="B11" s="82" t="s">
        <v>208</v>
      </c>
      <c r="C11" t="s">
        <v>866</v>
      </c>
      <c r="D11" t="s">
        <v>868</v>
      </c>
      <c r="E11" t="s">
        <v>869</v>
      </c>
      <c r="F11" t="s">
        <v>870</v>
      </c>
      <c r="G11" s="75">
        <v>2538</v>
      </c>
      <c r="H11" t="s">
        <v>208</v>
      </c>
      <c r="I11" s="6">
        <v>0</v>
      </c>
      <c r="J11" s="78">
        <v>38113</v>
      </c>
      <c r="K11" s="78"/>
    </row>
    <row r="12" spans="1:11" x14ac:dyDescent="0.25">
      <c r="B12" s="82" t="s">
        <v>208</v>
      </c>
      <c r="C12" t="s">
        <v>866</v>
      </c>
      <c r="D12" t="s">
        <v>871</v>
      </c>
      <c r="E12" t="s">
        <v>208</v>
      </c>
      <c r="F12" t="s">
        <v>208</v>
      </c>
      <c r="G12" s="75">
        <v>2538</v>
      </c>
      <c r="H12" t="s">
        <v>208</v>
      </c>
      <c r="I12" s="6">
        <v>0</v>
      </c>
      <c r="J12" s="78" t="s">
        <v>208</v>
      </c>
      <c r="K12" s="78"/>
    </row>
    <row r="13" spans="1:11" x14ac:dyDescent="0.25">
      <c r="B13" s="82" t="s">
        <v>208</v>
      </c>
      <c r="C13" t="s">
        <v>872</v>
      </c>
      <c r="D13" t="s">
        <v>872</v>
      </c>
      <c r="E13" t="s">
        <v>208</v>
      </c>
      <c r="F13" t="s">
        <v>208</v>
      </c>
      <c r="G13" s="75">
        <v>5601</v>
      </c>
      <c r="H13" t="s">
        <v>208</v>
      </c>
      <c r="I13" s="6">
        <v>0</v>
      </c>
      <c r="J13" s="78" t="s">
        <v>208</v>
      </c>
      <c r="K13" s="78"/>
    </row>
    <row r="14" spans="1:11" x14ac:dyDescent="0.25">
      <c r="B14" s="82" t="s">
        <v>208</v>
      </c>
      <c r="C14" t="s">
        <v>872</v>
      </c>
      <c r="D14" t="s">
        <v>873</v>
      </c>
      <c r="E14" t="s">
        <v>208</v>
      </c>
      <c r="F14" t="s">
        <v>208</v>
      </c>
      <c r="G14" s="75">
        <v>5601</v>
      </c>
      <c r="H14" t="s">
        <v>208</v>
      </c>
      <c r="I14" s="6">
        <v>0</v>
      </c>
      <c r="J14" s="78" t="s">
        <v>208</v>
      </c>
      <c r="K14" s="78"/>
    </row>
    <row r="15" spans="1:11" x14ac:dyDescent="0.25">
      <c r="B15" s="82" t="s">
        <v>208</v>
      </c>
      <c r="C15" t="s">
        <v>872</v>
      </c>
      <c r="D15" t="s">
        <v>874</v>
      </c>
      <c r="E15" t="s">
        <v>208</v>
      </c>
      <c r="F15" t="s">
        <v>208</v>
      </c>
      <c r="G15" s="75">
        <v>5601</v>
      </c>
      <c r="H15" t="s">
        <v>208</v>
      </c>
      <c r="I15" s="6">
        <v>0</v>
      </c>
      <c r="J15" s="78" t="s">
        <v>208</v>
      </c>
      <c r="K15" s="78"/>
    </row>
    <row r="16" spans="1:11" x14ac:dyDescent="0.25">
      <c r="B16" s="82" t="s">
        <v>208</v>
      </c>
      <c r="C16" t="s">
        <v>872</v>
      </c>
      <c r="D16" t="s">
        <v>875</v>
      </c>
      <c r="E16" t="s">
        <v>208</v>
      </c>
      <c r="F16" t="s">
        <v>208</v>
      </c>
      <c r="G16" s="75">
        <v>5601</v>
      </c>
      <c r="H16" t="s">
        <v>208</v>
      </c>
      <c r="I16" s="6">
        <v>0</v>
      </c>
      <c r="J16" s="78" t="s">
        <v>208</v>
      </c>
      <c r="K16" s="78"/>
    </row>
    <row r="17" spans="2:11" x14ac:dyDescent="0.25">
      <c r="B17" s="82" t="s">
        <v>208</v>
      </c>
      <c r="C17" t="s">
        <v>872</v>
      </c>
      <c r="D17" t="s">
        <v>876</v>
      </c>
      <c r="E17" t="s">
        <v>877</v>
      </c>
      <c r="F17" t="s">
        <v>878</v>
      </c>
      <c r="G17" s="75">
        <v>5601</v>
      </c>
      <c r="H17" t="s">
        <v>208</v>
      </c>
      <c r="I17" s="6">
        <v>0</v>
      </c>
      <c r="J17" s="78">
        <v>38001</v>
      </c>
      <c r="K17" s="78"/>
    </row>
    <row r="18" spans="2:11" x14ac:dyDescent="0.25">
      <c r="B18" s="82" t="s">
        <v>208</v>
      </c>
      <c r="C18" t="s">
        <v>879</v>
      </c>
      <c r="D18" t="s">
        <v>879</v>
      </c>
      <c r="E18" t="s">
        <v>208</v>
      </c>
      <c r="F18" t="s">
        <v>208</v>
      </c>
      <c r="G18" s="75">
        <v>4992</v>
      </c>
      <c r="H18" t="s">
        <v>208</v>
      </c>
      <c r="I18" s="6">
        <v>0</v>
      </c>
      <c r="J18" s="78" t="s">
        <v>208</v>
      </c>
      <c r="K18" s="78"/>
    </row>
    <row r="19" spans="2:11" x14ac:dyDescent="0.25">
      <c r="B19" s="82" t="s">
        <v>208</v>
      </c>
      <c r="C19" t="s">
        <v>880</v>
      </c>
      <c r="D19" t="s">
        <v>880</v>
      </c>
      <c r="E19" t="s">
        <v>208</v>
      </c>
      <c r="F19" t="s">
        <v>208</v>
      </c>
      <c r="G19" s="75">
        <v>379298</v>
      </c>
      <c r="H19">
        <v>0.51400000000000001</v>
      </c>
      <c r="I19" s="6">
        <v>5</v>
      </c>
      <c r="J19" s="78" t="s">
        <v>208</v>
      </c>
      <c r="K19" s="78"/>
    </row>
    <row r="20" spans="2:11" x14ac:dyDescent="0.25">
      <c r="B20" s="82" t="s">
        <v>208</v>
      </c>
      <c r="C20" t="s">
        <v>880</v>
      </c>
      <c r="D20" t="s">
        <v>881</v>
      </c>
      <c r="E20" t="s">
        <v>208</v>
      </c>
      <c r="F20" t="s">
        <v>208</v>
      </c>
      <c r="G20" s="75">
        <v>379298</v>
      </c>
      <c r="H20">
        <v>0.51400000000000001</v>
      </c>
      <c r="I20" s="6">
        <v>5</v>
      </c>
      <c r="J20" s="78" t="s">
        <v>208</v>
      </c>
      <c r="K20" s="78"/>
    </row>
    <row r="21" spans="2:11" x14ac:dyDescent="0.25">
      <c r="B21" t="s">
        <v>882</v>
      </c>
      <c r="C21" t="s">
        <v>880</v>
      </c>
      <c r="D21" t="s">
        <v>883</v>
      </c>
      <c r="E21" t="s">
        <v>813</v>
      </c>
      <c r="F21" t="s">
        <v>884</v>
      </c>
      <c r="G21" s="75">
        <v>379298</v>
      </c>
      <c r="H21">
        <v>0.51400000000000001</v>
      </c>
      <c r="I21" s="6">
        <v>5</v>
      </c>
      <c r="J21" s="78">
        <v>38653</v>
      </c>
      <c r="K21" s="78"/>
    </row>
    <row r="22" spans="2:11" x14ac:dyDescent="0.25">
      <c r="B22" t="s">
        <v>208</v>
      </c>
      <c r="C22" t="s">
        <v>885</v>
      </c>
      <c r="D22" t="s">
        <v>885</v>
      </c>
      <c r="E22" t="s">
        <v>886</v>
      </c>
      <c r="F22" t="s">
        <v>887</v>
      </c>
      <c r="G22" s="75">
        <v>0</v>
      </c>
      <c r="H22" t="s">
        <v>208</v>
      </c>
      <c r="I22" s="6">
        <v>0</v>
      </c>
      <c r="J22" s="78" t="s">
        <v>208</v>
      </c>
      <c r="K22" s="78"/>
    </row>
    <row r="23" spans="2:11" x14ac:dyDescent="0.25">
      <c r="B23" t="s">
        <v>208</v>
      </c>
      <c r="C23" t="s">
        <v>888</v>
      </c>
      <c r="D23" t="s">
        <v>888</v>
      </c>
      <c r="E23" t="s">
        <v>208</v>
      </c>
      <c r="F23" t="s">
        <v>208</v>
      </c>
      <c r="G23" s="75">
        <v>0</v>
      </c>
      <c r="H23" t="s">
        <v>208</v>
      </c>
      <c r="I23" s="6">
        <v>0</v>
      </c>
      <c r="J23" s="78"/>
      <c r="K23" s="78"/>
    </row>
    <row r="24" spans="2:11" x14ac:dyDescent="0.25">
      <c r="B24" t="s">
        <v>208</v>
      </c>
      <c r="C24" t="s">
        <v>331</v>
      </c>
      <c r="D24" t="s">
        <v>331</v>
      </c>
      <c r="E24" t="s">
        <v>889</v>
      </c>
      <c r="F24" t="s">
        <v>890</v>
      </c>
      <c r="G24" s="75">
        <v>28830</v>
      </c>
      <c r="H24">
        <v>2.0139999999999998</v>
      </c>
      <c r="I24" s="6">
        <v>2</v>
      </c>
      <c r="J24" s="78">
        <v>38467</v>
      </c>
      <c r="K24" s="78"/>
    </row>
    <row r="25" spans="2:11" x14ac:dyDescent="0.25">
      <c r="B25" t="s">
        <v>208</v>
      </c>
      <c r="C25" t="s">
        <v>331</v>
      </c>
      <c r="D25" t="s">
        <v>891</v>
      </c>
      <c r="E25" t="s">
        <v>208</v>
      </c>
      <c r="F25" t="s">
        <v>208</v>
      </c>
      <c r="G25" s="75">
        <v>28830</v>
      </c>
      <c r="H25">
        <v>2.0139999999999998</v>
      </c>
      <c r="I25" s="6">
        <v>2</v>
      </c>
      <c r="J25" s="78" t="s">
        <v>208</v>
      </c>
      <c r="K25" s="78"/>
    </row>
    <row r="26" spans="2:11" x14ac:dyDescent="0.25">
      <c r="B26" t="s">
        <v>208</v>
      </c>
      <c r="C26" t="s">
        <v>331</v>
      </c>
      <c r="D26" t="s">
        <v>890</v>
      </c>
      <c r="E26" t="s">
        <v>208</v>
      </c>
      <c r="F26" t="s">
        <v>208</v>
      </c>
      <c r="G26" s="75">
        <v>28830</v>
      </c>
      <c r="H26">
        <v>2.0139999999999998</v>
      </c>
      <c r="I26" s="6">
        <v>2</v>
      </c>
      <c r="J26" s="78" t="s">
        <v>208</v>
      </c>
      <c r="K26" s="78"/>
    </row>
    <row r="27" spans="2:11" x14ac:dyDescent="0.25">
      <c r="B27" t="s">
        <v>208</v>
      </c>
      <c r="C27" t="s">
        <v>331</v>
      </c>
      <c r="D27" t="s">
        <v>892</v>
      </c>
      <c r="E27" t="s">
        <v>208</v>
      </c>
      <c r="F27" t="s">
        <v>208</v>
      </c>
      <c r="G27" s="75">
        <v>28830</v>
      </c>
      <c r="H27">
        <v>2.0139999999999998</v>
      </c>
      <c r="I27" s="6">
        <v>2</v>
      </c>
      <c r="J27" s="78" t="s">
        <v>208</v>
      </c>
      <c r="K27" s="78"/>
    </row>
    <row r="28" spans="2:11" x14ac:dyDescent="0.25">
      <c r="B28" t="s">
        <v>208</v>
      </c>
      <c r="C28" t="s">
        <v>331</v>
      </c>
      <c r="D28" t="s">
        <v>893</v>
      </c>
      <c r="E28" t="s">
        <v>208</v>
      </c>
      <c r="F28" t="s">
        <v>208</v>
      </c>
      <c r="G28" s="75">
        <v>28830</v>
      </c>
      <c r="H28">
        <v>2.0139999999999998</v>
      </c>
      <c r="I28" s="6">
        <v>2</v>
      </c>
      <c r="J28" s="78" t="s">
        <v>208</v>
      </c>
      <c r="K28" s="78"/>
    </row>
    <row r="29" spans="2:11" x14ac:dyDescent="0.25">
      <c r="B29" t="s">
        <v>208</v>
      </c>
      <c r="C29" t="s">
        <v>894</v>
      </c>
      <c r="D29" t="s">
        <v>894</v>
      </c>
      <c r="E29" t="s">
        <v>208</v>
      </c>
      <c r="F29" t="s">
        <v>208</v>
      </c>
      <c r="G29" s="75">
        <v>0</v>
      </c>
      <c r="H29" t="s">
        <v>208</v>
      </c>
      <c r="I29" s="6">
        <v>0</v>
      </c>
      <c r="J29" s="78">
        <v>45834</v>
      </c>
      <c r="K29" s="78"/>
    </row>
    <row r="30" spans="2:11" x14ac:dyDescent="0.25">
      <c r="B30" t="s">
        <v>208</v>
      </c>
      <c r="C30" t="s">
        <v>895</v>
      </c>
      <c r="D30" t="s">
        <v>895</v>
      </c>
      <c r="E30" t="s">
        <v>896</v>
      </c>
      <c r="F30" t="s">
        <v>897</v>
      </c>
      <c r="G30" s="75">
        <v>0</v>
      </c>
      <c r="H30" t="s">
        <v>208</v>
      </c>
      <c r="I30" s="6">
        <v>0</v>
      </c>
      <c r="J30" s="78">
        <v>44628</v>
      </c>
      <c r="K30" s="78"/>
    </row>
    <row r="31" spans="2:11" x14ac:dyDescent="0.25">
      <c r="B31" t="s">
        <v>208</v>
      </c>
      <c r="C31" t="s">
        <v>898</v>
      </c>
      <c r="D31" t="s">
        <v>898</v>
      </c>
      <c r="E31" t="s">
        <v>899</v>
      </c>
      <c r="F31" t="s">
        <v>900</v>
      </c>
      <c r="G31" s="75">
        <v>0</v>
      </c>
      <c r="H31" t="s">
        <v>208</v>
      </c>
      <c r="I31" s="6">
        <v>0</v>
      </c>
      <c r="J31" s="78">
        <v>45289</v>
      </c>
      <c r="K31" s="78"/>
    </row>
    <row r="32" spans="2:11" x14ac:dyDescent="0.25">
      <c r="B32" t="s">
        <v>900</v>
      </c>
      <c r="C32" t="s">
        <v>898</v>
      </c>
      <c r="D32" t="s">
        <v>294</v>
      </c>
      <c r="E32" t="s">
        <v>812</v>
      </c>
      <c r="F32" t="s">
        <v>812</v>
      </c>
      <c r="G32" s="75">
        <v>0</v>
      </c>
      <c r="H32" t="s">
        <v>208</v>
      </c>
      <c r="I32" s="6">
        <v>0</v>
      </c>
      <c r="J32" s="78">
        <v>45289</v>
      </c>
      <c r="K32" s="78"/>
    </row>
    <row r="33" spans="2:11" x14ac:dyDescent="0.25">
      <c r="B33" t="s">
        <v>208</v>
      </c>
      <c r="C33" t="s">
        <v>898</v>
      </c>
      <c r="D33" t="s">
        <v>901</v>
      </c>
      <c r="E33" t="s">
        <v>208</v>
      </c>
      <c r="F33" t="s">
        <v>208</v>
      </c>
      <c r="G33" s="75">
        <v>0</v>
      </c>
      <c r="H33" t="s">
        <v>208</v>
      </c>
      <c r="I33" s="6">
        <v>0</v>
      </c>
      <c r="J33" s="78"/>
      <c r="K33" s="78"/>
    </row>
    <row r="34" spans="2:11" x14ac:dyDescent="0.25">
      <c r="B34" t="s">
        <v>208</v>
      </c>
      <c r="C34" t="s">
        <v>898</v>
      </c>
      <c r="D34" t="s">
        <v>345</v>
      </c>
      <c r="E34" t="s">
        <v>345</v>
      </c>
      <c r="F34" t="s">
        <v>902</v>
      </c>
      <c r="G34" s="75">
        <v>0</v>
      </c>
      <c r="H34" t="s">
        <v>208</v>
      </c>
      <c r="I34" s="6">
        <v>0</v>
      </c>
      <c r="J34" s="78">
        <v>45289</v>
      </c>
      <c r="K34" s="78"/>
    </row>
    <row r="35" spans="2:11" x14ac:dyDescent="0.25">
      <c r="B35" t="s">
        <v>208</v>
      </c>
      <c r="C35" t="s">
        <v>898</v>
      </c>
      <c r="D35" t="s">
        <v>903</v>
      </c>
      <c r="E35" t="s">
        <v>903</v>
      </c>
      <c r="F35" t="s">
        <v>904</v>
      </c>
      <c r="G35" s="75">
        <v>0</v>
      </c>
      <c r="H35" t="s">
        <v>208</v>
      </c>
      <c r="I35" s="6">
        <v>0</v>
      </c>
      <c r="J35" s="78"/>
      <c r="K35" s="78"/>
    </row>
    <row r="36" spans="2:11" x14ac:dyDescent="0.25">
      <c r="B36" t="s">
        <v>208</v>
      </c>
      <c r="C36" t="s">
        <v>898</v>
      </c>
      <c r="D36" t="s">
        <v>905</v>
      </c>
      <c r="E36" t="s">
        <v>906</v>
      </c>
      <c r="F36" t="s">
        <v>906</v>
      </c>
      <c r="G36" s="75">
        <v>0</v>
      </c>
      <c r="H36" t="s">
        <v>208</v>
      </c>
      <c r="I36" s="6">
        <v>0</v>
      </c>
      <c r="J36" s="78"/>
      <c r="K36" s="78"/>
    </row>
    <row r="37" spans="2:11" x14ac:dyDescent="0.25">
      <c r="B37" t="s">
        <v>208</v>
      </c>
      <c r="C37" t="s">
        <v>907</v>
      </c>
      <c r="D37" t="s">
        <v>907</v>
      </c>
      <c r="E37" t="s">
        <v>208</v>
      </c>
      <c r="F37" t="s">
        <v>208</v>
      </c>
      <c r="G37" s="75">
        <v>0</v>
      </c>
      <c r="H37" t="s">
        <v>208</v>
      </c>
      <c r="I37" s="6">
        <v>0</v>
      </c>
      <c r="J37" s="78"/>
      <c r="K37" s="78"/>
    </row>
    <row r="38" spans="2:11" x14ac:dyDescent="0.25">
      <c r="B38" t="s">
        <v>208</v>
      </c>
      <c r="C38" t="s">
        <v>908</v>
      </c>
      <c r="D38" t="s">
        <v>908</v>
      </c>
      <c r="E38" t="s">
        <v>208</v>
      </c>
      <c r="F38" t="s">
        <v>208</v>
      </c>
      <c r="G38" s="75">
        <v>0</v>
      </c>
      <c r="H38" t="s">
        <v>208</v>
      </c>
      <c r="I38" s="6">
        <v>0</v>
      </c>
      <c r="J38" s="78"/>
      <c r="K38" s="78"/>
    </row>
    <row r="39" spans="2:11" x14ac:dyDescent="0.25">
      <c r="B39" t="s">
        <v>208</v>
      </c>
      <c r="C39" t="s">
        <v>908</v>
      </c>
      <c r="D39" t="s">
        <v>909</v>
      </c>
      <c r="E39" t="s">
        <v>208</v>
      </c>
      <c r="F39" t="s">
        <v>208</v>
      </c>
      <c r="G39" s="75">
        <v>0</v>
      </c>
      <c r="H39" t="s">
        <v>208</v>
      </c>
      <c r="I39" s="6">
        <v>0</v>
      </c>
      <c r="J39" s="78"/>
      <c r="K39" s="78"/>
    </row>
    <row r="40" spans="2:11" x14ac:dyDescent="0.25">
      <c r="B40" t="s">
        <v>208</v>
      </c>
      <c r="C40" t="s">
        <v>908</v>
      </c>
      <c r="D40" t="s">
        <v>354</v>
      </c>
      <c r="E40" t="s">
        <v>354</v>
      </c>
      <c r="F40" t="s">
        <v>910</v>
      </c>
      <c r="G40" s="75">
        <v>0</v>
      </c>
      <c r="H40" t="s">
        <v>208</v>
      </c>
      <c r="I40" s="6">
        <v>0</v>
      </c>
      <c r="J40" s="78">
        <v>45359</v>
      </c>
      <c r="K40" s="78"/>
    </row>
    <row r="41" spans="2:11" x14ac:dyDescent="0.25">
      <c r="B41" t="s">
        <v>208</v>
      </c>
      <c r="C41" t="s">
        <v>911</v>
      </c>
      <c r="D41" t="s">
        <v>911</v>
      </c>
      <c r="E41" t="s">
        <v>208</v>
      </c>
      <c r="F41" t="s">
        <v>208</v>
      </c>
      <c r="G41" s="75">
        <v>0</v>
      </c>
      <c r="H41">
        <v>1.244</v>
      </c>
      <c r="I41" s="6">
        <v>3</v>
      </c>
      <c r="J41" s="78">
        <v>44852</v>
      </c>
      <c r="K41" s="78"/>
    </row>
    <row r="42" spans="2:11" x14ac:dyDescent="0.25">
      <c r="B42" t="s">
        <v>208</v>
      </c>
      <c r="C42" t="s">
        <v>911</v>
      </c>
      <c r="D42" t="s">
        <v>912</v>
      </c>
      <c r="E42" t="s">
        <v>208</v>
      </c>
      <c r="F42" t="s">
        <v>208</v>
      </c>
      <c r="G42" s="75">
        <v>0</v>
      </c>
      <c r="H42">
        <v>1.244</v>
      </c>
      <c r="I42" s="6">
        <v>3</v>
      </c>
      <c r="J42" s="78">
        <v>44852</v>
      </c>
      <c r="K42" s="78"/>
    </row>
    <row r="43" spans="2:11" x14ac:dyDescent="0.25">
      <c r="B43" t="s">
        <v>208</v>
      </c>
      <c r="C43" t="s">
        <v>911</v>
      </c>
      <c r="D43" t="s">
        <v>913</v>
      </c>
      <c r="E43" t="s">
        <v>208</v>
      </c>
      <c r="F43" t="s">
        <v>208</v>
      </c>
      <c r="G43" s="75">
        <v>0</v>
      </c>
      <c r="H43">
        <v>1.244</v>
      </c>
      <c r="I43" s="6">
        <v>3</v>
      </c>
      <c r="J43" s="78">
        <v>44852</v>
      </c>
      <c r="K43" s="78"/>
    </row>
    <row r="44" spans="2:11" x14ac:dyDescent="0.25">
      <c r="B44" t="s">
        <v>208</v>
      </c>
      <c r="C44" t="s">
        <v>911</v>
      </c>
      <c r="D44" t="s">
        <v>355</v>
      </c>
      <c r="E44" t="s">
        <v>355</v>
      </c>
      <c r="F44" t="s">
        <v>914</v>
      </c>
      <c r="G44" s="75">
        <v>0</v>
      </c>
      <c r="H44">
        <v>1.244</v>
      </c>
      <c r="I44" s="6">
        <v>3</v>
      </c>
      <c r="J44" s="78">
        <v>44852</v>
      </c>
      <c r="K44" s="78"/>
    </row>
    <row r="45" spans="2:11" x14ac:dyDescent="0.25">
      <c r="B45" t="s">
        <v>208</v>
      </c>
      <c r="C45" t="s">
        <v>911</v>
      </c>
      <c r="D45" t="s">
        <v>915</v>
      </c>
      <c r="E45" t="s">
        <v>208</v>
      </c>
      <c r="F45" t="s">
        <v>208</v>
      </c>
      <c r="G45" s="75">
        <v>0</v>
      </c>
      <c r="H45">
        <v>1.244</v>
      </c>
      <c r="I45" s="6">
        <v>3</v>
      </c>
      <c r="J45" s="78">
        <v>44852</v>
      </c>
      <c r="K45" s="78"/>
    </row>
    <row r="46" spans="2:11" x14ac:dyDescent="0.25">
      <c r="B46" t="s">
        <v>208</v>
      </c>
      <c r="C46" t="s">
        <v>911</v>
      </c>
      <c r="D46" t="s">
        <v>916</v>
      </c>
      <c r="E46" t="s">
        <v>208</v>
      </c>
      <c r="F46" t="s">
        <v>208</v>
      </c>
      <c r="G46" s="75">
        <v>0</v>
      </c>
      <c r="H46">
        <v>1.244</v>
      </c>
      <c r="I46" s="6">
        <v>3</v>
      </c>
      <c r="J46" s="78">
        <v>44852</v>
      </c>
      <c r="K46" s="78"/>
    </row>
    <row r="47" spans="2:11" x14ac:dyDescent="0.25">
      <c r="B47" t="s">
        <v>208</v>
      </c>
      <c r="C47" t="s">
        <v>917</v>
      </c>
      <c r="D47" t="s">
        <v>917</v>
      </c>
      <c r="E47" t="s">
        <v>918</v>
      </c>
      <c r="F47" t="s">
        <v>919</v>
      </c>
      <c r="G47" s="75">
        <v>0</v>
      </c>
      <c r="H47" t="s">
        <v>208</v>
      </c>
      <c r="I47" s="6">
        <v>0</v>
      </c>
      <c r="J47" s="78" t="s">
        <v>208</v>
      </c>
      <c r="K47" s="78"/>
    </row>
    <row r="48" spans="2:11" x14ac:dyDescent="0.25">
      <c r="B48" t="s">
        <v>208</v>
      </c>
      <c r="C48" t="s">
        <v>920</v>
      </c>
      <c r="D48" t="s">
        <v>920</v>
      </c>
      <c r="E48" t="s">
        <v>208</v>
      </c>
      <c r="F48" t="s">
        <v>208</v>
      </c>
      <c r="G48" s="75">
        <v>0</v>
      </c>
      <c r="H48" t="s">
        <v>208</v>
      </c>
      <c r="I48" s="6">
        <v>0</v>
      </c>
      <c r="J48" s="78" t="s">
        <v>208</v>
      </c>
      <c r="K48" s="78"/>
    </row>
    <row r="49" spans="2:11" x14ac:dyDescent="0.25">
      <c r="B49" t="s">
        <v>208</v>
      </c>
      <c r="C49" t="s">
        <v>363</v>
      </c>
      <c r="D49" t="s">
        <v>363</v>
      </c>
      <c r="E49" t="s">
        <v>921</v>
      </c>
      <c r="F49" t="s">
        <v>922</v>
      </c>
      <c r="G49" s="75">
        <v>0</v>
      </c>
      <c r="H49" t="s">
        <v>208</v>
      </c>
      <c r="I49" s="6">
        <v>0</v>
      </c>
      <c r="J49" s="78">
        <v>44488</v>
      </c>
      <c r="K49" s="78"/>
    </row>
    <row r="50" spans="2:11" x14ac:dyDescent="0.25">
      <c r="B50" t="s">
        <v>208</v>
      </c>
      <c r="C50" t="s">
        <v>363</v>
      </c>
      <c r="D50" t="s">
        <v>921</v>
      </c>
      <c r="E50" t="s">
        <v>921</v>
      </c>
      <c r="F50" t="s">
        <v>922</v>
      </c>
      <c r="G50" s="75">
        <v>0</v>
      </c>
      <c r="H50" t="s">
        <v>208</v>
      </c>
      <c r="I50" s="6">
        <v>0</v>
      </c>
      <c r="J50" s="78">
        <v>44488</v>
      </c>
      <c r="K50" s="78"/>
    </row>
    <row r="51" spans="2:11" x14ac:dyDescent="0.25">
      <c r="B51" t="s">
        <v>208</v>
      </c>
      <c r="C51" t="s">
        <v>923</v>
      </c>
      <c r="D51" t="s">
        <v>923</v>
      </c>
      <c r="E51" t="s">
        <v>208</v>
      </c>
      <c r="F51" t="s">
        <v>208</v>
      </c>
      <c r="G51" s="75">
        <v>10801</v>
      </c>
      <c r="H51" t="s">
        <v>208</v>
      </c>
      <c r="I51" s="6">
        <v>0</v>
      </c>
      <c r="J51" s="78" t="s">
        <v>208</v>
      </c>
      <c r="K51" s="78"/>
    </row>
    <row r="52" spans="2:11" x14ac:dyDescent="0.25">
      <c r="B52" t="s">
        <v>208</v>
      </c>
      <c r="C52" t="s">
        <v>923</v>
      </c>
      <c r="D52" t="s">
        <v>924</v>
      </c>
      <c r="E52" t="s">
        <v>925</v>
      </c>
      <c r="F52" t="s">
        <v>926</v>
      </c>
      <c r="G52" s="75">
        <v>10801</v>
      </c>
      <c r="H52" t="s">
        <v>208</v>
      </c>
      <c r="I52" s="6">
        <v>0</v>
      </c>
      <c r="J52" s="78">
        <v>39169</v>
      </c>
      <c r="K52" s="78"/>
    </row>
    <row r="53" spans="2:11" x14ac:dyDescent="0.25">
      <c r="B53" t="s">
        <v>208</v>
      </c>
      <c r="C53" t="s">
        <v>923</v>
      </c>
      <c r="D53" t="s">
        <v>927</v>
      </c>
      <c r="E53" t="s">
        <v>928</v>
      </c>
      <c r="F53" t="s">
        <v>929</v>
      </c>
      <c r="G53" s="75">
        <v>10801</v>
      </c>
      <c r="H53" t="s">
        <v>208</v>
      </c>
      <c r="I53" s="6">
        <v>0</v>
      </c>
      <c r="J53" s="78">
        <v>39169</v>
      </c>
      <c r="K53" s="78"/>
    </row>
    <row r="54" spans="2:11" x14ac:dyDescent="0.25">
      <c r="B54" t="s">
        <v>208</v>
      </c>
      <c r="C54" t="s">
        <v>923</v>
      </c>
      <c r="D54" t="s">
        <v>930</v>
      </c>
      <c r="E54" t="s">
        <v>208</v>
      </c>
      <c r="F54" t="s">
        <v>208</v>
      </c>
      <c r="G54" s="75">
        <v>10801</v>
      </c>
      <c r="H54" t="s">
        <v>208</v>
      </c>
      <c r="I54" s="6">
        <v>0</v>
      </c>
      <c r="J54" s="78">
        <v>39169</v>
      </c>
      <c r="K54" s="78"/>
    </row>
    <row r="55" spans="2:11" x14ac:dyDescent="0.25">
      <c r="B55" t="s">
        <v>208</v>
      </c>
      <c r="C55" t="s">
        <v>923</v>
      </c>
      <c r="D55" t="s">
        <v>931</v>
      </c>
      <c r="E55" t="s">
        <v>932</v>
      </c>
      <c r="F55" t="s">
        <v>933</v>
      </c>
      <c r="G55" s="75">
        <v>10801</v>
      </c>
      <c r="H55" t="s">
        <v>208</v>
      </c>
      <c r="I55" s="6">
        <v>0</v>
      </c>
      <c r="J55" s="78">
        <v>39169</v>
      </c>
      <c r="K55" s="78"/>
    </row>
    <row r="56" spans="2:11" x14ac:dyDescent="0.25">
      <c r="B56" t="s">
        <v>208</v>
      </c>
      <c r="C56" t="s">
        <v>934</v>
      </c>
      <c r="D56" t="s">
        <v>934</v>
      </c>
      <c r="E56" t="s">
        <v>208</v>
      </c>
      <c r="F56" t="s">
        <v>208</v>
      </c>
      <c r="G56" s="75">
        <v>0</v>
      </c>
      <c r="H56" t="s">
        <v>208</v>
      </c>
      <c r="I56" s="6">
        <v>0</v>
      </c>
      <c r="J56" s="78" t="s">
        <v>208</v>
      </c>
      <c r="K56" s="78"/>
    </row>
    <row r="57" spans="2:11" x14ac:dyDescent="0.25">
      <c r="B57" t="s">
        <v>208</v>
      </c>
      <c r="C57" t="s">
        <v>935</v>
      </c>
      <c r="D57" t="s">
        <v>935</v>
      </c>
      <c r="E57" t="s">
        <v>208</v>
      </c>
      <c r="F57" t="s">
        <v>208</v>
      </c>
      <c r="G57" s="75">
        <v>657</v>
      </c>
      <c r="H57">
        <v>1.9810000000000001</v>
      </c>
      <c r="I57" s="6">
        <v>2</v>
      </c>
      <c r="J57" s="78">
        <v>44431</v>
      </c>
      <c r="K57" s="78"/>
    </row>
    <row r="58" spans="2:11" x14ac:dyDescent="0.25">
      <c r="B58" t="s">
        <v>936</v>
      </c>
      <c r="C58" t="s">
        <v>935</v>
      </c>
      <c r="D58" t="s">
        <v>364</v>
      </c>
      <c r="E58" t="s">
        <v>364</v>
      </c>
      <c r="F58" t="s">
        <v>937</v>
      </c>
      <c r="G58" s="75">
        <v>657</v>
      </c>
      <c r="H58">
        <v>1.9810000000000001</v>
      </c>
      <c r="I58" s="6">
        <v>2</v>
      </c>
      <c r="J58" s="78">
        <v>44431</v>
      </c>
      <c r="K58" s="78"/>
    </row>
    <row r="59" spans="2:11" x14ac:dyDescent="0.25">
      <c r="B59" t="s">
        <v>208</v>
      </c>
      <c r="C59" t="s">
        <v>935</v>
      </c>
      <c r="D59" t="s">
        <v>938</v>
      </c>
      <c r="E59" t="s">
        <v>208</v>
      </c>
      <c r="F59" t="s">
        <v>208</v>
      </c>
      <c r="G59" s="75">
        <v>657</v>
      </c>
      <c r="H59">
        <v>1.9810000000000001</v>
      </c>
      <c r="I59" s="6">
        <v>2</v>
      </c>
      <c r="J59" s="78">
        <v>44431</v>
      </c>
      <c r="K59" s="78"/>
    </row>
    <row r="60" spans="2:11" x14ac:dyDescent="0.25">
      <c r="B60" t="s">
        <v>208</v>
      </c>
      <c r="C60" t="s">
        <v>935</v>
      </c>
      <c r="D60" t="s">
        <v>939</v>
      </c>
      <c r="E60" t="s">
        <v>208</v>
      </c>
      <c r="F60" t="s">
        <v>208</v>
      </c>
      <c r="G60" s="75">
        <v>657</v>
      </c>
      <c r="H60">
        <v>1.9810000000000001</v>
      </c>
      <c r="I60" s="6">
        <v>2</v>
      </c>
      <c r="J60" s="78">
        <v>44431</v>
      </c>
      <c r="K60" s="78"/>
    </row>
    <row r="61" spans="2:11" x14ac:dyDescent="0.25">
      <c r="B61" t="s">
        <v>208</v>
      </c>
      <c r="C61" t="s">
        <v>935</v>
      </c>
      <c r="D61" t="s">
        <v>940</v>
      </c>
      <c r="E61" t="s">
        <v>940</v>
      </c>
      <c r="F61" t="s">
        <v>941</v>
      </c>
      <c r="G61" s="75">
        <v>657</v>
      </c>
      <c r="H61">
        <v>1.9810000000000001</v>
      </c>
      <c r="I61" s="6">
        <v>2</v>
      </c>
      <c r="J61" s="78">
        <v>44431</v>
      </c>
      <c r="K61" s="78"/>
    </row>
    <row r="62" spans="2:11" x14ac:dyDescent="0.25">
      <c r="B62" t="s">
        <v>942</v>
      </c>
      <c r="C62" t="s">
        <v>365</v>
      </c>
      <c r="D62" t="s">
        <v>365</v>
      </c>
      <c r="E62" t="s">
        <v>943</v>
      </c>
      <c r="F62" t="s">
        <v>944</v>
      </c>
      <c r="G62" s="75">
        <v>155124</v>
      </c>
      <c r="H62">
        <v>1.9E-2</v>
      </c>
      <c r="I62" s="6">
        <v>5</v>
      </c>
      <c r="J62" s="78">
        <v>38246</v>
      </c>
      <c r="K62" s="78"/>
    </row>
    <row r="63" spans="2:11" x14ac:dyDescent="0.25">
      <c r="B63" t="s">
        <v>208</v>
      </c>
      <c r="C63" t="s">
        <v>365</v>
      </c>
      <c r="D63" t="s">
        <v>945</v>
      </c>
      <c r="E63" t="s">
        <v>208</v>
      </c>
      <c r="F63" t="s">
        <v>208</v>
      </c>
      <c r="G63" s="75">
        <v>155124</v>
      </c>
      <c r="H63">
        <v>1.9E-2</v>
      </c>
      <c r="I63" s="6">
        <v>5</v>
      </c>
      <c r="J63" s="78" t="s">
        <v>208</v>
      </c>
      <c r="K63" s="78"/>
    </row>
    <row r="64" spans="2:11" x14ac:dyDescent="0.25">
      <c r="B64" t="s">
        <v>208</v>
      </c>
      <c r="C64" t="s">
        <v>365</v>
      </c>
      <c r="D64" t="s">
        <v>946</v>
      </c>
      <c r="E64" t="s">
        <v>208</v>
      </c>
      <c r="F64" t="s">
        <v>208</v>
      </c>
      <c r="G64" s="75">
        <v>155124</v>
      </c>
      <c r="H64">
        <v>1.9E-2</v>
      </c>
      <c r="I64" s="6">
        <v>5</v>
      </c>
      <c r="J64" s="78" t="s">
        <v>208</v>
      </c>
      <c r="K64" s="78"/>
    </row>
    <row r="65" spans="2:11" x14ac:dyDescent="0.25">
      <c r="B65" t="s">
        <v>208</v>
      </c>
      <c r="C65" t="s">
        <v>365</v>
      </c>
      <c r="D65" t="s">
        <v>947</v>
      </c>
      <c r="E65" t="s">
        <v>208</v>
      </c>
      <c r="F65" t="s">
        <v>208</v>
      </c>
      <c r="G65" s="75">
        <v>155124</v>
      </c>
      <c r="H65">
        <v>1.9E-2</v>
      </c>
      <c r="I65" s="6">
        <v>5</v>
      </c>
      <c r="J65" s="78" t="s">
        <v>208</v>
      </c>
      <c r="K65" s="78"/>
    </row>
    <row r="66" spans="2:11" x14ac:dyDescent="0.25">
      <c r="B66" t="s">
        <v>208</v>
      </c>
      <c r="C66" t="s">
        <v>365</v>
      </c>
      <c r="D66" t="s">
        <v>948</v>
      </c>
      <c r="E66" t="s">
        <v>948</v>
      </c>
      <c r="F66" t="s">
        <v>949</v>
      </c>
      <c r="G66" s="75">
        <v>155124</v>
      </c>
      <c r="H66">
        <v>1.9E-2</v>
      </c>
      <c r="I66" s="6">
        <v>5</v>
      </c>
      <c r="J66" s="78">
        <v>38246</v>
      </c>
      <c r="K66" s="78"/>
    </row>
    <row r="67" spans="2:11" x14ac:dyDescent="0.25">
      <c r="B67" t="s">
        <v>208</v>
      </c>
      <c r="C67" t="s">
        <v>950</v>
      </c>
      <c r="D67" t="s">
        <v>950</v>
      </c>
      <c r="E67" t="s">
        <v>951</v>
      </c>
      <c r="F67" t="s">
        <v>952</v>
      </c>
      <c r="G67" s="75">
        <v>992</v>
      </c>
      <c r="H67" t="s">
        <v>208</v>
      </c>
      <c r="I67" s="6">
        <v>0</v>
      </c>
      <c r="J67" s="78">
        <v>39017</v>
      </c>
      <c r="K67" s="78"/>
    </row>
    <row r="68" spans="2:11" x14ac:dyDescent="0.25">
      <c r="B68" t="s">
        <v>208</v>
      </c>
      <c r="C68" t="s">
        <v>950</v>
      </c>
      <c r="D68" t="s">
        <v>953</v>
      </c>
      <c r="E68" t="s">
        <v>208</v>
      </c>
      <c r="F68" t="s">
        <v>208</v>
      </c>
      <c r="G68" s="75">
        <v>992</v>
      </c>
      <c r="H68" t="s">
        <v>208</v>
      </c>
      <c r="I68" s="6">
        <v>0</v>
      </c>
      <c r="J68" s="78" t="s">
        <v>208</v>
      </c>
      <c r="K68" s="78"/>
    </row>
    <row r="69" spans="2:11" x14ac:dyDescent="0.25">
      <c r="B69" t="s">
        <v>208</v>
      </c>
      <c r="C69" t="s">
        <v>950</v>
      </c>
      <c r="D69" t="s">
        <v>954</v>
      </c>
      <c r="E69" t="s">
        <v>208</v>
      </c>
      <c r="F69" t="s">
        <v>208</v>
      </c>
      <c r="G69" s="75">
        <v>992</v>
      </c>
      <c r="H69" t="s">
        <v>208</v>
      </c>
      <c r="I69" s="6">
        <v>0</v>
      </c>
      <c r="J69" s="78" t="s">
        <v>208</v>
      </c>
      <c r="K69" s="78"/>
    </row>
    <row r="70" spans="2:11" x14ac:dyDescent="0.25">
      <c r="B70" t="s">
        <v>208</v>
      </c>
      <c r="C70" t="s">
        <v>950</v>
      </c>
      <c r="D70" t="s">
        <v>955</v>
      </c>
      <c r="E70" t="s">
        <v>208</v>
      </c>
      <c r="F70" t="s">
        <v>208</v>
      </c>
      <c r="G70" s="75">
        <v>992</v>
      </c>
      <c r="H70" t="s">
        <v>208</v>
      </c>
      <c r="I70" s="6">
        <v>0</v>
      </c>
      <c r="J70" s="78" t="s">
        <v>208</v>
      </c>
      <c r="K70" s="78"/>
    </row>
    <row r="71" spans="2:11" x14ac:dyDescent="0.25">
      <c r="B71" t="s">
        <v>208</v>
      </c>
      <c r="C71" t="s">
        <v>956</v>
      </c>
      <c r="D71" t="s">
        <v>956</v>
      </c>
      <c r="E71" t="s">
        <v>957</v>
      </c>
      <c r="F71" t="s">
        <v>958</v>
      </c>
      <c r="G71" s="75">
        <v>0</v>
      </c>
      <c r="H71" t="s">
        <v>208</v>
      </c>
      <c r="I71" s="6">
        <v>0</v>
      </c>
      <c r="J71" s="78" t="s">
        <v>208</v>
      </c>
      <c r="K71" s="78"/>
    </row>
    <row r="72" spans="2:11" x14ac:dyDescent="0.25">
      <c r="B72" t="s">
        <v>959</v>
      </c>
      <c r="C72" t="s">
        <v>424</v>
      </c>
      <c r="D72" t="s">
        <v>424</v>
      </c>
      <c r="E72" t="s">
        <v>960</v>
      </c>
      <c r="F72" t="s">
        <v>960</v>
      </c>
      <c r="G72" s="75">
        <v>156383</v>
      </c>
      <c r="H72">
        <v>0.7</v>
      </c>
      <c r="I72" s="6">
        <v>4</v>
      </c>
      <c r="J72" s="78">
        <v>36948</v>
      </c>
      <c r="K72" s="78"/>
    </row>
    <row r="73" spans="2:11" x14ac:dyDescent="0.25">
      <c r="B73" t="s">
        <v>208</v>
      </c>
      <c r="C73" t="s">
        <v>424</v>
      </c>
      <c r="D73" t="s">
        <v>960</v>
      </c>
      <c r="E73" t="s">
        <v>208</v>
      </c>
      <c r="F73" t="s">
        <v>208</v>
      </c>
      <c r="G73" s="75">
        <v>156383</v>
      </c>
      <c r="H73">
        <v>0.7</v>
      </c>
      <c r="I73" s="6">
        <v>4</v>
      </c>
      <c r="J73" s="78"/>
      <c r="K73" s="78"/>
    </row>
    <row r="74" spans="2:11" x14ac:dyDescent="0.25">
      <c r="B74" t="s">
        <v>208</v>
      </c>
      <c r="C74" t="s">
        <v>424</v>
      </c>
      <c r="D74" t="s">
        <v>961</v>
      </c>
      <c r="E74" t="s">
        <v>962</v>
      </c>
      <c r="F74" t="s">
        <v>962</v>
      </c>
      <c r="G74" s="75">
        <v>156383</v>
      </c>
      <c r="H74">
        <v>0.7</v>
      </c>
      <c r="I74" s="6">
        <v>4</v>
      </c>
      <c r="J74" s="78">
        <v>36948</v>
      </c>
      <c r="K74" s="78"/>
    </row>
    <row r="75" spans="2:11" x14ac:dyDescent="0.25">
      <c r="B75" t="s">
        <v>208</v>
      </c>
      <c r="C75" t="s">
        <v>424</v>
      </c>
      <c r="D75" t="s">
        <v>963</v>
      </c>
      <c r="E75" t="s">
        <v>964</v>
      </c>
      <c r="F75" t="s">
        <v>965</v>
      </c>
      <c r="G75" s="75">
        <v>156383</v>
      </c>
      <c r="H75">
        <v>0.7</v>
      </c>
      <c r="I75" s="6">
        <v>4</v>
      </c>
      <c r="J75" s="78">
        <v>36948</v>
      </c>
      <c r="K75" s="78"/>
    </row>
    <row r="76" spans="2:11" x14ac:dyDescent="0.25">
      <c r="B76" t="s">
        <v>208</v>
      </c>
      <c r="C76" t="s">
        <v>966</v>
      </c>
      <c r="D76" t="s">
        <v>966</v>
      </c>
      <c r="E76" t="s">
        <v>967</v>
      </c>
      <c r="F76" t="s">
        <v>968</v>
      </c>
      <c r="G76" s="75">
        <v>0</v>
      </c>
      <c r="H76" t="s">
        <v>208</v>
      </c>
      <c r="I76" s="6">
        <v>0</v>
      </c>
      <c r="J76" s="78">
        <v>44698</v>
      </c>
      <c r="K76" s="78"/>
    </row>
    <row r="77" spans="2:11" x14ac:dyDescent="0.25">
      <c r="B77" t="s">
        <v>208</v>
      </c>
      <c r="C77" t="s">
        <v>969</v>
      </c>
      <c r="D77" t="s">
        <v>969</v>
      </c>
      <c r="E77" t="s">
        <v>208</v>
      </c>
      <c r="F77" t="s">
        <v>208</v>
      </c>
      <c r="G77" s="75">
        <v>2353</v>
      </c>
      <c r="H77" t="s">
        <v>208</v>
      </c>
      <c r="I77" s="6">
        <v>0</v>
      </c>
      <c r="J77" s="78" t="s">
        <v>208</v>
      </c>
      <c r="K77" s="78"/>
    </row>
    <row r="78" spans="2:11" x14ac:dyDescent="0.25">
      <c r="B78" t="s">
        <v>208</v>
      </c>
      <c r="C78" t="s">
        <v>970</v>
      </c>
      <c r="D78" t="s">
        <v>970</v>
      </c>
      <c r="E78" t="s">
        <v>208</v>
      </c>
      <c r="F78" t="s">
        <v>208</v>
      </c>
      <c r="G78" s="75">
        <v>0</v>
      </c>
      <c r="H78" t="s">
        <v>208</v>
      </c>
      <c r="I78" s="6">
        <v>0</v>
      </c>
      <c r="J78" s="78"/>
      <c r="K78" s="78"/>
    </row>
    <row r="79" spans="2:11" x14ac:dyDescent="0.25">
      <c r="B79" t="s">
        <v>208</v>
      </c>
      <c r="C79" t="s">
        <v>971</v>
      </c>
      <c r="D79" t="s">
        <v>971</v>
      </c>
      <c r="E79" t="s">
        <v>208</v>
      </c>
      <c r="F79" t="s">
        <v>208</v>
      </c>
      <c r="G79" s="75">
        <v>0</v>
      </c>
      <c r="H79" t="s">
        <v>208</v>
      </c>
      <c r="I79" s="6">
        <v>0</v>
      </c>
      <c r="J79" s="78" t="s">
        <v>208</v>
      </c>
      <c r="K79" s="78"/>
    </row>
    <row r="80" spans="2:11" x14ac:dyDescent="0.25">
      <c r="B80" t="s">
        <v>208</v>
      </c>
      <c r="C80" t="s">
        <v>971</v>
      </c>
      <c r="D80" t="s">
        <v>972</v>
      </c>
      <c r="E80" t="s">
        <v>208</v>
      </c>
      <c r="F80" t="s">
        <v>208</v>
      </c>
      <c r="G80" s="75">
        <v>0</v>
      </c>
      <c r="H80" t="s">
        <v>208</v>
      </c>
      <c r="I80" s="6">
        <v>0</v>
      </c>
      <c r="J80" s="78" t="s">
        <v>208</v>
      </c>
      <c r="K80" s="78"/>
    </row>
    <row r="81" spans="2:11" x14ac:dyDescent="0.25">
      <c r="B81" t="s">
        <v>208</v>
      </c>
      <c r="C81" t="s">
        <v>971</v>
      </c>
      <c r="D81" t="s">
        <v>973</v>
      </c>
      <c r="E81" t="s">
        <v>208</v>
      </c>
      <c r="F81" t="s">
        <v>208</v>
      </c>
      <c r="G81" s="75">
        <v>0</v>
      </c>
      <c r="H81" t="s">
        <v>208</v>
      </c>
      <c r="I81" s="6">
        <v>0</v>
      </c>
      <c r="J81" s="78" t="s">
        <v>208</v>
      </c>
      <c r="K81" s="78"/>
    </row>
    <row r="82" spans="2:11" x14ac:dyDescent="0.25">
      <c r="B82" t="s">
        <v>208</v>
      </c>
      <c r="C82" t="s">
        <v>971</v>
      </c>
      <c r="D82" t="s">
        <v>974</v>
      </c>
      <c r="E82" t="s">
        <v>208</v>
      </c>
      <c r="F82" t="s">
        <v>208</v>
      </c>
      <c r="G82" s="75">
        <v>0</v>
      </c>
      <c r="H82" t="s">
        <v>208</v>
      </c>
      <c r="I82" s="6">
        <v>0</v>
      </c>
      <c r="J82" s="78"/>
      <c r="K82" s="78"/>
    </row>
    <row r="83" spans="2:11" x14ac:dyDescent="0.25">
      <c r="B83" t="s">
        <v>208</v>
      </c>
      <c r="C83" t="s">
        <v>971</v>
      </c>
      <c r="D83" t="s">
        <v>975</v>
      </c>
      <c r="E83" t="s">
        <v>208</v>
      </c>
      <c r="F83" t="s">
        <v>208</v>
      </c>
      <c r="G83" s="75">
        <v>0</v>
      </c>
      <c r="H83" t="s">
        <v>208</v>
      </c>
      <c r="I83" s="6">
        <v>0</v>
      </c>
      <c r="J83" s="78"/>
      <c r="K83" s="78"/>
    </row>
    <row r="84" spans="2:11" x14ac:dyDescent="0.25">
      <c r="B84" t="s">
        <v>208</v>
      </c>
      <c r="C84" t="s">
        <v>971</v>
      </c>
      <c r="D84" t="s">
        <v>976</v>
      </c>
      <c r="E84" t="s">
        <v>208</v>
      </c>
      <c r="F84" t="s">
        <v>208</v>
      </c>
      <c r="G84" s="75">
        <v>0</v>
      </c>
      <c r="H84" t="s">
        <v>208</v>
      </c>
      <c r="I84" s="6">
        <v>0</v>
      </c>
      <c r="J84" s="78" t="s">
        <v>208</v>
      </c>
      <c r="K84" s="78"/>
    </row>
    <row r="85" spans="2:11" x14ac:dyDescent="0.25">
      <c r="B85" t="s">
        <v>208</v>
      </c>
      <c r="C85" t="s">
        <v>977</v>
      </c>
      <c r="D85" t="s">
        <v>977</v>
      </c>
      <c r="E85" t="s">
        <v>208</v>
      </c>
      <c r="F85" t="s">
        <v>208</v>
      </c>
      <c r="G85" s="75">
        <v>508683</v>
      </c>
      <c r="H85">
        <v>1.0129999999999999</v>
      </c>
      <c r="I85" s="6">
        <v>4</v>
      </c>
      <c r="J85" s="78" t="s">
        <v>208</v>
      </c>
      <c r="K85" s="78"/>
    </row>
    <row r="86" spans="2:11" x14ac:dyDescent="0.25">
      <c r="B86" t="s">
        <v>978</v>
      </c>
      <c r="C86" t="s">
        <v>977</v>
      </c>
      <c r="D86" t="s">
        <v>425</v>
      </c>
      <c r="E86" t="s">
        <v>821</v>
      </c>
      <c r="F86" t="s">
        <v>979</v>
      </c>
      <c r="G86" s="75">
        <v>508683</v>
      </c>
      <c r="H86">
        <v>1.0129999999999999</v>
      </c>
      <c r="I86" s="6">
        <v>4</v>
      </c>
      <c r="J86" s="78">
        <v>37229</v>
      </c>
      <c r="K86" s="78"/>
    </row>
    <row r="87" spans="2:11" x14ac:dyDescent="0.25">
      <c r="B87" t="s">
        <v>208</v>
      </c>
      <c r="C87" t="s">
        <v>977</v>
      </c>
      <c r="D87" t="s">
        <v>980</v>
      </c>
      <c r="E87" t="s">
        <v>208</v>
      </c>
      <c r="F87" t="s">
        <v>208</v>
      </c>
      <c r="G87" s="75">
        <v>508683</v>
      </c>
      <c r="H87">
        <v>1.0129999999999999</v>
      </c>
      <c r="I87" s="6">
        <v>4</v>
      </c>
      <c r="J87" s="78" t="s">
        <v>208</v>
      </c>
      <c r="K87" s="78"/>
    </row>
    <row r="88" spans="2:11" x14ac:dyDescent="0.25">
      <c r="B88" t="s">
        <v>208</v>
      </c>
      <c r="C88" t="s">
        <v>977</v>
      </c>
      <c r="D88" t="s">
        <v>981</v>
      </c>
      <c r="E88" t="s">
        <v>208</v>
      </c>
      <c r="F88" t="s">
        <v>208</v>
      </c>
      <c r="G88" s="75">
        <v>508683</v>
      </c>
      <c r="H88">
        <v>1.0129999999999999</v>
      </c>
      <c r="I88" s="6">
        <v>4</v>
      </c>
      <c r="J88" s="78" t="s">
        <v>208</v>
      </c>
      <c r="K88" s="78"/>
    </row>
    <row r="89" spans="2:11" x14ac:dyDescent="0.25">
      <c r="B89" t="s">
        <v>208</v>
      </c>
      <c r="C89" t="s">
        <v>977</v>
      </c>
      <c r="D89" t="s">
        <v>982</v>
      </c>
      <c r="E89" t="s">
        <v>208</v>
      </c>
      <c r="F89" t="s">
        <v>208</v>
      </c>
      <c r="G89" s="75">
        <v>508683</v>
      </c>
      <c r="H89">
        <v>1.0129999999999999</v>
      </c>
      <c r="I89" s="6">
        <v>4</v>
      </c>
      <c r="J89" s="78" t="s">
        <v>208</v>
      </c>
      <c r="K89" s="78"/>
    </row>
    <row r="90" spans="2:11" x14ac:dyDescent="0.25">
      <c r="B90" t="s">
        <v>208</v>
      </c>
      <c r="C90" t="s">
        <v>983</v>
      </c>
      <c r="D90" t="s">
        <v>983</v>
      </c>
      <c r="E90" t="s">
        <v>208</v>
      </c>
      <c r="F90" t="s">
        <v>208</v>
      </c>
      <c r="G90" s="75">
        <v>0</v>
      </c>
      <c r="H90" t="s">
        <v>208</v>
      </c>
      <c r="I90" s="6">
        <v>0</v>
      </c>
      <c r="J90" s="78"/>
      <c r="K90" s="78"/>
    </row>
    <row r="91" spans="2:11" x14ac:dyDescent="0.25">
      <c r="B91" t="s">
        <v>984</v>
      </c>
      <c r="C91" t="s">
        <v>983</v>
      </c>
      <c r="D91" t="s">
        <v>618</v>
      </c>
      <c r="E91" t="s">
        <v>618</v>
      </c>
      <c r="F91" t="s">
        <v>985</v>
      </c>
      <c r="G91" s="75">
        <v>0</v>
      </c>
      <c r="H91" t="s">
        <v>208</v>
      </c>
      <c r="I91" s="6">
        <v>0</v>
      </c>
      <c r="J91" s="78">
        <v>44819</v>
      </c>
      <c r="K91" s="78"/>
    </row>
    <row r="92" spans="2:11" x14ac:dyDescent="0.25">
      <c r="B92" t="s">
        <v>208</v>
      </c>
      <c r="C92" t="s">
        <v>986</v>
      </c>
      <c r="D92" t="s">
        <v>986</v>
      </c>
      <c r="E92" t="s">
        <v>987</v>
      </c>
      <c r="F92" t="s">
        <v>988</v>
      </c>
      <c r="G92" s="75">
        <v>0</v>
      </c>
      <c r="H92" t="s">
        <v>208</v>
      </c>
      <c r="I92" s="6">
        <v>0</v>
      </c>
      <c r="J92" s="78">
        <v>45775</v>
      </c>
      <c r="K92" s="78"/>
    </row>
    <row r="93" spans="2:11" x14ac:dyDescent="0.25">
      <c r="B93" t="s">
        <v>208</v>
      </c>
      <c r="C93" t="s">
        <v>986</v>
      </c>
      <c r="D93" t="s">
        <v>984</v>
      </c>
      <c r="E93" t="s">
        <v>208</v>
      </c>
      <c r="F93" t="s">
        <v>208</v>
      </c>
      <c r="G93" s="75">
        <v>0</v>
      </c>
      <c r="H93" t="s">
        <v>208</v>
      </c>
      <c r="I93" s="6">
        <v>0</v>
      </c>
      <c r="J93" s="78">
        <v>45775</v>
      </c>
      <c r="K93" s="78"/>
    </row>
    <row r="94" spans="2:11" x14ac:dyDescent="0.25">
      <c r="B94" t="s">
        <v>984</v>
      </c>
      <c r="C94" t="s">
        <v>986</v>
      </c>
      <c r="D94" t="s">
        <v>989</v>
      </c>
      <c r="E94" t="s">
        <v>822</v>
      </c>
      <c r="F94" t="s">
        <v>990</v>
      </c>
      <c r="G94" s="75">
        <v>0</v>
      </c>
      <c r="H94" t="s">
        <v>208</v>
      </c>
      <c r="I94" s="6">
        <v>0</v>
      </c>
      <c r="J94" s="78">
        <v>45775</v>
      </c>
      <c r="K94" s="78"/>
    </row>
    <row r="95" spans="2:11" x14ac:dyDescent="0.25">
      <c r="B95" t="s">
        <v>208</v>
      </c>
      <c r="C95" t="s">
        <v>991</v>
      </c>
      <c r="D95" t="s">
        <v>991</v>
      </c>
      <c r="E95" t="s">
        <v>992</v>
      </c>
      <c r="F95" t="s">
        <v>993</v>
      </c>
      <c r="G95" s="75">
        <v>0</v>
      </c>
      <c r="H95">
        <v>0</v>
      </c>
      <c r="I95" s="6">
        <v>5</v>
      </c>
      <c r="J95" s="78" t="s">
        <v>208</v>
      </c>
      <c r="K95" s="78"/>
    </row>
    <row r="96" spans="2:11" x14ac:dyDescent="0.25">
      <c r="B96" t="s">
        <v>208</v>
      </c>
      <c r="C96" t="s">
        <v>994</v>
      </c>
      <c r="D96" t="s">
        <v>994</v>
      </c>
      <c r="E96" t="s">
        <v>995</v>
      </c>
      <c r="F96" t="s">
        <v>996</v>
      </c>
      <c r="G96" s="75">
        <v>0</v>
      </c>
      <c r="H96" t="s">
        <v>208</v>
      </c>
      <c r="I96" s="6">
        <v>0</v>
      </c>
      <c r="J96" s="78" t="s">
        <v>208</v>
      </c>
      <c r="K96" s="78"/>
    </row>
    <row r="97" spans="2:11" x14ac:dyDescent="0.25">
      <c r="B97" t="s">
        <v>208</v>
      </c>
      <c r="C97" t="s">
        <v>997</v>
      </c>
      <c r="D97" t="s">
        <v>997</v>
      </c>
      <c r="E97" t="s">
        <v>208</v>
      </c>
      <c r="F97" t="s">
        <v>208</v>
      </c>
      <c r="G97" s="75">
        <v>122634</v>
      </c>
      <c r="H97">
        <v>1.573</v>
      </c>
      <c r="I97" s="6">
        <v>2</v>
      </c>
      <c r="J97" s="78" t="s">
        <v>208</v>
      </c>
      <c r="K97" s="78"/>
    </row>
    <row r="98" spans="2:11" x14ac:dyDescent="0.25">
      <c r="B98" t="s">
        <v>998</v>
      </c>
      <c r="C98" t="s">
        <v>997</v>
      </c>
      <c r="D98" t="s">
        <v>304</v>
      </c>
      <c r="E98" t="s">
        <v>814</v>
      </c>
      <c r="F98" t="s">
        <v>999</v>
      </c>
      <c r="G98" s="75">
        <v>122634</v>
      </c>
      <c r="H98">
        <v>1.573</v>
      </c>
      <c r="I98" s="6">
        <v>2</v>
      </c>
      <c r="J98" s="78">
        <v>38016</v>
      </c>
      <c r="K98" s="78"/>
    </row>
    <row r="99" spans="2:11" x14ac:dyDescent="0.25">
      <c r="B99" t="s">
        <v>208</v>
      </c>
      <c r="C99" t="s">
        <v>997</v>
      </c>
      <c r="D99" t="s">
        <v>1000</v>
      </c>
      <c r="E99" t="s">
        <v>208</v>
      </c>
      <c r="F99" t="s">
        <v>208</v>
      </c>
      <c r="G99" s="75">
        <v>122634</v>
      </c>
      <c r="H99">
        <v>1.573</v>
      </c>
      <c r="I99" s="6">
        <v>2</v>
      </c>
      <c r="J99" s="78" t="s">
        <v>208</v>
      </c>
      <c r="K99" s="78"/>
    </row>
    <row r="100" spans="2:11" x14ac:dyDescent="0.25">
      <c r="B100" t="s">
        <v>208</v>
      </c>
      <c r="C100" t="s">
        <v>997</v>
      </c>
      <c r="D100" t="s">
        <v>1001</v>
      </c>
      <c r="E100" t="s">
        <v>208</v>
      </c>
      <c r="F100" t="s">
        <v>208</v>
      </c>
      <c r="G100" s="75">
        <v>122634</v>
      </c>
      <c r="H100">
        <v>1.573</v>
      </c>
      <c r="I100" s="6">
        <v>2</v>
      </c>
      <c r="J100" s="78" t="s">
        <v>208</v>
      </c>
      <c r="K100" s="78"/>
    </row>
    <row r="101" spans="2:11" x14ac:dyDescent="0.25">
      <c r="B101" t="s">
        <v>208</v>
      </c>
      <c r="C101" s="5" t="s">
        <v>1002</v>
      </c>
      <c r="D101" s="5" t="s">
        <v>1002</v>
      </c>
      <c r="E101" s="5" t="s">
        <v>208</v>
      </c>
      <c r="F101" s="5" t="s">
        <v>208</v>
      </c>
      <c r="G101" s="75">
        <v>222969</v>
      </c>
      <c r="H101">
        <v>1.165</v>
      </c>
      <c r="I101" s="6">
        <v>4</v>
      </c>
      <c r="J101" s="78" t="s">
        <v>208</v>
      </c>
      <c r="K101" s="78"/>
    </row>
    <row r="102" spans="2:11" x14ac:dyDescent="0.25">
      <c r="B102" t="s">
        <v>1003</v>
      </c>
      <c r="C102" s="5" t="s">
        <v>1002</v>
      </c>
      <c r="D102" s="5" t="s">
        <v>457</v>
      </c>
      <c r="E102" s="5" t="s">
        <v>824</v>
      </c>
      <c r="F102" s="5" t="s">
        <v>1004</v>
      </c>
      <c r="G102" s="75">
        <v>222969</v>
      </c>
      <c r="H102">
        <v>1.165</v>
      </c>
      <c r="I102" s="6">
        <v>4</v>
      </c>
      <c r="J102" s="78">
        <v>37105</v>
      </c>
      <c r="K102" s="78"/>
    </row>
    <row r="103" spans="2:11" x14ac:dyDescent="0.25">
      <c r="B103" t="s">
        <v>208</v>
      </c>
      <c r="C103" s="5" t="s">
        <v>465</v>
      </c>
      <c r="D103" s="5" t="s">
        <v>465</v>
      </c>
      <c r="E103" s="5" t="s">
        <v>1005</v>
      </c>
      <c r="F103" s="5" t="s">
        <v>1006</v>
      </c>
      <c r="G103" s="75">
        <v>0</v>
      </c>
      <c r="H103" t="s">
        <v>208</v>
      </c>
      <c r="I103" s="6">
        <v>0</v>
      </c>
      <c r="J103" s="78">
        <v>44642</v>
      </c>
      <c r="K103" s="78"/>
    </row>
    <row r="104" spans="2:11" x14ac:dyDescent="0.25">
      <c r="B104" t="s">
        <v>208</v>
      </c>
      <c r="C104" t="s">
        <v>465</v>
      </c>
      <c r="D104" t="s">
        <v>1007</v>
      </c>
      <c r="E104" t="s">
        <v>208</v>
      </c>
      <c r="F104" t="s">
        <v>208</v>
      </c>
      <c r="G104" s="75">
        <v>0</v>
      </c>
      <c r="H104" t="s">
        <v>208</v>
      </c>
      <c r="I104" s="6">
        <v>0</v>
      </c>
      <c r="J104" s="78">
        <v>44642</v>
      </c>
      <c r="K104" s="78"/>
    </row>
    <row r="105" spans="2:11" x14ac:dyDescent="0.25">
      <c r="B105" t="s">
        <v>974</v>
      </c>
      <c r="C105" s="5" t="s">
        <v>467</v>
      </c>
      <c r="D105" s="5" t="s">
        <v>467</v>
      </c>
      <c r="E105" s="5" t="s">
        <v>1008</v>
      </c>
      <c r="F105" s="5" t="s">
        <v>1009</v>
      </c>
      <c r="G105" s="75">
        <v>320578</v>
      </c>
      <c r="H105">
        <v>0.67800000000000005</v>
      </c>
      <c r="I105" s="6">
        <v>4</v>
      </c>
      <c r="J105" s="78">
        <v>36920</v>
      </c>
      <c r="K105" s="78"/>
    </row>
    <row r="106" spans="2:11" x14ac:dyDescent="0.25">
      <c r="B106" t="s">
        <v>208</v>
      </c>
      <c r="C106" t="s">
        <v>467</v>
      </c>
      <c r="D106" t="s">
        <v>1010</v>
      </c>
      <c r="E106" t="s">
        <v>208</v>
      </c>
      <c r="F106" t="s">
        <v>208</v>
      </c>
      <c r="G106" s="75">
        <v>320578</v>
      </c>
      <c r="H106">
        <v>0.67800000000000005</v>
      </c>
      <c r="I106" s="6">
        <v>4</v>
      </c>
      <c r="J106" s="78"/>
      <c r="K106" s="78"/>
    </row>
    <row r="107" spans="2:11" x14ac:dyDescent="0.25">
      <c r="B107" t="s">
        <v>208</v>
      </c>
      <c r="C107" s="5" t="s">
        <v>467</v>
      </c>
      <c r="D107" s="5" t="s">
        <v>1011</v>
      </c>
      <c r="E107" s="5" t="s">
        <v>208</v>
      </c>
      <c r="F107" s="5" t="s">
        <v>208</v>
      </c>
      <c r="G107" s="75">
        <v>320578</v>
      </c>
      <c r="H107">
        <v>0.67800000000000005</v>
      </c>
      <c r="I107" s="6">
        <v>4</v>
      </c>
      <c r="J107" s="78"/>
      <c r="K107" s="78"/>
    </row>
    <row r="108" spans="2:11" x14ac:dyDescent="0.25">
      <c r="B108" t="s">
        <v>208</v>
      </c>
      <c r="C108" t="s">
        <v>1012</v>
      </c>
      <c r="D108" t="s">
        <v>1012</v>
      </c>
      <c r="E108" t="s">
        <v>208</v>
      </c>
      <c r="F108" t="s">
        <v>208</v>
      </c>
      <c r="G108" s="75">
        <v>0</v>
      </c>
      <c r="H108" t="s">
        <v>208</v>
      </c>
      <c r="I108" s="6">
        <v>0</v>
      </c>
      <c r="J108" s="78"/>
      <c r="K108" s="78"/>
    </row>
    <row r="109" spans="2:11" x14ac:dyDescent="0.25">
      <c r="B109" t="s">
        <v>208</v>
      </c>
      <c r="C109" t="s">
        <v>1013</v>
      </c>
      <c r="D109" t="s">
        <v>1013</v>
      </c>
      <c r="E109" t="s">
        <v>208</v>
      </c>
      <c r="F109" t="s">
        <v>208</v>
      </c>
      <c r="G109" s="75">
        <v>0</v>
      </c>
      <c r="H109" t="s">
        <v>208</v>
      </c>
      <c r="I109" s="6">
        <v>0</v>
      </c>
      <c r="J109" s="78"/>
      <c r="K109" s="78"/>
    </row>
    <row r="110" spans="2:11" x14ac:dyDescent="0.25">
      <c r="B110" t="s">
        <v>208</v>
      </c>
      <c r="C110" t="s">
        <v>1013</v>
      </c>
      <c r="D110" t="s">
        <v>1014</v>
      </c>
      <c r="E110" t="s">
        <v>208</v>
      </c>
      <c r="F110" t="s">
        <v>208</v>
      </c>
      <c r="G110" s="75">
        <v>0</v>
      </c>
      <c r="H110" t="s">
        <v>208</v>
      </c>
      <c r="I110" s="6">
        <v>0</v>
      </c>
      <c r="J110" s="78"/>
      <c r="K110" s="78"/>
    </row>
    <row r="111" spans="2:11" x14ac:dyDescent="0.25">
      <c r="B111" t="s">
        <v>208</v>
      </c>
      <c r="C111" t="s">
        <v>1013</v>
      </c>
      <c r="D111" t="s">
        <v>1015</v>
      </c>
      <c r="E111" t="s">
        <v>208</v>
      </c>
      <c r="F111" t="s">
        <v>208</v>
      </c>
      <c r="G111" s="75">
        <v>0</v>
      </c>
      <c r="H111" t="s">
        <v>208</v>
      </c>
      <c r="I111" s="6">
        <v>0</v>
      </c>
      <c r="J111" s="78"/>
      <c r="K111" s="78"/>
    </row>
    <row r="112" spans="2:11" x14ac:dyDescent="0.25">
      <c r="B112" t="s">
        <v>208</v>
      </c>
      <c r="C112" t="s">
        <v>1016</v>
      </c>
      <c r="D112" t="s">
        <v>1016</v>
      </c>
      <c r="E112" t="s">
        <v>208</v>
      </c>
      <c r="F112" t="s">
        <v>208</v>
      </c>
      <c r="G112" s="75">
        <v>0</v>
      </c>
      <c r="H112" t="s">
        <v>208</v>
      </c>
      <c r="I112" s="6">
        <v>0</v>
      </c>
      <c r="J112" s="78"/>
      <c r="K112" s="78"/>
    </row>
    <row r="113" spans="2:11" x14ac:dyDescent="0.25">
      <c r="B113" t="s">
        <v>1017</v>
      </c>
      <c r="C113" t="s">
        <v>477</v>
      </c>
      <c r="D113" t="s">
        <v>477</v>
      </c>
      <c r="E113" t="s">
        <v>1018</v>
      </c>
      <c r="F113" t="s">
        <v>1019</v>
      </c>
      <c r="G113" s="75">
        <v>7244</v>
      </c>
      <c r="H113" t="s">
        <v>208</v>
      </c>
      <c r="I113" s="6">
        <v>0</v>
      </c>
      <c r="J113" s="78">
        <v>43003</v>
      </c>
      <c r="K113" s="78"/>
    </row>
    <row r="114" spans="2:11" x14ac:dyDescent="0.25">
      <c r="B114" t="s">
        <v>208</v>
      </c>
      <c r="C114" t="s">
        <v>1020</v>
      </c>
      <c r="D114" t="s">
        <v>1020</v>
      </c>
      <c r="E114" t="s">
        <v>1021</v>
      </c>
      <c r="F114" t="s">
        <v>1022</v>
      </c>
      <c r="G114" s="75">
        <v>5174</v>
      </c>
      <c r="H114" t="s">
        <v>208</v>
      </c>
      <c r="I114" s="6">
        <v>0</v>
      </c>
      <c r="J114" s="78">
        <v>38244</v>
      </c>
      <c r="K114" s="78"/>
    </row>
    <row r="115" spans="2:11" x14ac:dyDescent="0.25">
      <c r="B115" t="s">
        <v>208</v>
      </c>
      <c r="C115" t="s">
        <v>1020</v>
      </c>
      <c r="D115" t="s">
        <v>1023</v>
      </c>
      <c r="E115" t="s">
        <v>208</v>
      </c>
      <c r="F115" t="s">
        <v>208</v>
      </c>
      <c r="G115" s="75">
        <v>5174</v>
      </c>
      <c r="H115" t="s">
        <v>208</v>
      </c>
      <c r="I115" s="6">
        <v>0</v>
      </c>
      <c r="J115" s="78"/>
      <c r="K115" s="78"/>
    </row>
    <row r="116" spans="2:11" x14ac:dyDescent="0.25">
      <c r="B116" t="s">
        <v>208</v>
      </c>
      <c r="C116" t="s">
        <v>1020</v>
      </c>
      <c r="D116" t="s">
        <v>1024</v>
      </c>
      <c r="E116" t="s">
        <v>208</v>
      </c>
      <c r="F116" t="s">
        <v>208</v>
      </c>
      <c r="G116" s="75">
        <v>5174</v>
      </c>
      <c r="H116" t="s">
        <v>208</v>
      </c>
      <c r="I116" s="6">
        <v>0</v>
      </c>
      <c r="J116" s="78"/>
      <c r="K116" s="78"/>
    </row>
    <row r="117" spans="2:11" x14ac:dyDescent="0.25">
      <c r="B117" t="s">
        <v>208</v>
      </c>
      <c r="C117" t="s">
        <v>1020</v>
      </c>
      <c r="D117" t="s">
        <v>1025</v>
      </c>
      <c r="E117" t="s">
        <v>208</v>
      </c>
      <c r="F117" t="s">
        <v>208</v>
      </c>
      <c r="G117" s="75">
        <v>5174</v>
      </c>
      <c r="H117" t="s">
        <v>208</v>
      </c>
      <c r="I117" s="6">
        <v>0</v>
      </c>
      <c r="J117" s="78"/>
      <c r="K117" s="78"/>
    </row>
    <row r="118" spans="2:11" x14ac:dyDescent="0.25">
      <c r="B118" t="s">
        <v>208</v>
      </c>
      <c r="C118" t="s">
        <v>1026</v>
      </c>
      <c r="D118" t="s">
        <v>1026</v>
      </c>
      <c r="E118" t="s">
        <v>208</v>
      </c>
      <c r="F118" t="s">
        <v>208</v>
      </c>
      <c r="G118" s="75">
        <v>0</v>
      </c>
      <c r="H118" t="s">
        <v>208</v>
      </c>
      <c r="I118" s="6">
        <v>0</v>
      </c>
      <c r="J118" s="78"/>
      <c r="K118" s="78"/>
    </row>
    <row r="119" spans="2:11" x14ac:dyDescent="0.25">
      <c r="B119" t="s">
        <v>208</v>
      </c>
      <c r="C119" t="s">
        <v>1027</v>
      </c>
      <c r="D119" t="s">
        <v>1027</v>
      </c>
      <c r="E119" t="s">
        <v>1028</v>
      </c>
      <c r="F119" t="s">
        <v>1029</v>
      </c>
      <c r="G119" s="75">
        <v>891</v>
      </c>
      <c r="H119" t="s">
        <v>208</v>
      </c>
      <c r="I119" s="6">
        <v>0</v>
      </c>
      <c r="J119" s="78">
        <v>44372</v>
      </c>
      <c r="K119" s="78"/>
    </row>
    <row r="120" spans="2:11" x14ac:dyDescent="0.25">
      <c r="B120" t="s">
        <v>208</v>
      </c>
      <c r="C120" t="s">
        <v>1030</v>
      </c>
      <c r="D120" t="s">
        <v>1030</v>
      </c>
      <c r="E120" t="s">
        <v>208</v>
      </c>
      <c r="F120" t="s">
        <v>208</v>
      </c>
      <c r="G120" s="75">
        <v>39501</v>
      </c>
      <c r="H120" t="s">
        <v>208</v>
      </c>
      <c r="I120" s="6">
        <v>0</v>
      </c>
      <c r="J120" s="78">
        <v>44099</v>
      </c>
      <c r="K120" s="78"/>
    </row>
    <row r="121" spans="2:11" x14ac:dyDescent="0.25">
      <c r="B121" t="s">
        <v>208</v>
      </c>
      <c r="C121" t="s">
        <v>1030</v>
      </c>
      <c r="D121" t="s">
        <v>1031</v>
      </c>
      <c r="E121" t="s">
        <v>1032</v>
      </c>
      <c r="F121" t="s">
        <v>1033</v>
      </c>
      <c r="G121" s="75">
        <v>39501</v>
      </c>
      <c r="H121" t="s">
        <v>208</v>
      </c>
      <c r="I121" s="6">
        <v>0</v>
      </c>
      <c r="J121" s="78"/>
      <c r="K121" s="78"/>
    </row>
    <row r="122" spans="2:11" x14ac:dyDescent="0.25">
      <c r="B122" t="s">
        <v>208</v>
      </c>
      <c r="C122" t="s">
        <v>1030</v>
      </c>
      <c r="D122" t="s">
        <v>1034</v>
      </c>
      <c r="E122" t="s">
        <v>1034</v>
      </c>
      <c r="F122" t="s">
        <v>1035</v>
      </c>
      <c r="G122" s="75">
        <v>39501</v>
      </c>
      <c r="H122" t="s">
        <v>208</v>
      </c>
      <c r="I122" s="6">
        <v>0</v>
      </c>
      <c r="J122" s="78">
        <v>44099</v>
      </c>
      <c r="K122" s="78"/>
    </row>
    <row r="123" spans="2:11" x14ac:dyDescent="0.25">
      <c r="B123" t="s">
        <v>208</v>
      </c>
      <c r="C123" t="s">
        <v>1030</v>
      </c>
      <c r="D123" t="s">
        <v>1036</v>
      </c>
      <c r="E123" t="s">
        <v>1036</v>
      </c>
      <c r="F123" t="s">
        <v>1037</v>
      </c>
      <c r="G123" s="75">
        <v>39501</v>
      </c>
      <c r="H123" t="s">
        <v>208</v>
      </c>
      <c r="I123" s="6">
        <v>0</v>
      </c>
      <c r="J123" s="78">
        <v>44099</v>
      </c>
      <c r="K123" s="78"/>
    </row>
    <row r="124" spans="2:11" x14ac:dyDescent="0.25">
      <c r="B124" t="s">
        <v>208</v>
      </c>
      <c r="C124" t="s">
        <v>1030</v>
      </c>
      <c r="D124" t="s">
        <v>1038</v>
      </c>
      <c r="E124" t="s">
        <v>1038</v>
      </c>
      <c r="F124" t="s">
        <v>1039</v>
      </c>
      <c r="G124" s="75">
        <v>39501</v>
      </c>
      <c r="H124" t="s">
        <v>208</v>
      </c>
      <c r="I124" s="6">
        <v>0</v>
      </c>
      <c r="J124" s="78">
        <v>44099</v>
      </c>
      <c r="K124" s="78"/>
    </row>
    <row r="125" spans="2:11" x14ac:dyDescent="0.25">
      <c r="B125" t="s">
        <v>208</v>
      </c>
      <c r="C125" t="s">
        <v>1030</v>
      </c>
      <c r="D125" t="s">
        <v>1040</v>
      </c>
      <c r="E125" t="s">
        <v>1040</v>
      </c>
      <c r="F125" t="s">
        <v>1041</v>
      </c>
      <c r="G125" s="75">
        <v>39501</v>
      </c>
      <c r="H125" t="s">
        <v>208</v>
      </c>
      <c r="I125" s="6">
        <v>0</v>
      </c>
      <c r="J125" s="78">
        <v>44099</v>
      </c>
      <c r="K125" s="78"/>
    </row>
    <row r="126" spans="2:11" x14ac:dyDescent="0.25">
      <c r="B126" t="s">
        <v>208</v>
      </c>
      <c r="C126" t="s">
        <v>1042</v>
      </c>
      <c r="D126" t="s">
        <v>1042</v>
      </c>
      <c r="E126" t="s">
        <v>208</v>
      </c>
      <c r="F126" t="s">
        <v>208</v>
      </c>
      <c r="G126" s="75">
        <v>214531</v>
      </c>
      <c r="H126">
        <v>1.8620000000000001</v>
      </c>
      <c r="I126" s="6">
        <v>2</v>
      </c>
      <c r="J126" s="78" t="s">
        <v>208</v>
      </c>
      <c r="K126" s="78"/>
    </row>
    <row r="127" spans="2:11" x14ac:dyDescent="0.25">
      <c r="B127" t="s">
        <v>998</v>
      </c>
      <c r="C127" t="s">
        <v>1042</v>
      </c>
      <c r="D127" t="s">
        <v>494</v>
      </c>
      <c r="E127" t="s">
        <v>830</v>
      </c>
      <c r="F127" t="s">
        <v>998</v>
      </c>
      <c r="G127" s="75">
        <v>214531</v>
      </c>
      <c r="H127">
        <v>1.8620000000000001</v>
      </c>
      <c r="I127" s="6">
        <v>2</v>
      </c>
      <c r="J127" s="78">
        <v>37482</v>
      </c>
      <c r="K127" s="78"/>
    </row>
    <row r="128" spans="2:11" x14ac:dyDescent="0.25">
      <c r="B128" t="s">
        <v>208</v>
      </c>
      <c r="C128" t="s">
        <v>1042</v>
      </c>
      <c r="D128" t="s">
        <v>1043</v>
      </c>
      <c r="E128" t="s">
        <v>208</v>
      </c>
      <c r="F128" t="s">
        <v>208</v>
      </c>
      <c r="G128" s="75">
        <v>214531</v>
      </c>
      <c r="H128">
        <v>1.8620000000000001</v>
      </c>
      <c r="I128" s="6">
        <v>2</v>
      </c>
      <c r="J128" s="78" t="s">
        <v>208</v>
      </c>
      <c r="K128" s="78"/>
    </row>
    <row r="129" spans="2:11" x14ac:dyDescent="0.25">
      <c r="B129" t="s">
        <v>208</v>
      </c>
      <c r="C129" t="s">
        <v>1042</v>
      </c>
      <c r="D129" t="s">
        <v>1044</v>
      </c>
      <c r="E129" t="s">
        <v>208</v>
      </c>
      <c r="F129" t="s">
        <v>208</v>
      </c>
      <c r="G129" s="75">
        <v>214531</v>
      </c>
      <c r="H129">
        <v>1.8620000000000001</v>
      </c>
      <c r="I129" s="6">
        <v>2</v>
      </c>
      <c r="J129" s="78" t="s">
        <v>208</v>
      </c>
      <c r="K129" s="78"/>
    </row>
    <row r="130" spans="2:11" x14ac:dyDescent="0.25">
      <c r="B130" t="s">
        <v>208</v>
      </c>
      <c r="C130" t="s">
        <v>1045</v>
      </c>
      <c r="D130" t="s">
        <v>1045</v>
      </c>
      <c r="E130" t="s">
        <v>208</v>
      </c>
      <c r="F130" t="s">
        <v>208</v>
      </c>
      <c r="G130" s="75">
        <v>0</v>
      </c>
      <c r="H130" t="s">
        <v>208</v>
      </c>
      <c r="I130" s="6">
        <v>0</v>
      </c>
      <c r="J130" s="78">
        <v>45394</v>
      </c>
      <c r="K130" s="78"/>
    </row>
    <row r="131" spans="2:11" x14ac:dyDescent="0.25">
      <c r="B131" t="s">
        <v>831</v>
      </c>
      <c r="C131" t="s">
        <v>1045</v>
      </c>
      <c r="D131" t="s">
        <v>1046</v>
      </c>
      <c r="E131" t="s">
        <v>831</v>
      </c>
      <c r="F131" t="s">
        <v>831</v>
      </c>
      <c r="G131" s="75">
        <v>0</v>
      </c>
      <c r="H131" t="s">
        <v>208</v>
      </c>
      <c r="I131" s="6">
        <v>0</v>
      </c>
      <c r="J131" s="78">
        <v>45394</v>
      </c>
      <c r="K131" s="78"/>
    </row>
    <row r="132" spans="2:11" x14ac:dyDescent="0.25">
      <c r="B132" t="s">
        <v>208</v>
      </c>
      <c r="C132" t="s">
        <v>1045</v>
      </c>
      <c r="D132" t="s">
        <v>1047</v>
      </c>
      <c r="E132" t="s">
        <v>208</v>
      </c>
      <c r="F132" t="s">
        <v>208</v>
      </c>
      <c r="G132" s="75">
        <v>0</v>
      </c>
      <c r="H132" t="s">
        <v>208</v>
      </c>
      <c r="I132" s="6">
        <v>0</v>
      </c>
      <c r="J132" s="78">
        <v>45394</v>
      </c>
      <c r="K132" s="78"/>
    </row>
    <row r="133" spans="2:11" x14ac:dyDescent="0.25">
      <c r="B133" t="s">
        <v>208</v>
      </c>
      <c r="C133" t="s">
        <v>1048</v>
      </c>
      <c r="D133" t="s">
        <v>1048</v>
      </c>
      <c r="E133" t="s">
        <v>208</v>
      </c>
      <c r="F133" t="s">
        <v>208</v>
      </c>
      <c r="G133" s="75">
        <v>0</v>
      </c>
      <c r="H133" t="s">
        <v>208</v>
      </c>
      <c r="I133" s="6">
        <v>0</v>
      </c>
      <c r="J133" s="78"/>
      <c r="K133" s="78"/>
    </row>
    <row r="134" spans="2:11" x14ac:dyDescent="0.25">
      <c r="B134" t="s">
        <v>208</v>
      </c>
      <c r="C134" t="s">
        <v>1049</v>
      </c>
      <c r="D134" t="s">
        <v>1049</v>
      </c>
      <c r="E134" t="s">
        <v>208</v>
      </c>
      <c r="F134" t="s">
        <v>208</v>
      </c>
      <c r="G134" s="75">
        <v>0</v>
      </c>
      <c r="H134" t="s">
        <v>208</v>
      </c>
      <c r="I134" s="6">
        <v>0</v>
      </c>
      <c r="J134" s="78"/>
      <c r="K134" s="78"/>
    </row>
    <row r="135" spans="2:11" x14ac:dyDescent="0.25">
      <c r="B135" t="s">
        <v>208</v>
      </c>
      <c r="C135" t="s">
        <v>1050</v>
      </c>
      <c r="D135" t="s">
        <v>1050</v>
      </c>
      <c r="E135" t="s">
        <v>208</v>
      </c>
      <c r="F135" t="s">
        <v>208</v>
      </c>
      <c r="G135" s="75">
        <v>0</v>
      </c>
      <c r="H135" t="s">
        <v>208</v>
      </c>
      <c r="I135" s="6">
        <v>0</v>
      </c>
      <c r="J135" s="78"/>
      <c r="K135" s="78"/>
    </row>
    <row r="136" spans="2:11" x14ac:dyDescent="0.25">
      <c r="B136" t="s">
        <v>208</v>
      </c>
      <c r="C136" t="s">
        <v>1050</v>
      </c>
      <c r="D136" t="s">
        <v>1051</v>
      </c>
      <c r="E136" t="s">
        <v>208</v>
      </c>
      <c r="F136" t="s">
        <v>208</v>
      </c>
      <c r="G136" s="75">
        <v>0</v>
      </c>
      <c r="H136" t="s">
        <v>208</v>
      </c>
      <c r="I136" s="6">
        <v>0</v>
      </c>
      <c r="J136" s="78"/>
      <c r="K136" s="78"/>
    </row>
    <row r="137" spans="2:11" x14ac:dyDescent="0.25">
      <c r="B137" t="s">
        <v>208</v>
      </c>
      <c r="C137" t="s">
        <v>1050</v>
      </c>
      <c r="D137" t="s">
        <v>1052</v>
      </c>
      <c r="E137" t="s">
        <v>208</v>
      </c>
      <c r="F137" t="s">
        <v>208</v>
      </c>
      <c r="G137" s="75">
        <v>0</v>
      </c>
      <c r="H137" t="s">
        <v>208</v>
      </c>
      <c r="I137" s="6">
        <v>0</v>
      </c>
      <c r="J137" s="78"/>
      <c r="K137" s="78"/>
    </row>
    <row r="138" spans="2:11" x14ac:dyDescent="0.25">
      <c r="B138" t="s">
        <v>208</v>
      </c>
      <c r="C138" t="s">
        <v>1050</v>
      </c>
      <c r="D138" t="s">
        <v>1053</v>
      </c>
      <c r="E138" t="s">
        <v>208</v>
      </c>
      <c r="F138" t="s">
        <v>208</v>
      </c>
      <c r="G138" s="75">
        <v>0</v>
      </c>
      <c r="H138" t="s">
        <v>208</v>
      </c>
      <c r="I138" s="6">
        <v>0</v>
      </c>
      <c r="J138" s="78"/>
      <c r="K138" s="78"/>
    </row>
    <row r="139" spans="2:11" x14ac:dyDescent="0.25">
      <c r="B139" t="s">
        <v>208</v>
      </c>
      <c r="C139" t="s">
        <v>1050</v>
      </c>
      <c r="D139" t="s">
        <v>1054</v>
      </c>
      <c r="E139" t="s">
        <v>208</v>
      </c>
      <c r="F139" t="s">
        <v>208</v>
      </c>
      <c r="G139" s="75">
        <v>0</v>
      </c>
      <c r="H139" t="s">
        <v>208</v>
      </c>
      <c r="I139" s="6">
        <v>0</v>
      </c>
      <c r="J139" s="78"/>
      <c r="K139" s="78"/>
    </row>
    <row r="140" spans="2:11" x14ac:dyDescent="0.25">
      <c r="B140" t="s">
        <v>208</v>
      </c>
      <c r="C140" t="s">
        <v>1055</v>
      </c>
      <c r="D140" t="s">
        <v>1055</v>
      </c>
      <c r="E140" t="s">
        <v>208</v>
      </c>
      <c r="F140" t="s">
        <v>208</v>
      </c>
      <c r="G140" s="75">
        <v>0</v>
      </c>
      <c r="H140">
        <v>1.242</v>
      </c>
      <c r="I140" s="6">
        <v>3</v>
      </c>
      <c r="J140" s="78">
        <v>44529</v>
      </c>
      <c r="K140" s="78"/>
    </row>
    <row r="141" spans="2:11" x14ac:dyDescent="0.25">
      <c r="B141" t="s">
        <v>208</v>
      </c>
      <c r="C141" t="s">
        <v>1055</v>
      </c>
      <c r="D141" t="s">
        <v>1056</v>
      </c>
      <c r="E141" t="s">
        <v>1056</v>
      </c>
      <c r="F141" t="s">
        <v>1056</v>
      </c>
      <c r="G141" s="75">
        <v>0</v>
      </c>
      <c r="H141">
        <v>1.242</v>
      </c>
      <c r="I141" s="6">
        <v>3</v>
      </c>
      <c r="J141" s="78">
        <v>44529</v>
      </c>
      <c r="K141" s="78"/>
    </row>
    <row r="142" spans="2:11" x14ac:dyDescent="0.25">
      <c r="B142" t="s">
        <v>208</v>
      </c>
      <c r="C142" t="s">
        <v>1057</v>
      </c>
      <c r="D142" t="s">
        <v>1057</v>
      </c>
      <c r="E142" t="s">
        <v>208</v>
      </c>
      <c r="F142" t="s">
        <v>208</v>
      </c>
      <c r="G142" s="75">
        <v>0</v>
      </c>
      <c r="H142" t="s">
        <v>208</v>
      </c>
      <c r="I142" s="6">
        <v>0</v>
      </c>
      <c r="J142" s="78"/>
      <c r="K142" s="78"/>
    </row>
    <row r="143" spans="2:11" x14ac:dyDescent="0.25">
      <c r="B143" t="s">
        <v>208</v>
      </c>
      <c r="C143" t="s">
        <v>1058</v>
      </c>
      <c r="D143" t="s">
        <v>1058</v>
      </c>
      <c r="E143" t="s">
        <v>1059</v>
      </c>
      <c r="F143" t="s">
        <v>1060</v>
      </c>
      <c r="G143" s="75">
        <v>5739</v>
      </c>
      <c r="H143" t="s">
        <v>208</v>
      </c>
      <c r="I143" s="6">
        <v>0</v>
      </c>
      <c r="J143" s="78">
        <v>39506</v>
      </c>
      <c r="K143" s="78"/>
    </row>
    <row r="144" spans="2:11" x14ac:dyDescent="0.25">
      <c r="B144" t="s">
        <v>208</v>
      </c>
      <c r="C144" t="s">
        <v>1061</v>
      </c>
      <c r="D144" t="s">
        <v>1061</v>
      </c>
      <c r="E144" t="s">
        <v>1062</v>
      </c>
      <c r="F144" t="s">
        <v>1063</v>
      </c>
      <c r="G144" s="75">
        <v>24160</v>
      </c>
      <c r="H144">
        <v>1.325</v>
      </c>
      <c r="I144" s="6">
        <v>3</v>
      </c>
      <c r="J144" s="78">
        <v>39731</v>
      </c>
      <c r="K144" s="78"/>
    </row>
    <row r="145" spans="2:11" x14ac:dyDescent="0.25">
      <c r="B145" t="s">
        <v>208</v>
      </c>
      <c r="C145" t="s">
        <v>1061</v>
      </c>
      <c r="D145" t="s">
        <v>1064</v>
      </c>
      <c r="E145" t="s">
        <v>208</v>
      </c>
      <c r="F145" t="s">
        <v>208</v>
      </c>
      <c r="G145" s="75">
        <v>24160</v>
      </c>
      <c r="H145">
        <v>1.325</v>
      </c>
      <c r="I145" s="6">
        <v>3</v>
      </c>
      <c r="J145" s="78" t="s">
        <v>208</v>
      </c>
      <c r="K145" s="78"/>
    </row>
    <row r="146" spans="2:11" x14ac:dyDescent="0.25">
      <c r="B146" t="s">
        <v>208</v>
      </c>
      <c r="C146" t="s">
        <v>1061</v>
      </c>
      <c r="D146" t="s">
        <v>1065</v>
      </c>
      <c r="E146" t="s">
        <v>1066</v>
      </c>
      <c r="F146" t="s">
        <v>1067</v>
      </c>
      <c r="G146" s="75">
        <v>24160</v>
      </c>
      <c r="H146">
        <v>1.325</v>
      </c>
      <c r="I146" s="6">
        <v>3</v>
      </c>
      <c r="J146" s="78">
        <v>39731</v>
      </c>
      <c r="K146" s="78"/>
    </row>
    <row r="147" spans="2:11" x14ac:dyDescent="0.25">
      <c r="B147" t="s">
        <v>1068</v>
      </c>
      <c r="C147" t="s">
        <v>1069</v>
      </c>
      <c r="D147" t="s">
        <v>1069</v>
      </c>
      <c r="E147" t="s">
        <v>1070</v>
      </c>
      <c r="F147" t="s">
        <v>1071</v>
      </c>
      <c r="G147" s="75">
        <v>0</v>
      </c>
      <c r="H147" t="s">
        <v>208</v>
      </c>
      <c r="I147" s="6">
        <v>0</v>
      </c>
      <c r="J147" s="78">
        <v>45671</v>
      </c>
      <c r="K147" s="78"/>
    </row>
    <row r="148" spans="2:11" x14ac:dyDescent="0.25">
      <c r="B148" t="s">
        <v>208</v>
      </c>
      <c r="C148" t="s">
        <v>539</v>
      </c>
      <c r="D148" t="s">
        <v>539</v>
      </c>
      <c r="E148" t="s">
        <v>527</v>
      </c>
      <c r="F148" t="s">
        <v>1072</v>
      </c>
      <c r="G148" s="75">
        <v>6420</v>
      </c>
      <c r="H148">
        <v>4.5250000000000004</v>
      </c>
      <c r="I148" s="6">
        <v>1</v>
      </c>
      <c r="J148" s="78">
        <v>43585</v>
      </c>
      <c r="K148" s="78"/>
    </row>
    <row r="149" spans="2:11" x14ac:dyDescent="0.25">
      <c r="B149" t="s">
        <v>208</v>
      </c>
      <c r="C149" t="s">
        <v>539</v>
      </c>
      <c r="D149" t="s">
        <v>1073</v>
      </c>
      <c r="E149" t="s">
        <v>208</v>
      </c>
      <c r="F149" t="s">
        <v>208</v>
      </c>
      <c r="G149" s="75">
        <v>6420</v>
      </c>
      <c r="H149">
        <v>4.5250000000000004</v>
      </c>
      <c r="I149" s="6">
        <v>1</v>
      </c>
      <c r="J149" s="78"/>
      <c r="K149" s="78"/>
    </row>
    <row r="150" spans="2:11" x14ac:dyDescent="0.25">
      <c r="B150" t="s">
        <v>208</v>
      </c>
      <c r="C150" t="s">
        <v>539</v>
      </c>
      <c r="D150" t="s">
        <v>1074</v>
      </c>
      <c r="E150" t="s">
        <v>208</v>
      </c>
      <c r="F150" t="s">
        <v>208</v>
      </c>
      <c r="G150" s="75">
        <v>6420</v>
      </c>
      <c r="H150">
        <v>4.5250000000000004</v>
      </c>
      <c r="I150" s="6">
        <v>1</v>
      </c>
      <c r="J150" s="78"/>
      <c r="K150" s="78"/>
    </row>
    <row r="151" spans="2:11" x14ac:dyDescent="0.25">
      <c r="B151" t="s">
        <v>208</v>
      </c>
      <c r="C151" t="s">
        <v>539</v>
      </c>
      <c r="D151" t="s">
        <v>1072</v>
      </c>
      <c r="E151" t="s">
        <v>208</v>
      </c>
      <c r="F151" t="s">
        <v>208</v>
      </c>
      <c r="G151" s="75">
        <v>6420</v>
      </c>
      <c r="H151">
        <v>4.5250000000000004</v>
      </c>
      <c r="I151" s="6">
        <v>1</v>
      </c>
      <c r="J151" s="78"/>
      <c r="K151" s="78"/>
    </row>
    <row r="152" spans="2:11" x14ac:dyDescent="0.25">
      <c r="B152" t="s">
        <v>208</v>
      </c>
      <c r="C152" t="s">
        <v>539</v>
      </c>
      <c r="D152" t="s">
        <v>527</v>
      </c>
      <c r="E152" t="s">
        <v>527</v>
      </c>
      <c r="F152" t="s">
        <v>1072</v>
      </c>
      <c r="G152" s="75">
        <v>6420</v>
      </c>
      <c r="H152">
        <v>4.5250000000000004</v>
      </c>
      <c r="I152" s="6">
        <v>1</v>
      </c>
      <c r="J152" s="78">
        <v>43585</v>
      </c>
      <c r="K152" s="78"/>
    </row>
    <row r="153" spans="2:11" x14ac:dyDescent="0.25">
      <c r="B153" t="s">
        <v>208</v>
      </c>
      <c r="C153" t="s">
        <v>1075</v>
      </c>
      <c r="D153" t="s">
        <v>1075</v>
      </c>
      <c r="E153" t="s">
        <v>1076</v>
      </c>
      <c r="F153" t="s">
        <v>1076</v>
      </c>
      <c r="G153" s="75">
        <v>35</v>
      </c>
      <c r="H153" t="s">
        <v>208</v>
      </c>
      <c r="I153" s="6">
        <v>0</v>
      </c>
      <c r="J153" s="78">
        <v>44123</v>
      </c>
      <c r="K153" s="78"/>
    </row>
    <row r="154" spans="2:11" x14ac:dyDescent="0.25">
      <c r="B154" t="s">
        <v>208</v>
      </c>
      <c r="C154" t="s">
        <v>1075</v>
      </c>
      <c r="D154" t="s">
        <v>834</v>
      </c>
      <c r="E154" t="s">
        <v>1076</v>
      </c>
      <c r="F154" t="s">
        <v>1076</v>
      </c>
      <c r="G154" s="75">
        <v>35</v>
      </c>
      <c r="H154" t="s">
        <v>208</v>
      </c>
      <c r="I154" s="6">
        <v>0</v>
      </c>
      <c r="J154" s="78">
        <v>44123</v>
      </c>
      <c r="K154" s="78"/>
    </row>
    <row r="155" spans="2:11" x14ac:dyDescent="0.25">
      <c r="B155" t="s">
        <v>208</v>
      </c>
      <c r="C155" t="s">
        <v>1075</v>
      </c>
      <c r="D155" t="s">
        <v>1077</v>
      </c>
      <c r="E155" t="s">
        <v>208</v>
      </c>
      <c r="F155" t="s">
        <v>208</v>
      </c>
      <c r="G155" s="75">
        <v>35</v>
      </c>
      <c r="H155" t="s">
        <v>208</v>
      </c>
      <c r="I155" s="6">
        <v>0</v>
      </c>
      <c r="J155" s="78">
        <v>44123</v>
      </c>
      <c r="K155" s="78"/>
    </row>
    <row r="156" spans="2:11" x14ac:dyDescent="0.25">
      <c r="B156" t="s">
        <v>208</v>
      </c>
      <c r="C156" t="s">
        <v>1078</v>
      </c>
      <c r="D156" t="s">
        <v>1078</v>
      </c>
      <c r="E156" t="s">
        <v>1079</v>
      </c>
      <c r="F156" t="s">
        <v>1080</v>
      </c>
      <c r="G156" s="75">
        <v>0</v>
      </c>
      <c r="H156" t="s">
        <v>208</v>
      </c>
      <c r="I156" s="6">
        <v>0</v>
      </c>
      <c r="J156" s="78">
        <v>44862</v>
      </c>
      <c r="K156" s="78"/>
    </row>
    <row r="157" spans="2:11" x14ac:dyDescent="0.25">
      <c r="B157" t="s">
        <v>208</v>
      </c>
      <c r="C157" t="s">
        <v>1081</v>
      </c>
      <c r="D157" t="s">
        <v>1081</v>
      </c>
      <c r="E157" t="s">
        <v>208</v>
      </c>
      <c r="F157" t="s">
        <v>208</v>
      </c>
      <c r="G157" s="75">
        <v>0</v>
      </c>
      <c r="H157" t="s">
        <v>208</v>
      </c>
      <c r="I157" s="6">
        <v>0</v>
      </c>
      <c r="J157" s="78"/>
      <c r="K157" s="78"/>
    </row>
    <row r="158" spans="2:11" x14ac:dyDescent="0.25">
      <c r="B158" t="s">
        <v>208</v>
      </c>
      <c r="C158" t="s">
        <v>1082</v>
      </c>
      <c r="D158" t="s">
        <v>1082</v>
      </c>
      <c r="E158" t="s">
        <v>208</v>
      </c>
      <c r="F158" t="s">
        <v>208</v>
      </c>
      <c r="G158" s="75">
        <v>0</v>
      </c>
      <c r="H158" t="s">
        <v>208</v>
      </c>
      <c r="I158" s="6">
        <v>0</v>
      </c>
      <c r="J158" s="78"/>
      <c r="K158" s="78"/>
    </row>
    <row r="159" spans="2:11" x14ac:dyDescent="0.25">
      <c r="B159" t="s">
        <v>208</v>
      </c>
      <c r="C159" t="s">
        <v>1083</v>
      </c>
      <c r="D159" t="s">
        <v>1083</v>
      </c>
      <c r="E159" t="s">
        <v>1084</v>
      </c>
      <c r="F159" t="s">
        <v>1085</v>
      </c>
      <c r="G159" s="75">
        <v>15428</v>
      </c>
      <c r="H159" t="s">
        <v>208</v>
      </c>
      <c r="I159" s="6">
        <v>0</v>
      </c>
      <c r="J159" s="78" t="s">
        <v>208</v>
      </c>
      <c r="K159" s="78"/>
    </row>
    <row r="160" spans="2:11" x14ac:dyDescent="0.25">
      <c r="B160" t="s">
        <v>208</v>
      </c>
      <c r="C160" t="s">
        <v>1083</v>
      </c>
      <c r="D160" t="s">
        <v>1086</v>
      </c>
      <c r="E160" t="s">
        <v>1086</v>
      </c>
      <c r="F160" t="s">
        <v>1085</v>
      </c>
      <c r="G160" s="75">
        <v>15428</v>
      </c>
      <c r="H160" t="s">
        <v>208</v>
      </c>
      <c r="I160" s="6">
        <v>0</v>
      </c>
      <c r="J160" s="78">
        <v>42807</v>
      </c>
      <c r="K160" s="78"/>
    </row>
    <row r="161" spans="2:11" x14ac:dyDescent="0.25">
      <c r="B161" t="s">
        <v>208</v>
      </c>
      <c r="C161" t="s">
        <v>1087</v>
      </c>
      <c r="D161" t="s">
        <v>1087</v>
      </c>
      <c r="E161" t="s">
        <v>1088</v>
      </c>
      <c r="F161" t="s">
        <v>1089</v>
      </c>
      <c r="G161" s="75">
        <v>116912</v>
      </c>
      <c r="H161">
        <v>4.335</v>
      </c>
      <c r="I161" s="6">
        <v>1</v>
      </c>
      <c r="J161" s="78">
        <v>43434</v>
      </c>
      <c r="K161" s="78"/>
    </row>
    <row r="162" spans="2:11" x14ac:dyDescent="0.25">
      <c r="B162" t="s">
        <v>208</v>
      </c>
      <c r="C162" t="s">
        <v>1087</v>
      </c>
      <c r="D162" t="s">
        <v>1090</v>
      </c>
      <c r="E162" t="s">
        <v>1091</v>
      </c>
      <c r="F162" t="s">
        <v>1091</v>
      </c>
      <c r="G162" s="75">
        <v>116912</v>
      </c>
      <c r="H162">
        <v>4.335</v>
      </c>
      <c r="I162" s="6">
        <v>1</v>
      </c>
      <c r="J162" s="78">
        <v>43434</v>
      </c>
      <c r="K162" s="78"/>
    </row>
    <row r="163" spans="2:11" x14ac:dyDescent="0.25">
      <c r="B163" t="s">
        <v>208</v>
      </c>
      <c r="C163" t="s">
        <v>1087</v>
      </c>
      <c r="D163" t="s">
        <v>1092</v>
      </c>
      <c r="E163" t="s">
        <v>1092</v>
      </c>
      <c r="F163" t="s">
        <v>1093</v>
      </c>
      <c r="G163" s="75">
        <v>116912</v>
      </c>
      <c r="H163">
        <v>4.335</v>
      </c>
      <c r="I163" s="6">
        <v>1</v>
      </c>
      <c r="J163" s="78">
        <v>43434</v>
      </c>
      <c r="K163" s="78"/>
    </row>
    <row r="164" spans="2:11" x14ac:dyDescent="0.25">
      <c r="B164" t="s">
        <v>208</v>
      </c>
      <c r="C164" t="s">
        <v>1087</v>
      </c>
      <c r="D164" t="s">
        <v>1094</v>
      </c>
      <c r="E164" t="s">
        <v>1094</v>
      </c>
      <c r="F164" t="s">
        <v>1095</v>
      </c>
      <c r="G164" s="75">
        <v>116912</v>
      </c>
      <c r="H164">
        <v>4.335</v>
      </c>
      <c r="I164" s="6">
        <v>1</v>
      </c>
      <c r="J164" s="78">
        <v>43434</v>
      </c>
      <c r="K164" s="78"/>
    </row>
    <row r="165" spans="2:11" x14ac:dyDescent="0.25">
      <c r="B165" t="s">
        <v>208</v>
      </c>
      <c r="C165" t="s">
        <v>1087</v>
      </c>
      <c r="D165" t="s">
        <v>1096</v>
      </c>
      <c r="E165" t="s">
        <v>1096</v>
      </c>
      <c r="F165" t="s">
        <v>1096</v>
      </c>
      <c r="G165" s="75">
        <v>116912</v>
      </c>
      <c r="H165">
        <v>4.335</v>
      </c>
      <c r="I165" s="6">
        <v>1</v>
      </c>
      <c r="J165" s="78">
        <v>43434</v>
      </c>
      <c r="K165" s="78"/>
    </row>
    <row r="166" spans="2:11" x14ac:dyDescent="0.25">
      <c r="B166" t="s">
        <v>208</v>
      </c>
      <c r="C166" t="s">
        <v>1097</v>
      </c>
      <c r="D166" t="s">
        <v>1097</v>
      </c>
      <c r="E166" t="s">
        <v>208</v>
      </c>
      <c r="F166" t="s">
        <v>208</v>
      </c>
      <c r="G166" s="75">
        <v>0</v>
      </c>
      <c r="H166">
        <v>2.7330000000000001</v>
      </c>
      <c r="I166" s="6">
        <v>1</v>
      </c>
      <c r="J166" s="78">
        <v>44782</v>
      </c>
      <c r="K166" s="78"/>
    </row>
    <row r="167" spans="2:11" x14ac:dyDescent="0.25">
      <c r="B167" t="s">
        <v>208</v>
      </c>
      <c r="C167" t="s">
        <v>1097</v>
      </c>
      <c r="D167" t="s">
        <v>811</v>
      </c>
      <c r="E167" t="s">
        <v>811</v>
      </c>
      <c r="F167" t="s">
        <v>1098</v>
      </c>
      <c r="G167" s="75">
        <v>0</v>
      </c>
      <c r="H167">
        <v>2.7330000000000001</v>
      </c>
      <c r="I167" s="6">
        <v>1</v>
      </c>
      <c r="J167" s="78">
        <v>44782</v>
      </c>
      <c r="K167" s="78"/>
    </row>
    <row r="168" spans="2:11" x14ac:dyDescent="0.25">
      <c r="B168" t="s">
        <v>208</v>
      </c>
      <c r="C168" t="s">
        <v>1099</v>
      </c>
      <c r="D168" t="s">
        <v>1099</v>
      </c>
      <c r="E168" t="s">
        <v>208</v>
      </c>
      <c r="F168" t="s">
        <v>208</v>
      </c>
      <c r="G168" s="75">
        <v>1342806</v>
      </c>
      <c r="H168">
        <v>0.53900000000000003</v>
      </c>
      <c r="I168" s="6">
        <v>5</v>
      </c>
      <c r="J168" s="78" t="s">
        <v>208</v>
      </c>
      <c r="K168" s="78"/>
    </row>
    <row r="169" spans="2:11" x14ac:dyDescent="0.25">
      <c r="B169" t="s">
        <v>974</v>
      </c>
      <c r="C169" t="s">
        <v>1099</v>
      </c>
      <c r="D169" t="s">
        <v>552</v>
      </c>
      <c r="E169" t="s">
        <v>836</v>
      </c>
      <c r="F169" t="s">
        <v>836</v>
      </c>
      <c r="G169" s="75">
        <v>1342806</v>
      </c>
      <c r="H169">
        <v>0.53900000000000003</v>
      </c>
      <c r="I169" s="6">
        <v>5</v>
      </c>
      <c r="J169" s="78">
        <v>36896</v>
      </c>
      <c r="K169" s="78"/>
    </row>
    <row r="170" spans="2:11" x14ac:dyDescent="0.25">
      <c r="B170" t="s">
        <v>208</v>
      </c>
      <c r="C170" t="s">
        <v>1099</v>
      </c>
      <c r="D170" t="s">
        <v>1100</v>
      </c>
      <c r="E170" t="s">
        <v>208</v>
      </c>
      <c r="F170" t="s">
        <v>208</v>
      </c>
      <c r="G170" s="75">
        <v>1342806</v>
      </c>
      <c r="H170">
        <v>0.53900000000000003</v>
      </c>
      <c r="I170" s="6">
        <v>5</v>
      </c>
      <c r="J170" s="78" t="s">
        <v>208</v>
      </c>
      <c r="K170" s="78"/>
    </row>
    <row r="171" spans="2:11" x14ac:dyDescent="0.25">
      <c r="B171" t="s">
        <v>208</v>
      </c>
      <c r="C171" t="s">
        <v>1099</v>
      </c>
      <c r="D171" t="s">
        <v>1101</v>
      </c>
      <c r="E171" t="s">
        <v>208</v>
      </c>
      <c r="F171" t="s">
        <v>208</v>
      </c>
      <c r="G171" s="75">
        <v>1342806</v>
      </c>
      <c r="H171">
        <v>0.53900000000000003</v>
      </c>
      <c r="I171" s="6">
        <v>5</v>
      </c>
      <c r="J171" s="78" t="s">
        <v>208</v>
      </c>
      <c r="K171" s="78"/>
    </row>
    <row r="172" spans="2:11" x14ac:dyDescent="0.25">
      <c r="B172" t="s">
        <v>208</v>
      </c>
      <c r="C172" t="s">
        <v>1102</v>
      </c>
      <c r="D172" t="s">
        <v>1102</v>
      </c>
      <c r="E172" t="s">
        <v>208</v>
      </c>
      <c r="F172" t="s">
        <v>208</v>
      </c>
      <c r="G172" s="75">
        <v>0</v>
      </c>
      <c r="H172" t="s">
        <v>208</v>
      </c>
      <c r="I172" s="6">
        <v>0</v>
      </c>
      <c r="J172" s="78" t="s">
        <v>208</v>
      </c>
      <c r="K172" s="78"/>
    </row>
    <row r="173" spans="2:11" x14ac:dyDescent="0.25">
      <c r="B173" t="s">
        <v>208</v>
      </c>
      <c r="C173" t="s">
        <v>1102</v>
      </c>
      <c r="D173" t="s">
        <v>1103</v>
      </c>
      <c r="E173" t="s">
        <v>208</v>
      </c>
      <c r="F173" t="s">
        <v>208</v>
      </c>
      <c r="G173" s="75">
        <v>0</v>
      </c>
      <c r="H173" t="s">
        <v>208</v>
      </c>
      <c r="I173" s="6">
        <v>0</v>
      </c>
      <c r="J173" s="78"/>
      <c r="K173" s="78"/>
    </row>
    <row r="174" spans="2:11" x14ac:dyDescent="0.25">
      <c r="B174" t="s">
        <v>208</v>
      </c>
      <c r="C174" t="s">
        <v>1104</v>
      </c>
      <c r="D174" t="s">
        <v>1104</v>
      </c>
      <c r="E174" t="s">
        <v>208</v>
      </c>
      <c r="F174" t="s">
        <v>208</v>
      </c>
      <c r="G174" s="75">
        <v>0</v>
      </c>
      <c r="H174" t="s">
        <v>208</v>
      </c>
      <c r="I174" s="6">
        <v>0</v>
      </c>
      <c r="J174" s="78">
        <v>39729</v>
      </c>
      <c r="K174" s="78"/>
    </row>
    <row r="175" spans="2:11" x14ac:dyDescent="0.25">
      <c r="B175" t="s">
        <v>1003</v>
      </c>
      <c r="C175" t="s">
        <v>1104</v>
      </c>
      <c r="D175" t="s">
        <v>414</v>
      </c>
      <c r="E175" t="s">
        <v>414</v>
      </c>
      <c r="F175" t="s">
        <v>1105</v>
      </c>
      <c r="G175" s="75">
        <v>0</v>
      </c>
      <c r="H175" t="s">
        <v>208</v>
      </c>
      <c r="I175" s="6">
        <v>0</v>
      </c>
      <c r="J175" s="78">
        <v>39729</v>
      </c>
      <c r="K175" s="78"/>
    </row>
    <row r="176" spans="2:11" x14ac:dyDescent="0.25">
      <c r="B176" t="s">
        <v>1003</v>
      </c>
      <c r="C176" t="s">
        <v>1104</v>
      </c>
      <c r="D176" t="s">
        <v>451</v>
      </c>
      <c r="E176" t="s">
        <v>823</v>
      </c>
      <c r="F176" t="s">
        <v>1106</v>
      </c>
      <c r="G176" s="75">
        <v>0</v>
      </c>
      <c r="H176" t="s">
        <v>208</v>
      </c>
      <c r="I176" s="6">
        <v>0</v>
      </c>
      <c r="J176" s="78">
        <v>39729</v>
      </c>
      <c r="K176" s="78"/>
    </row>
    <row r="177" spans="2:11" x14ac:dyDescent="0.25">
      <c r="B177" t="s">
        <v>208</v>
      </c>
      <c r="C177" t="s">
        <v>559</v>
      </c>
      <c r="D177" t="s">
        <v>559</v>
      </c>
      <c r="E177" t="s">
        <v>1107</v>
      </c>
      <c r="F177" t="s">
        <v>1108</v>
      </c>
      <c r="G177" s="75">
        <v>0</v>
      </c>
      <c r="H177">
        <v>0.123</v>
      </c>
      <c r="I177" s="6">
        <v>5</v>
      </c>
      <c r="J177" s="78">
        <v>44560</v>
      </c>
      <c r="K177" s="78"/>
    </row>
    <row r="178" spans="2:11" x14ac:dyDescent="0.25">
      <c r="B178" t="s">
        <v>208</v>
      </c>
      <c r="C178" t="s">
        <v>559</v>
      </c>
      <c r="D178" t="s">
        <v>478</v>
      </c>
      <c r="E178" t="s">
        <v>828</v>
      </c>
      <c r="F178" t="s">
        <v>1109</v>
      </c>
      <c r="G178" s="75">
        <v>0</v>
      </c>
      <c r="H178">
        <v>0.123</v>
      </c>
      <c r="I178" s="6">
        <v>5</v>
      </c>
      <c r="J178" s="78">
        <v>44560</v>
      </c>
      <c r="K178" s="78"/>
    </row>
    <row r="179" spans="2:11" x14ac:dyDescent="0.25">
      <c r="B179" t="s">
        <v>208</v>
      </c>
      <c r="C179" t="s">
        <v>559</v>
      </c>
      <c r="D179" t="s">
        <v>1110</v>
      </c>
      <c r="E179" t="s">
        <v>208</v>
      </c>
      <c r="F179" t="s">
        <v>208</v>
      </c>
      <c r="G179" s="75">
        <v>0</v>
      </c>
      <c r="H179">
        <v>0.123</v>
      </c>
      <c r="I179" s="6">
        <v>5</v>
      </c>
      <c r="J179" s="78">
        <v>44560</v>
      </c>
      <c r="K179" s="78"/>
    </row>
    <row r="180" spans="2:11" x14ac:dyDescent="0.25">
      <c r="B180" t="s">
        <v>208</v>
      </c>
      <c r="C180" t="s">
        <v>1111</v>
      </c>
      <c r="D180" t="s">
        <v>1111</v>
      </c>
      <c r="E180" t="s">
        <v>208</v>
      </c>
      <c r="F180" t="s">
        <v>208</v>
      </c>
      <c r="G180" s="75">
        <v>36702</v>
      </c>
      <c r="H180">
        <v>1.5649999999999999</v>
      </c>
      <c r="I180" s="6">
        <v>3</v>
      </c>
      <c r="J180" s="78">
        <v>44125</v>
      </c>
      <c r="K180" s="78"/>
    </row>
    <row r="181" spans="2:11" x14ac:dyDescent="0.25">
      <c r="B181" t="s">
        <v>208</v>
      </c>
      <c r="C181" t="s">
        <v>1111</v>
      </c>
      <c r="D181" t="s">
        <v>436</v>
      </c>
      <c r="E181" t="s">
        <v>436</v>
      </c>
      <c r="F181" t="s">
        <v>436</v>
      </c>
      <c r="G181" s="75">
        <v>36702</v>
      </c>
      <c r="H181">
        <v>1.5649999999999999</v>
      </c>
      <c r="I181" s="6">
        <v>3</v>
      </c>
      <c r="J181" s="78">
        <v>44125</v>
      </c>
      <c r="K181" s="78"/>
    </row>
    <row r="182" spans="2:11" x14ac:dyDescent="0.25">
      <c r="B182" t="s">
        <v>208</v>
      </c>
      <c r="C182" t="s">
        <v>1111</v>
      </c>
      <c r="D182" t="s">
        <v>838</v>
      </c>
      <c r="E182" t="s">
        <v>838</v>
      </c>
      <c r="F182" t="s">
        <v>838</v>
      </c>
      <c r="G182" s="75">
        <v>36702</v>
      </c>
      <c r="H182">
        <v>1.5649999999999999</v>
      </c>
      <c r="I182" s="6">
        <v>3</v>
      </c>
      <c r="J182" s="78">
        <v>44125</v>
      </c>
      <c r="K182" s="78"/>
    </row>
    <row r="183" spans="2:11" x14ac:dyDescent="0.25">
      <c r="B183" t="s">
        <v>208</v>
      </c>
      <c r="C183" t="s">
        <v>1111</v>
      </c>
      <c r="D183" t="s">
        <v>1112</v>
      </c>
      <c r="E183" t="s">
        <v>208</v>
      </c>
      <c r="F183" t="s">
        <v>208</v>
      </c>
      <c r="G183" s="75">
        <v>36702</v>
      </c>
      <c r="H183">
        <v>1.5649999999999999</v>
      </c>
      <c r="I183" s="6">
        <v>3</v>
      </c>
      <c r="J183" s="78"/>
      <c r="K183" s="78"/>
    </row>
    <row r="184" spans="2:11" x14ac:dyDescent="0.25">
      <c r="B184" t="s">
        <v>208</v>
      </c>
      <c r="C184" t="s">
        <v>585</v>
      </c>
      <c r="D184" t="s">
        <v>585</v>
      </c>
      <c r="E184" t="s">
        <v>1113</v>
      </c>
      <c r="F184" t="s">
        <v>1114</v>
      </c>
      <c r="G184" s="75">
        <v>0</v>
      </c>
      <c r="H184" t="s">
        <v>208</v>
      </c>
      <c r="I184" s="6">
        <v>0</v>
      </c>
      <c r="J184" s="78">
        <v>42921</v>
      </c>
      <c r="K184" s="78"/>
    </row>
    <row r="185" spans="2:11" x14ac:dyDescent="0.25">
      <c r="B185" t="s">
        <v>208</v>
      </c>
      <c r="C185" t="s">
        <v>1115</v>
      </c>
      <c r="D185" t="s">
        <v>1115</v>
      </c>
      <c r="E185" t="s">
        <v>1116</v>
      </c>
      <c r="F185" t="s">
        <v>1117</v>
      </c>
      <c r="G185" s="75">
        <v>8</v>
      </c>
      <c r="H185" t="s">
        <v>208</v>
      </c>
      <c r="I185" s="6">
        <v>0</v>
      </c>
      <c r="J185" s="78">
        <v>43108</v>
      </c>
      <c r="K185" s="78"/>
    </row>
    <row r="186" spans="2:11" x14ac:dyDescent="0.25">
      <c r="B186" t="s">
        <v>208</v>
      </c>
      <c r="C186" t="s">
        <v>1118</v>
      </c>
      <c r="D186" t="s">
        <v>1118</v>
      </c>
      <c r="E186" t="s">
        <v>208</v>
      </c>
      <c r="F186" t="s">
        <v>208</v>
      </c>
      <c r="G186" s="75">
        <v>0</v>
      </c>
      <c r="H186" t="s">
        <v>208</v>
      </c>
      <c r="I186" s="6">
        <v>0</v>
      </c>
      <c r="J186" s="78"/>
      <c r="K186" s="78"/>
    </row>
    <row r="187" spans="2:11" x14ac:dyDescent="0.25">
      <c r="B187" t="s">
        <v>1119</v>
      </c>
      <c r="C187" t="s">
        <v>590</v>
      </c>
      <c r="D187" t="s">
        <v>590</v>
      </c>
      <c r="E187" t="s">
        <v>1120</v>
      </c>
      <c r="F187" t="s">
        <v>1121</v>
      </c>
      <c r="G187" s="75">
        <v>11110</v>
      </c>
      <c r="H187">
        <v>1.694</v>
      </c>
      <c r="I187" s="6">
        <v>2</v>
      </c>
      <c r="J187" s="78">
        <v>43607</v>
      </c>
      <c r="K187" s="78"/>
    </row>
    <row r="188" spans="2:11" x14ac:dyDescent="0.25">
      <c r="B188" t="s">
        <v>1119</v>
      </c>
      <c r="C188" t="s">
        <v>590</v>
      </c>
      <c r="D188" t="s">
        <v>551</v>
      </c>
      <c r="E188" t="s">
        <v>551</v>
      </c>
      <c r="F188" t="s">
        <v>1122</v>
      </c>
      <c r="G188" s="75">
        <v>11110</v>
      </c>
      <c r="H188">
        <v>1.694</v>
      </c>
      <c r="I188" s="6">
        <v>2</v>
      </c>
      <c r="J188" s="78">
        <v>43607</v>
      </c>
      <c r="K188" s="78"/>
    </row>
    <row r="189" spans="2:11" x14ac:dyDescent="0.25">
      <c r="B189" t="s">
        <v>208</v>
      </c>
      <c r="C189" t="s">
        <v>590</v>
      </c>
      <c r="D189" t="s">
        <v>1123</v>
      </c>
      <c r="E189" t="s">
        <v>208</v>
      </c>
      <c r="F189" t="s">
        <v>208</v>
      </c>
      <c r="G189" s="75">
        <v>11110</v>
      </c>
      <c r="H189">
        <v>1.694</v>
      </c>
      <c r="I189" s="6">
        <v>2</v>
      </c>
      <c r="J189" s="78">
        <v>43607</v>
      </c>
      <c r="K189" s="78"/>
    </row>
    <row r="190" spans="2:11" x14ac:dyDescent="0.25">
      <c r="B190" t="s">
        <v>1124</v>
      </c>
      <c r="C190" t="s">
        <v>591</v>
      </c>
      <c r="D190" t="s">
        <v>591</v>
      </c>
      <c r="E190" t="s">
        <v>1125</v>
      </c>
      <c r="F190" t="s">
        <v>1126</v>
      </c>
      <c r="G190" s="75">
        <v>46192</v>
      </c>
      <c r="H190">
        <v>1.159</v>
      </c>
      <c r="I190" s="6">
        <v>4</v>
      </c>
      <c r="J190" s="78">
        <v>37368</v>
      </c>
      <c r="K190" s="78"/>
    </row>
    <row r="191" spans="2:11" x14ac:dyDescent="0.25">
      <c r="B191" t="s">
        <v>208</v>
      </c>
      <c r="C191" t="s">
        <v>1127</v>
      </c>
      <c r="D191" t="s">
        <v>1127</v>
      </c>
      <c r="E191" t="s">
        <v>1128</v>
      </c>
      <c r="F191" t="s">
        <v>1129</v>
      </c>
      <c r="G191" s="75">
        <v>107</v>
      </c>
      <c r="H191" t="s">
        <v>208</v>
      </c>
      <c r="I191" s="6">
        <v>0</v>
      </c>
      <c r="J191" s="78">
        <v>40722</v>
      </c>
      <c r="K191" s="78"/>
    </row>
    <row r="192" spans="2:11" x14ac:dyDescent="0.25">
      <c r="B192" t="s">
        <v>208</v>
      </c>
      <c r="C192" t="s">
        <v>1130</v>
      </c>
      <c r="D192" t="s">
        <v>1130</v>
      </c>
      <c r="E192" t="s">
        <v>208</v>
      </c>
      <c r="F192" t="s">
        <v>208</v>
      </c>
      <c r="G192" s="75">
        <v>223744</v>
      </c>
      <c r="H192" t="s">
        <v>208</v>
      </c>
      <c r="I192" s="6">
        <v>0</v>
      </c>
      <c r="J192" s="78" t="s">
        <v>208</v>
      </c>
      <c r="K192" s="78"/>
    </row>
    <row r="193" spans="2:11" x14ac:dyDescent="0.25">
      <c r="B193" t="s">
        <v>208</v>
      </c>
      <c r="C193" t="s">
        <v>1130</v>
      </c>
      <c r="D193" t="s">
        <v>1131</v>
      </c>
      <c r="E193" t="s">
        <v>208</v>
      </c>
      <c r="F193" t="s">
        <v>208</v>
      </c>
      <c r="G193" s="75">
        <v>223744</v>
      </c>
      <c r="H193" t="s">
        <v>208</v>
      </c>
      <c r="I193" s="6">
        <v>0</v>
      </c>
      <c r="J193" s="78" t="s">
        <v>208</v>
      </c>
      <c r="K193" s="78"/>
    </row>
    <row r="194" spans="2:11" x14ac:dyDescent="0.25">
      <c r="B194" t="s">
        <v>208</v>
      </c>
      <c r="C194" t="s">
        <v>1130</v>
      </c>
      <c r="D194" t="s">
        <v>1132</v>
      </c>
      <c r="E194" t="s">
        <v>1133</v>
      </c>
      <c r="F194" t="s">
        <v>1134</v>
      </c>
      <c r="G194" s="75">
        <v>223744</v>
      </c>
      <c r="H194" t="s">
        <v>208</v>
      </c>
      <c r="I194" s="6">
        <v>0</v>
      </c>
      <c r="J194" s="78">
        <v>38373</v>
      </c>
      <c r="K194" s="78"/>
    </row>
    <row r="195" spans="2:11" x14ac:dyDescent="0.25">
      <c r="B195" t="s">
        <v>208</v>
      </c>
      <c r="C195" t="s">
        <v>1135</v>
      </c>
      <c r="D195" t="s">
        <v>1135</v>
      </c>
      <c r="E195" t="s">
        <v>1136</v>
      </c>
      <c r="F195" t="s">
        <v>1137</v>
      </c>
      <c r="G195" s="75">
        <v>24055</v>
      </c>
      <c r="H195">
        <v>0.78800000000000003</v>
      </c>
      <c r="I195" s="6">
        <v>4</v>
      </c>
      <c r="J195" s="78">
        <v>40815</v>
      </c>
      <c r="K195" s="78"/>
    </row>
    <row r="196" spans="2:11" x14ac:dyDescent="0.25">
      <c r="B196" t="s">
        <v>208</v>
      </c>
      <c r="C196" t="s">
        <v>1135</v>
      </c>
      <c r="D196" t="s">
        <v>1138</v>
      </c>
      <c r="E196" t="s">
        <v>208</v>
      </c>
      <c r="F196" t="s">
        <v>208</v>
      </c>
      <c r="G196" s="75">
        <v>24055</v>
      </c>
      <c r="H196">
        <v>0.78800000000000003</v>
      </c>
      <c r="I196" s="6">
        <v>4</v>
      </c>
      <c r="J196" s="78" t="s">
        <v>208</v>
      </c>
      <c r="K196" s="78"/>
    </row>
    <row r="197" spans="2:11" x14ac:dyDescent="0.25">
      <c r="B197" t="s">
        <v>208</v>
      </c>
      <c r="C197" t="s">
        <v>1135</v>
      </c>
      <c r="D197" t="s">
        <v>1139</v>
      </c>
      <c r="E197" t="s">
        <v>1140</v>
      </c>
      <c r="F197" t="s">
        <v>1141</v>
      </c>
      <c r="G197" s="75">
        <v>24055</v>
      </c>
      <c r="H197">
        <v>0.78800000000000003</v>
      </c>
      <c r="I197" s="6">
        <v>4</v>
      </c>
      <c r="J197" s="78">
        <v>40815</v>
      </c>
      <c r="K197" s="78"/>
    </row>
    <row r="198" spans="2:11" x14ac:dyDescent="0.25">
      <c r="B198" t="s">
        <v>208</v>
      </c>
      <c r="C198" t="s">
        <v>1142</v>
      </c>
      <c r="D198" t="s">
        <v>1142</v>
      </c>
      <c r="E198" t="s">
        <v>208</v>
      </c>
      <c r="F198" t="s">
        <v>208</v>
      </c>
      <c r="G198" s="75">
        <v>215</v>
      </c>
      <c r="H198">
        <v>1.806</v>
      </c>
      <c r="I198" s="6">
        <v>2</v>
      </c>
      <c r="J198" s="78" t="s">
        <v>208</v>
      </c>
      <c r="K198" s="78"/>
    </row>
    <row r="199" spans="2:11" x14ac:dyDescent="0.25">
      <c r="B199" t="s">
        <v>208</v>
      </c>
      <c r="C199" t="s">
        <v>1142</v>
      </c>
      <c r="D199" t="s">
        <v>1143</v>
      </c>
      <c r="E199" t="s">
        <v>1144</v>
      </c>
      <c r="F199" t="s">
        <v>1145</v>
      </c>
      <c r="G199" s="75">
        <v>215</v>
      </c>
      <c r="H199">
        <v>1.806</v>
      </c>
      <c r="I199" s="6">
        <v>2</v>
      </c>
      <c r="J199" s="78">
        <v>37327</v>
      </c>
      <c r="K199" s="78"/>
    </row>
    <row r="200" spans="2:11" x14ac:dyDescent="0.25">
      <c r="B200" t="s">
        <v>998</v>
      </c>
      <c r="C200" t="s">
        <v>1142</v>
      </c>
      <c r="D200" t="s">
        <v>592</v>
      </c>
      <c r="E200" t="s">
        <v>842</v>
      </c>
      <c r="F200" t="s">
        <v>1146</v>
      </c>
      <c r="G200" s="75">
        <v>215</v>
      </c>
      <c r="H200">
        <v>1.806</v>
      </c>
      <c r="I200" s="6">
        <v>2</v>
      </c>
      <c r="J200" s="78">
        <v>37327</v>
      </c>
      <c r="K200" s="78"/>
    </row>
    <row r="201" spans="2:11" x14ac:dyDescent="0.25">
      <c r="B201" t="s">
        <v>208</v>
      </c>
      <c r="C201" t="s">
        <v>1147</v>
      </c>
      <c r="D201" t="s">
        <v>1147</v>
      </c>
      <c r="E201" t="s">
        <v>208</v>
      </c>
      <c r="F201" t="s">
        <v>208</v>
      </c>
      <c r="G201" s="75">
        <v>0</v>
      </c>
      <c r="H201" t="s">
        <v>208</v>
      </c>
      <c r="I201" s="6">
        <v>0</v>
      </c>
      <c r="J201" s="78"/>
      <c r="K201" s="78"/>
    </row>
    <row r="202" spans="2:11" x14ac:dyDescent="0.25">
      <c r="B202" t="s">
        <v>208</v>
      </c>
      <c r="C202" t="s">
        <v>1147</v>
      </c>
      <c r="D202" t="s">
        <v>1148</v>
      </c>
      <c r="E202" t="s">
        <v>1149</v>
      </c>
      <c r="F202" t="s">
        <v>1149</v>
      </c>
      <c r="G202" s="75">
        <v>0</v>
      </c>
      <c r="H202" t="s">
        <v>208</v>
      </c>
      <c r="I202" s="6">
        <v>0</v>
      </c>
      <c r="J202" s="78"/>
      <c r="K202" s="78"/>
    </row>
    <row r="203" spans="2:11" x14ac:dyDescent="0.25">
      <c r="B203" t="s">
        <v>208</v>
      </c>
      <c r="C203" t="s">
        <v>1150</v>
      </c>
      <c r="D203" t="s">
        <v>1150</v>
      </c>
      <c r="E203" t="s">
        <v>208</v>
      </c>
      <c r="F203" t="s">
        <v>208</v>
      </c>
      <c r="G203" s="75">
        <v>0</v>
      </c>
      <c r="H203" t="s">
        <v>208</v>
      </c>
      <c r="I203" s="6">
        <v>0</v>
      </c>
      <c r="J203" s="78"/>
      <c r="K203" s="78"/>
    </row>
    <row r="204" spans="2:11" x14ac:dyDescent="0.25">
      <c r="B204" t="s">
        <v>1124</v>
      </c>
      <c r="C204" t="s">
        <v>616</v>
      </c>
      <c r="D204" t="s">
        <v>616</v>
      </c>
      <c r="E204" t="s">
        <v>1151</v>
      </c>
      <c r="F204" t="s">
        <v>1152</v>
      </c>
      <c r="G204" s="75">
        <v>0</v>
      </c>
      <c r="H204" t="s">
        <v>208</v>
      </c>
      <c r="I204" s="6">
        <v>0</v>
      </c>
      <c r="J204" s="78">
        <v>44140</v>
      </c>
      <c r="K204" s="78"/>
    </row>
    <row r="205" spans="2:11" x14ac:dyDescent="0.25">
      <c r="B205" t="s">
        <v>208</v>
      </c>
      <c r="C205" t="s">
        <v>1153</v>
      </c>
      <c r="D205" t="s">
        <v>1153</v>
      </c>
      <c r="E205" t="s">
        <v>1154</v>
      </c>
      <c r="F205" t="s">
        <v>1155</v>
      </c>
      <c r="G205" s="75">
        <v>0</v>
      </c>
      <c r="H205" t="s">
        <v>208</v>
      </c>
      <c r="I205" s="6">
        <v>0</v>
      </c>
      <c r="J205" s="78" t="s">
        <v>208</v>
      </c>
      <c r="K205" s="78"/>
    </row>
    <row r="206" spans="2:11" x14ac:dyDescent="0.25">
      <c r="B206" t="s">
        <v>208</v>
      </c>
      <c r="C206" t="s">
        <v>1156</v>
      </c>
      <c r="D206" t="s">
        <v>1156</v>
      </c>
      <c r="E206" t="s">
        <v>208</v>
      </c>
      <c r="F206" t="s">
        <v>208</v>
      </c>
      <c r="G206" s="75">
        <v>58681</v>
      </c>
      <c r="H206" t="s">
        <v>208</v>
      </c>
      <c r="I206" s="6">
        <v>0</v>
      </c>
      <c r="J206" s="78" t="s">
        <v>208</v>
      </c>
      <c r="K206" s="78"/>
    </row>
    <row r="207" spans="2:11" x14ac:dyDescent="0.25">
      <c r="B207" t="s">
        <v>208</v>
      </c>
      <c r="C207" t="s">
        <v>1156</v>
      </c>
      <c r="D207" t="s">
        <v>1157</v>
      </c>
      <c r="E207" t="s">
        <v>208</v>
      </c>
      <c r="F207" t="s">
        <v>208</v>
      </c>
      <c r="G207" s="75">
        <v>58681</v>
      </c>
      <c r="H207" t="s">
        <v>208</v>
      </c>
      <c r="I207" s="6">
        <v>0</v>
      </c>
      <c r="J207" s="78" t="s">
        <v>208</v>
      </c>
      <c r="K207" s="78"/>
    </row>
    <row r="208" spans="2:11" x14ac:dyDescent="0.25">
      <c r="B208" t="s">
        <v>208</v>
      </c>
      <c r="C208" t="s">
        <v>1156</v>
      </c>
      <c r="D208" t="s">
        <v>1158</v>
      </c>
      <c r="E208" t="s">
        <v>1159</v>
      </c>
      <c r="F208" t="s">
        <v>1160</v>
      </c>
      <c r="G208" s="75">
        <v>58681</v>
      </c>
      <c r="H208" t="s">
        <v>208</v>
      </c>
      <c r="I208" s="6">
        <v>0</v>
      </c>
      <c r="J208" s="78">
        <v>38881</v>
      </c>
      <c r="K208" s="78"/>
    </row>
    <row r="209" spans="2:11" x14ac:dyDescent="0.25">
      <c r="B209" t="s">
        <v>208</v>
      </c>
      <c r="C209" t="s">
        <v>1156</v>
      </c>
      <c r="D209" t="s">
        <v>1161</v>
      </c>
      <c r="E209" t="s">
        <v>1162</v>
      </c>
      <c r="F209" t="s">
        <v>1163</v>
      </c>
      <c r="G209" s="75">
        <v>58681</v>
      </c>
      <c r="H209" t="s">
        <v>208</v>
      </c>
      <c r="I209" s="6">
        <v>0</v>
      </c>
      <c r="J209" s="78">
        <v>38881</v>
      </c>
      <c r="K209" s="78"/>
    </row>
    <row r="210" spans="2:11" x14ac:dyDescent="0.25">
      <c r="B210" t="s">
        <v>208</v>
      </c>
      <c r="C210" t="s">
        <v>1156</v>
      </c>
      <c r="D210" t="s">
        <v>1164</v>
      </c>
      <c r="E210" t="s">
        <v>1165</v>
      </c>
      <c r="F210" t="s">
        <v>1166</v>
      </c>
      <c r="G210" s="75">
        <v>58681</v>
      </c>
      <c r="H210" t="s">
        <v>208</v>
      </c>
      <c r="I210" s="6">
        <v>0</v>
      </c>
      <c r="J210" s="78">
        <v>38881</v>
      </c>
      <c r="K210" s="78"/>
    </row>
    <row r="211" spans="2:11" x14ac:dyDescent="0.25">
      <c r="B211" t="s">
        <v>208</v>
      </c>
      <c r="C211" t="s">
        <v>1156</v>
      </c>
      <c r="D211" t="s">
        <v>1167</v>
      </c>
      <c r="E211" t="s">
        <v>1167</v>
      </c>
      <c r="F211" t="s">
        <v>1167</v>
      </c>
      <c r="G211" s="75">
        <v>58681</v>
      </c>
      <c r="H211" t="s">
        <v>208</v>
      </c>
      <c r="I211" s="6">
        <v>0</v>
      </c>
      <c r="J211" s="78">
        <v>38881</v>
      </c>
      <c r="K211" s="78"/>
    </row>
    <row r="212" spans="2:11" x14ac:dyDescent="0.25">
      <c r="B212" t="s">
        <v>208</v>
      </c>
      <c r="C212" t="s">
        <v>1168</v>
      </c>
      <c r="D212" t="s">
        <v>1168</v>
      </c>
      <c r="E212" t="s">
        <v>1169</v>
      </c>
      <c r="F212" t="s">
        <v>1170</v>
      </c>
      <c r="G212" s="75">
        <v>0</v>
      </c>
      <c r="H212">
        <v>0.73699999999999999</v>
      </c>
      <c r="I212" s="6">
        <v>4</v>
      </c>
      <c r="J212" s="78">
        <v>43776</v>
      </c>
      <c r="K212" s="78"/>
    </row>
    <row r="213" spans="2:11" x14ac:dyDescent="0.25">
      <c r="B213" t="s">
        <v>208</v>
      </c>
      <c r="C213" t="s">
        <v>1168</v>
      </c>
      <c r="D213" t="s">
        <v>408</v>
      </c>
      <c r="E213" t="s">
        <v>408</v>
      </c>
      <c r="F213" t="s">
        <v>1171</v>
      </c>
      <c r="G213" s="75">
        <v>0</v>
      </c>
      <c r="H213">
        <v>0.73699999999999999</v>
      </c>
      <c r="I213" s="6">
        <v>4</v>
      </c>
      <c r="J213" s="78">
        <v>43776</v>
      </c>
      <c r="K213" s="78"/>
    </row>
    <row r="214" spans="2:11" x14ac:dyDescent="0.25">
      <c r="B214" t="s">
        <v>208</v>
      </c>
      <c r="C214" t="s">
        <v>1168</v>
      </c>
      <c r="D214" t="s">
        <v>1172</v>
      </c>
      <c r="E214" t="s">
        <v>208</v>
      </c>
      <c r="F214" t="s">
        <v>208</v>
      </c>
      <c r="G214" s="75">
        <v>0</v>
      </c>
      <c r="H214">
        <v>0.73699999999999999</v>
      </c>
      <c r="I214" s="6">
        <v>4</v>
      </c>
      <c r="J214" s="78">
        <v>43776</v>
      </c>
      <c r="K214" s="78"/>
    </row>
    <row r="215" spans="2:11" x14ac:dyDescent="0.25">
      <c r="B215" t="s">
        <v>208</v>
      </c>
      <c r="C215" t="s">
        <v>1173</v>
      </c>
      <c r="D215" t="s">
        <v>1173</v>
      </c>
      <c r="E215" t="s">
        <v>1174</v>
      </c>
      <c r="F215" t="s">
        <v>1175</v>
      </c>
      <c r="G215" s="75">
        <v>1641</v>
      </c>
      <c r="H215" t="s">
        <v>208</v>
      </c>
      <c r="I215" s="6">
        <v>0</v>
      </c>
      <c r="J215" s="78">
        <v>43776</v>
      </c>
      <c r="K215" s="78"/>
    </row>
    <row r="216" spans="2:11" x14ac:dyDescent="0.25">
      <c r="B216" t="s">
        <v>208</v>
      </c>
      <c r="C216" t="s">
        <v>1176</v>
      </c>
      <c r="D216" t="s">
        <v>1176</v>
      </c>
      <c r="E216" t="s">
        <v>208</v>
      </c>
      <c r="F216" t="s">
        <v>208</v>
      </c>
      <c r="G216" s="75">
        <v>0</v>
      </c>
      <c r="H216" t="s">
        <v>208</v>
      </c>
      <c r="I216" s="6">
        <v>0</v>
      </c>
      <c r="J216" s="78"/>
      <c r="K216" s="78"/>
    </row>
    <row r="217" spans="2:11" x14ac:dyDescent="0.25">
      <c r="B217" t="s">
        <v>208</v>
      </c>
      <c r="C217" t="s">
        <v>1177</v>
      </c>
      <c r="D217" t="s">
        <v>1177</v>
      </c>
      <c r="E217" t="s">
        <v>1178</v>
      </c>
      <c r="F217" t="s">
        <v>1179</v>
      </c>
      <c r="G217" s="75">
        <v>0</v>
      </c>
      <c r="H217" t="s">
        <v>208</v>
      </c>
      <c r="I217" s="6">
        <v>0</v>
      </c>
      <c r="J217" s="78">
        <v>43437</v>
      </c>
      <c r="K217" s="78"/>
    </row>
    <row r="218" spans="2:11" x14ac:dyDescent="0.25">
      <c r="B218" t="s">
        <v>882</v>
      </c>
      <c r="C218" t="s">
        <v>628</v>
      </c>
      <c r="D218" t="s">
        <v>628</v>
      </c>
      <c r="E218" t="s">
        <v>1180</v>
      </c>
      <c r="F218" t="s">
        <v>1181</v>
      </c>
      <c r="G218" s="75">
        <v>128280</v>
      </c>
      <c r="H218">
        <v>1.272</v>
      </c>
      <c r="I218" s="6">
        <v>3</v>
      </c>
      <c r="J218" s="78">
        <v>37648</v>
      </c>
      <c r="K218" s="78"/>
    </row>
    <row r="219" spans="2:11" x14ac:dyDescent="0.25">
      <c r="B219" t="s">
        <v>208</v>
      </c>
      <c r="C219" t="s">
        <v>628</v>
      </c>
      <c r="D219" t="s">
        <v>1182</v>
      </c>
      <c r="E219" t="s">
        <v>208</v>
      </c>
      <c r="F219" t="s">
        <v>208</v>
      </c>
      <c r="G219" s="75">
        <v>128280</v>
      </c>
      <c r="H219">
        <v>1.272</v>
      </c>
      <c r="I219" s="6">
        <v>3</v>
      </c>
      <c r="J219" s="78" t="s">
        <v>208</v>
      </c>
      <c r="K219" s="78"/>
    </row>
    <row r="220" spans="2:11" x14ac:dyDescent="0.25">
      <c r="B220" t="s">
        <v>208</v>
      </c>
      <c r="C220" t="s">
        <v>628</v>
      </c>
      <c r="D220" t="s">
        <v>1183</v>
      </c>
      <c r="E220" t="s">
        <v>1183</v>
      </c>
      <c r="F220" t="s">
        <v>1184</v>
      </c>
      <c r="G220" s="75">
        <v>128280</v>
      </c>
      <c r="H220">
        <v>1.272</v>
      </c>
      <c r="I220" s="6">
        <v>3</v>
      </c>
      <c r="J220" s="78">
        <v>37648</v>
      </c>
      <c r="K220" s="78"/>
    </row>
    <row r="221" spans="2:11" x14ac:dyDescent="0.25">
      <c r="B221" t="s">
        <v>208</v>
      </c>
      <c r="C221" t="s">
        <v>628</v>
      </c>
      <c r="D221" t="s">
        <v>1185</v>
      </c>
      <c r="E221" t="s">
        <v>1186</v>
      </c>
      <c r="F221" t="s">
        <v>1187</v>
      </c>
      <c r="G221" s="75">
        <v>128280</v>
      </c>
      <c r="H221">
        <v>1.272</v>
      </c>
      <c r="I221" s="6">
        <v>3</v>
      </c>
      <c r="J221" s="78">
        <v>37648</v>
      </c>
      <c r="K221" s="78"/>
    </row>
    <row r="222" spans="2:11" x14ac:dyDescent="0.25">
      <c r="B222" t="s">
        <v>208</v>
      </c>
      <c r="C222" t="s">
        <v>628</v>
      </c>
      <c r="D222" t="s">
        <v>1188</v>
      </c>
      <c r="E222" t="s">
        <v>1189</v>
      </c>
      <c r="F222" t="s">
        <v>1190</v>
      </c>
      <c r="G222" s="75">
        <v>128280</v>
      </c>
      <c r="H222">
        <v>1.272</v>
      </c>
      <c r="I222" s="6">
        <v>3</v>
      </c>
      <c r="J222" s="78">
        <v>37648</v>
      </c>
      <c r="K222" s="78"/>
    </row>
    <row r="223" spans="2:11" x14ac:dyDescent="0.25">
      <c r="B223" t="s">
        <v>208</v>
      </c>
      <c r="C223" t="s">
        <v>628</v>
      </c>
      <c r="D223" t="s">
        <v>1191</v>
      </c>
      <c r="E223" t="s">
        <v>1191</v>
      </c>
      <c r="F223" t="s">
        <v>1192</v>
      </c>
      <c r="G223" s="75">
        <v>128280</v>
      </c>
      <c r="H223">
        <v>1.272</v>
      </c>
      <c r="I223" s="6">
        <v>3</v>
      </c>
      <c r="J223" s="78">
        <v>37648</v>
      </c>
      <c r="K223" s="78"/>
    </row>
    <row r="224" spans="2:11" x14ac:dyDescent="0.25">
      <c r="B224" t="s">
        <v>208</v>
      </c>
      <c r="C224" t="s">
        <v>1193</v>
      </c>
      <c r="D224" t="s">
        <v>1193</v>
      </c>
      <c r="E224" t="s">
        <v>208</v>
      </c>
      <c r="F224" t="s">
        <v>208</v>
      </c>
      <c r="G224" s="75">
        <v>0</v>
      </c>
      <c r="H224">
        <v>8.1270000000000007</v>
      </c>
      <c r="I224" s="6">
        <v>1</v>
      </c>
      <c r="J224" s="78" t="s">
        <v>208</v>
      </c>
      <c r="K224" s="78"/>
    </row>
    <row r="225" spans="2:11" x14ac:dyDescent="0.25">
      <c r="B225" t="s">
        <v>208</v>
      </c>
      <c r="C225" t="s">
        <v>1193</v>
      </c>
      <c r="D225" t="s">
        <v>640</v>
      </c>
      <c r="E225" t="s">
        <v>844</v>
      </c>
      <c r="F225" t="s">
        <v>1194</v>
      </c>
      <c r="G225" s="75">
        <v>0</v>
      </c>
      <c r="H225">
        <v>8.1270000000000007</v>
      </c>
      <c r="I225" s="6">
        <v>1</v>
      </c>
      <c r="J225" s="78">
        <v>44279</v>
      </c>
      <c r="K225" s="78"/>
    </row>
    <row r="226" spans="2:11" x14ac:dyDescent="0.25">
      <c r="B226" t="s">
        <v>208</v>
      </c>
      <c r="C226" t="s">
        <v>1193</v>
      </c>
      <c r="D226" t="s">
        <v>1195</v>
      </c>
      <c r="E226" t="s">
        <v>208</v>
      </c>
      <c r="F226" t="s">
        <v>208</v>
      </c>
      <c r="G226" s="75">
        <v>0</v>
      </c>
      <c r="H226">
        <v>8.1270000000000007</v>
      </c>
      <c r="I226" s="6">
        <v>1</v>
      </c>
      <c r="J226" s="78" t="s">
        <v>208</v>
      </c>
      <c r="K226" s="78"/>
    </row>
    <row r="227" spans="2:11" x14ac:dyDescent="0.25">
      <c r="B227" t="s">
        <v>208</v>
      </c>
      <c r="C227" t="s">
        <v>1196</v>
      </c>
      <c r="D227" t="s">
        <v>1196</v>
      </c>
      <c r="E227" t="s">
        <v>208</v>
      </c>
      <c r="F227" t="s">
        <v>208</v>
      </c>
      <c r="G227" s="75">
        <v>1372023</v>
      </c>
      <c r="H227">
        <v>0.48199999999999998</v>
      </c>
      <c r="I227" s="6">
        <v>5</v>
      </c>
      <c r="J227" s="78" t="s">
        <v>208</v>
      </c>
      <c r="K227" s="78"/>
    </row>
    <row r="228" spans="2:11" x14ac:dyDescent="0.25">
      <c r="B228" t="s">
        <v>208</v>
      </c>
      <c r="C228" t="s">
        <v>1196</v>
      </c>
      <c r="D228" t="s">
        <v>1197</v>
      </c>
      <c r="E228" t="s">
        <v>208</v>
      </c>
      <c r="F228" t="s">
        <v>208</v>
      </c>
      <c r="G228" s="75">
        <v>1372023</v>
      </c>
      <c r="H228">
        <v>0.48199999999999998</v>
      </c>
      <c r="I228" s="6">
        <v>5</v>
      </c>
      <c r="J228" s="78" t="s">
        <v>208</v>
      </c>
      <c r="K228" s="78"/>
    </row>
    <row r="229" spans="2:11" x14ac:dyDescent="0.25">
      <c r="B229" t="s">
        <v>882</v>
      </c>
      <c r="C229" t="s">
        <v>1196</v>
      </c>
      <c r="D229" t="s">
        <v>641</v>
      </c>
      <c r="E229" t="s">
        <v>845</v>
      </c>
      <c r="F229" t="s">
        <v>1198</v>
      </c>
      <c r="G229" s="75">
        <v>1372023</v>
      </c>
      <c r="H229">
        <v>0.48199999999999998</v>
      </c>
      <c r="I229" s="6">
        <v>5</v>
      </c>
      <c r="J229" s="78">
        <v>36893</v>
      </c>
      <c r="K229" s="78"/>
    </row>
    <row r="230" spans="2:11" x14ac:dyDescent="0.25">
      <c r="B230" t="s">
        <v>208</v>
      </c>
      <c r="C230" t="s">
        <v>1199</v>
      </c>
      <c r="D230" t="s">
        <v>1199</v>
      </c>
      <c r="E230" t="s">
        <v>208</v>
      </c>
      <c r="F230" t="s">
        <v>208</v>
      </c>
      <c r="G230" s="75">
        <v>304853</v>
      </c>
      <c r="H230">
        <v>1.8160000000000001</v>
      </c>
      <c r="I230" s="6">
        <v>2</v>
      </c>
      <c r="J230" s="78" t="s">
        <v>208</v>
      </c>
      <c r="K230" s="78"/>
    </row>
    <row r="231" spans="2:11" x14ac:dyDescent="0.25">
      <c r="B231" t="s">
        <v>974</v>
      </c>
      <c r="C231" t="s">
        <v>1199</v>
      </c>
      <c r="D231" t="s">
        <v>404</v>
      </c>
      <c r="E231" t="s">
        <v>819</v>
      </c>
      <c r="F231" t="s">
        <v>1200</v>
      </c>
      <c r="G231" s="75">
        <v>304853</v>
      </c>
      <c r="H231">
        <v>1.8160000000000001</v>
      </c>
      <c r="I231" s="6">
        <v>2</v>
      </c>
      <c r="J231" s="78">
        <v>39748</v>
      </c>
      <c r="K231" s="78"/>
    </row>
    <row r="232" spans="2:11" x14ac:dyDescent="0.25">
      <c r="B232" t="s">
        <v>208</v>
      </c>
      <c r="C232" t="s">
        <v>1199</v>
      </c>
      <c r="D232" t="s">
        <v>1201</v>
      </c>
      <c r="E232" t="s">
        <v>208</v>
      </c>
      <c r="F232" t="s">
        <v>208</v>
      </c>
      <c r="G232" s="75">
        <v>304853</v>
      </c>
      <c r="H232">
        <v>1.8160000000000001</v>
      </c>
      <c r="I232" s="6">
        <v>2</v>
      </c>
      <c r="J232" s="78" t="s">
        <v>208</v>
      </c>
      <c r="K232" s="78"/>
    </row>
    <row r="233" spans="2:11" x14ac:dyDescent="0.25">
      <c r="B233" t="s">
        <v>974</v>
      </c>
      <c r="C233" t="s">
        <v>1199</v>
      </c>
      <c r="D233" t="s">
        <v>1202</v>
      </c>
      <c r="E233" t="s">
        <v>432</v>
      </c>
      <c r="F233" t="s">
        <v>1203</v>
      </c>
      <c r="G233" s="75">
        <v>304853</v>
      </c>
      <c r="H233">
        <v>1.8160000000000001</v>
      </c>
      <c r="I233" s="6">
        <v>2</v>
      </c>
      <c r="J233" s="78">
        <v>39748</v>
      </c>
      <c r="K233" s="78"/>
    </row>
    <row r="234" spans="2:11" x14ac:dyDescent="0.25">
      <c r="B234" t="s">
        <v>208</v>
      </c>
      <c r="C234" t="s">
        <v>1199</v>
      </c>
      <c r="D234" t="s">
        <v>1204</v>
      </c>
      <c r="E234" t="s">
        <v>208</v>
      </c>
      <c r="F234" t="s">
        <v>208</v>
      </c>
      <c r="G234" s="75">
        <v>304853</v>
      </c>
      <c r="H234">
        <v>1.8160000000000001</v>
      </c>
      <c r="I234" s="6">
        <v>2</v>
      </c>
      <c r="J234" s="78" t="s">
        <v>208</v>
      </c>
      <c r="K234" s="78"/>
    </row>
    <row r="235" spans="2:11" x14ac:dyDescent="0.25">
      <c r="B235" t="s">
        <v>208</v>
      </c>
      <c r="C235" t="s">
        <v>1199</v>
      </c>
      <c r="D235" t="s">
        <v>1205</v>
      </c>
      <c r="E235" t="s">
        <v>1206</v>
      </c>
      <c r="F235" t="s">
        <v>1207</v>
      </c>
      <c r="G235" s="75">
        <v>304853</v>
      </c>
      <c r="H235">
        <v>1.8160000000000001</v>
      </c>
      <c r="I235" s="6">
        <v>2</v>
      </c>
      <c r="J235" s="78">
        <v>39748</v>
      </c>
      <c r="K235" s="78"/>
    </row>
    <row r="236" spans="2:11" x14ac:dyDescent="0.25">
      <c r="B236" t="s">
        <v>208</v>
      </c>
      <c r="C236" t="s">
        <v>1208</v>
      </c>
      <c r="D236" t="s">
        <v>1208</v>
      </c>
      <c r="E236" t="s">
        <v>208</v>
      </c>
      <c r="F236" t="s">
        <v>208</v>
      </c>
      <c r="G236" s="75">
        <v>166810</v>
      </c>
      <c r="H236" t="s">
        <v>208</v>
      </c>
      <c r="I236" s="6">
        <v>0</v>
      </c>
      <c r="J236" s="78" t="s">
        <v>208</v>
      </c>
      <c r="K236" s="78"/>
    </row>
    <row r="237" spans="2:11" x14ac:dyDescent="0.25">
      <c r="B237" t="s">
        <v>208</v>
      </c>
      <c r="C237" t="s">
        <v>1208</v>
      </c>
      <c r="D237" t="s">
        <v>1209</v>
      </c>
      <c r="E237" t="s">
        <v>208</v>
      </c>
      <c r="F237" t="s">
        <v>208</v>
      </c>
      <c r="G237" s="75">
        <v>166810</v>
      </c>
      <c r="H237" t="s">
        <v>208</v>
      </c>
      <c r="I237" s="6">
        <v>0</v>
      </c>
      <c r="J237" s="78" t="s">
        <v>208</v>
      </c>
      <c r="K237" s="78"/>
    </row>
    <row r="238" spans="2:11" x14ac:dyDescent="0.25">
      <c r="B238" t="s">
        <v>208</v>
      </c>
      <c r="C238" t="s">
        <v>1208</v>
      </c>
      <c r="D238" t="s">
        <v>1210</v>
      </c>
      <c r="E238" t="s">
        <v>1211</v>
      </c>
      <c r="F238" t="s">
        <v>1212</v>
      </c>
      <c r="G238" s="75">
        <v>166810</v>
      </c>
      <c r="H238" t="s">
        <v>208</v>
      </c>
      <c r="I238" s="6">
        <v>0</v>
      </c>
      <c r="J238" s="78">
        <v>37230</v>
      </c>
      <c r="K238" s="78"/>
    </row>
    <row r="239" spans="2:11" x14ac:dyDescent="0.25">
      <c r="B239" t="s">
        <v>208</v>
      </c>
      <c r="C239" t="s">
        <v>1208</v>
      </c>
      <c r="D239" t="s">
        <v>1213</v>
      </c>
      <c r="E239" t="s">
        <v>1213</v>
      </c>
      <c r="F239" t="s">
        <v>1214</v>
      </c>
      <c r="G239" s="75">
        <v>166810</v>
      </c>
      <c r="H239" t="s">
        <v>208</v>
      </c>
      <c r="I239" s="6">
        <v>0</v>
      </c>
      <c r="J239" s="78">
        <v>37230</v>
      </c>
      <c r="K239" s="78"/>
    </row>
    <row r="240" spans="2:11" x14ac:dyDescent="0.25">
      <c r="B240" t="s">
        <v>208</v>
      </c>
      <c r="C240" t="s">
        <v>1208</v>
      </c>
      <c r="D240" t="s">
        <v>1215</v>
      </c>
      <c r="E240" t="s">
        <v>1215</v>
      </c>
      <c r="F240" t="s">
        <v>1216</v>
      </c>
      <c r="G240" s="75">
        <v>166810</v>
      </c>
      <c r="H240" t="s">
        <v>208</v>
      </c>
      <c r="I240" s="6">
        <v>0</v>
      </c>
      <c r="J240" s="78">
        <v>37230</v>
      </c>
      <c r="K240" s="78"/>
    </row>
    <row r="241" spans="2:11" x14ac:dyDescent="0.25">
      <c r="B241" t="s">
        <v>208</v>
      </c>
      <c r="C241" t="s">
        <v>645</v>
      </c>
      <c r="D241" t="s">
        <v>645</v>
      </c>
      <c r="E241" t="s">
        <v>1217</v>
      </c>
      <c r="F241" t="s">
        <v>1218</v>
      </c>
      <c r="G241" s="75">
        <v>2857</v>
      </c>
      <c r="H241">
        <v>1.198</v>
      </c>
      <c r="I241" s="6">
        <v>3</v>
      </c>
      <c r="J241" s="78">
        <v>43776</v>
      </c>
      <c r="K241" s="78"/>
    </row>
    <row r="242" spans="2:11" x14ac:dyDescent="0.25">
      <c r="B242" t="s">
        <v>208</v>
      </c>
      <c r="C242" t="s">
        <v>1219</v>
      </c>
      <c r="D242" t="s">
        <v>1219</v>
      </c>
      <c r="E242" t="s">
        <v>1220</v>
      </c>
      <c r="F242" t="s">
        <v>1221</v>
      </c>
      <c r="G242" s="75">
        <v>38011</v>
      </c>
      <c r="H242" t="s">
        <v>208</v>
      </c>
      <c r="I242" s="6">
        <v>0</v>
      </c>
      <c r="J242" s="78">
        <v>40749</v>
      </c>
      <c r="K242" s="78"/>
    </row>
    <row r="243" spans="2:11" x14ac:dyDescent="0.25">
      <c r="B243" t="s">
        <v>208</v>
      </c>
      <c r="C243" t="s">
        <v>1222</v>
      </c>
      <c r="D243" t="s">
        <v>1222</v>
      </c>
      <c r="E243" t="s">
        <v>208</v>
      </c>
      <c r="F243" t="s">
        <v>208</v>
      </c>
      <c r="G243" s="75">
        <v>0</v>
      </c>
      <c r="H243" t="s">
        <v>208</v>
      </c>
      <c r="I243" s="6">
        <v>0</v>
      </c>
      <c r="J243" s="78"/>
      <c r="K243" s="78"/>
    </row>
    <row r="244" spans="2:11" x14ac:dyDescent="0.25">
      <c r="B244" t="s">
        <v>208</v>
      </c>
      <c r="C244" t="s">
        <v>1222</v>
      </c>
      <c r="D244" t="s">
        <v>1223</v>
      </c>
      <c r="E244" t="s">
        <v>208</v>
      </c>
      <c r="F244" t="s">
        <v>208</v>
      </c>
      <c r="G244" s="75">
        <v>0</v>
      </c>
      <c r="H244" t="s">
        <v>208</v>
      </c>
      <c r="I244" s="6">
        <v>0</v>
      </c>
      <c r="J244" s="78"/>
      <c r="K244" s="78"/>
    </row>
    <row r="245" spans="2:11" x14ac:dyDescent="0.25">
      <c r="B245" t="s">
        <v>208</v>
      </c>
      <c r="C245" t="s">
        <v>1224</v>
      </c>
      <c r="D245" t="s">
        <v>1224</v>
      </c>
      <c r="E245" t="s">
        <v>208</v>
      </c>
      <c r="F245" t="s">
        <v>208</v>
      </c>
      <c r="G245" s="75">
        <v>33627</v>
      </c>
      <c r="H245">
        <v>2.665</v>
      </c>
      <c r="I245" s="6">
        <v>1</v>
      </c>
      <c r="J245" s="78" t="s">
        <v>208</v>
      </c>
      <c r="K245" s="78"/>
    </row>
    <row r="246" spans="2:11" x14ac:dyDescent="0.25">
      <c r="B246" t="s">
        <v>208</v>
      </c>
      <c r="C246" t="s">
        <v>1224</v>
      </c>
      <c r="D246" t="s">
        <v>1225</v>
      </c>
      <c r="E246" t="s">
        <v>208</v>
      </c>
      <c r="F246" t="s">
        <v>208</v>
      </c>
      <c r="G246" s="75">
        <v>33627</v>
      </c>
      <c r="H246">
        <v>2.665</v>
      </c>
      <c r="I246" s="6">
        <v>1</v>
      </c>
      <c r="J246" s="78"/>
      <c r="K246" s="78"/>
    </row>
    <row r="247" spans="2:11" x14ac:dyDescent="0.25">
      <c r="B247" t="s">
        <v>208</v>
      </c>
      <c r="C247" t="s">
        <v>1224</v>
      </c>
      <c r="D247" t="s">
        <v>1226</v>
      </c>
      <c r="E247" t="s">
        <v>208</v>
      </c>
      <c r="F247" t="s">
        <v>208</v>
      </c>
      <c r="G247" s="75">
        <v>33627</v>
      </c>
      <c r="H247">
        <v>2.665</v>
      </c>
      <c r="I247" s="6">
        <v>1</v>
      </c>
      <c r="J247" s="78"/>
      <c r="K247" s="78"/>
    </row>
    <row r="248" spans="2:11" x14ac:dyDescent="0.25">
      <c r="B248" t="s">
        <v>208</v>
      </c>
      <c r="C248" t="s">
        <v>1224</v>
      </c>
      <c r="D248" t="s">
        <v>542</v>
      </c>
      <c r="E248" t="s">
        <v>835</v>
      </c>
      <c r="F248" t="s">
        <v>1227</v>
      </c>
      <c r="G248" s="75">
        <v>33627</v>
      </c>
      <c r="H248">
        <v>2.665</v>
      </c>
      <c r="I248" s="6">
        <v>1</v>
      </c>
      <c r="J248" s="78">
        <v>38467</v>
      </c>
      <c r="K248" s="78"/>
    </row>
    <row r="249" spans="2:11" x14ac:dyDescent="0.25">
      <c r="B249" t="s">
        <v>208</v>
      </c>
      <c r="C249" t="s">
        <v>1224</v>
      </c>
      <c r="D249" t="s">
        <v>1228</v>
      </c>
      <c r="E249" t="s">
        <v>208</v>
      </c>
      <c r="F249" t="s">
        <v>208</v>
      </c>
      <c r="G249" s="75">
        <v>33627</v>
      </c>
      <c r="H249">
        <v>2.665</v>
      </c>
      <c r="I249" s="6">
        <v>1</v>
      </c>
      <c r="J249" s="78"/>
      <c r="K249" s="78"/>
    </row>
    <row r="250" spans="2:11" x14ac:dyDescent="0.25">
      <c r="B250" t="s">
        <v>208</v>
      </c>
      <c r="C250" t="s">
        <v>1224</v>
      </c>
      <c r="D250" t="s">
        <v>1229</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1230</v>
      </c>
      <c r="E1" s="4"/>
    </row>
    <row r="2" spans="1:6" x14ac:dyDescent="0.25">
      <c r="A2" s="34" t="s">
        <v>227</v>
      </c>
    </row>
    <row r="3" spans="1:6" s="9" customFormat="1" x14ac:dyDescent="0.25"/>
    <row r="4" spans="1:6" s="2" customFormat="1" ht="30" x14ac:dyDescent="0.25">
      <c r="B4" s="1" t="s">
        <v>1231</v>
      </c>
      <c r="C4" s="2" t="s">
        <v>1232</v>
      </c>
      <c r="D4" s="2" t="s">
        <v>1233</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767</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1234</v>
      </c>
    </row>
    <row r="2" spans="1:10" x14ac:dyDescent="0.25">
      <c r="A2" s="34" t="s">
        <v>227</v>
      </c>
    </row>
    <row r="4" spans="1:10" ht="23.25" x14ac:dyDescent="0.25">
      <c r="B4" s="113" t="s">
        <v>1235</v>
      </c>
      <c r="C4" s="113" t="s">
        <v>1236</v>
      </c>
      <c r="D4" s="113" t="s">
        <v>1237</v>
      </c>
      <c r="E4" s="113" t="s">
        <v>1238</v>
      </c>
      <c r="F4" s="113" t="s">
        <v>1610</v>
      </c>
      <c r="G4" s="113" t="s">
        <v>1240</v>
      </c>
      <c r="H4" s="113" t="s">
        <v>1239</v>
      </c>
      <c r="I4" s="113" t="s">
        <v>1241</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1242</v>
      </c>
      <c r="F7" s="6">
        <v>1</v>
      </c>
      <c r="G7" s="6" t="s">
        <v>1243</v>
      </c>
      <c r="H7" s="6">
        <v>1</v>
      </c>
      <c r="I7" s="6">
        <v>1</v>
      </c>
      <c r="J7" s="111" t="e">
        <f>SUMPRODUCT(--($B$6:$I$6&gt;0),$B$7:$I$7)</f>
        <v>#N/A</v>
      </c>
    </row>
    <row r="9" spans="1:10" s="2" customFormat="1" ht="45.75" x14ac:dyDescent="0.25">
      <c r="A9" s="63" t="s">
        <v>1244</v>
      </c>
      <c r="B9" s="112" t="s">
        <v>767</v>
      </c>
      <c r="C9" s="112" t="s">
        <v>769</v>
      </c>
      <c r="D9" s="112" t="s">
        <v>235</v>
      </c>
      <c r="E9" s="112" t="s">
        <v>1245</v>
      </c>
      <c r="F9" s="112" t="s">
        <v>1611</v>
      </c>
      <c r="G9" s="112" t="s">
        <v>1246</v>
      </c>
      <c r="H9" s="112" t="s">
        <v>237</v>
      </c>
      <c r="I9" s="112" t="s">
        <v>770</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1247</v>
      </c>
    </row>
    <row r="2" spans="1:8" x14ac:dyDescent="0.25">
      <c r="A2" s="34" t="s">
        <v>227</v>
      </c>
    </row>
    <row r="4" spans="1:8" x14ac:dyDescent="0.25">
      <c r="B4" t="s">
        <v>1248</v>
      </c>
    </row>
    <row r="5" spans="1:8" x14ac:dyDescent="0.25">
      <c r="B5" t="s">
        <v>1249</v>
      </c>
    </row>
    <row r="7" spans="1:8" x14ac:dyDescent="0.25">
      <c r="C7" s="321" t="s">
        <v>1250</v>
      </c>
      <c r="D7" s="321"/>
      <c r="E7" s="321"/>
      <c r="F7" s="322" t="s">
        <v>1251</v>
      </c>
      <c r="G7" s="322"/>
      <c r="H7" s="322"/>
    </row>
    <row r="8" spans="1:8" s="2" customFormat="1" ht="30" x14ac:dyDescent="0.25">
      <c r="B8" s="2" t="s">
        <v>1252</v>
      </c>
      <c r="C8" s="103" t="s">
        <v>1253</v>
      </c>
      <c r="D8" s="105" t="s">
        <v>1254</v>
      </c>
      <c r="E8" s="105" t="s">
        <v>1255</v>
      </c>
      <c r="F8" s="104" t="s">
        <v>1253</v>
      </c>
      <c r="G8" s="2" t="s">
        <v>1254</v>
      </c>
      <c r="H8" s="105" t="s">
        <v>1255</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1256</v>
      </c>
      <c r="B1" s="1"/>
      <c r="L1" t="s">
        <v>1257</v>
      </c>
    </row>
    <row r="2" spans="1:58" x14ac:dyDescent="0.25">
      <c r="A2" s="34" t="s">
        <v>1258</v>
      </c>
      <c r="B2" s="34"/>
      <c r="L2" t="s">
        <v>1259</v>
      </c>
    </row>
    <row r="3" spans="1:58" x14ac:dyDescent="0.25">
      <c r="L3" t="s">
        <v>1260</v>
      </c>
      <c r="T3" s="89" t="str">
        <f>IF(TDU_IDd,"","(Enter ZIP Code to include delivery costs)")</f>
        <v>(Enter ZIP Code to include delivery costs)</v>
      </c>
    </row>
    <row r="4" spans="1:58" x14ac:dyDescent="0.25">
      <c r="D4" t="s">
        <v>1261</v>
      </c>
      <c r="E4" s="1"/>
      <c r="F4" s="1"/>
      <c r="G4" s="1"/>
      <c r="H4" t="s">
        <v>203</v>
      </c>
      <c r="I4" s="1"/>
      <c r="J4" t="s">
        <v>1262</v>
      </c>
      <c r="K4" s="1"/>
      <c r="L4" s="152" t="s">
        <v>1263</v>
      </c>
      <c r="M4" s="1"/>
      <c r="N4" s="1"/>
      <c r="O4" s="1"/>
      <c r="P4" s="1"/>
      <c r="Q4" s="1"/>
      <c r="R4" s="1"/>
      <c r="S4" s="1"/>
      <c r="T4" s="89" t="str">
        <f>IF($L$5=1,"Lowest Electric Rates (Energy Only)",IF(L5=2,"             Lowest Electric Rates",""))</f>
        <v>Lowest Electric Rates (Energy Only)</v>
      </c>
      <c r="W4" s="135" t="s">
        <v>1264</v>
      </c>
      <c r="X4" s="1" t="s">
        <v>1265</v>
      </c>
      <c r="Y4" s="1" t="s">
        <v>1266</v>
      </c>
      <c r="Z4" s="1" t="s">
        <v>1267</v>
      </c>
      <c r="AA4" s="1" t="s">
        <v>1268</v>
      </c>
      <c r="AB4" s="1" t="s">
        <v>1269</v>
      </c>
      <c r="AC4" s="1" t="s">
        <v>1270</v>
      </c>
      <c r="AD4" s="1" t="s">
        <v>1271</v>
      </c>
      <c r="AE4" s="1" t="s">
        <v>1272</v>
      </c>
      <c r="AF4" s="1" t="s">
        <v>1273</v>
      </c>
      <c r="AG4" s="1" t="s">
        <v>1274</v>
      </c>
      <c r="AP4" s="153"/>
    </row>
    <row r="5" spans="1:58" x14ac:dyDescent="0.25">
      <c r="B5" s="89" t="s">
        <v>1275</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1276</v>
      </c>
      <c r="X5">
        <v>3</v>
      </c>
      <c r="Y5">
        <f>MATCH(LEFT($T$6,3)&amp;"-"&amp;X5&amp;"-"&amp;$T$11,$V$16:$AK$16,0)</f>
        <v>9</v>
      </c>
      <c r="Z5" s="152">
        <f>INDEX($V$17:$AK$3564,$T$13,$Y5)+$T$5*$U$13</f>
        <v>2.621</v>
      </c>
      <c r="AA5" s="152">
        <f>INDEX($V$17:$AK$3564,$T$13,$Y5)+$U$13</f>
        <v>8.8535000000000004</v>
      </c>
      <c r="AG5" t="s">
        <v>1277</v>
      </c>
      <c r="AP5" s="153"/>
    </row>
    <row r="6" spans="1:58" x14ac:dyDescent="0.25">
      <c r="B6" s="89" t="s">
        <v>1278</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1279</v>
      </c>
      <c r="X6">
        <v>6</v>
      </c>
      <c r="Y6">
        <f>MATCH(LEFT($T$6,3)&amp;"-"&amp;X6&amp;"-"&amp;$T$11,$V$16:$AK$16,0)</f>
        <v>10</v>
      </c>
      <c r="Z6" s="152">
        <f>INDEX($V$17:$AK$3564,$T$13,$Y6)+$T$5*$U$13</f>
        <v>4.5720000000000001</v>
      </c>
      <c r="AA6" s="152">
        <f>INDEX($V$17:$AK$3564,$T$13,$Y6)+$U$13</f>
        <v>10.804500000000001</v>
      </c>
      <c r="AG6" t="s">
        <v>1280</v>
      </c>
      <c r="AP6" s="153"/>
    </row>
    <row r="7" spans="1:58" x14ac:dyDescent="0.25">
      <c r="B7" s="89" t="s">
        <v>1281</v>
      </c>
      <c r="D7">
        <f>INDEX($Y$5:$Y$11,D$5)</f>
        <v>11</v>
      </c>
      <c r="H7" t="e">
        <f>INDEX($Y$5:$Y$11,H$5)</f>
        <v>#N/A</v>
      </c>
      <c r="J7" t="e">
        <f>INDEX($Y$5:$Y$12,J$5)</f>
        <v>#N/A</v>
      </c>
      <c r="K7" s="152"/>
      <c r="L7" s="152"/>
      <c r="M7" s="152"/>
      <c r="N7" s="152"/>
      <c r="O7" s="152"/>
      <c r="P7" s="152"/>
      <c r="Q7" s="152"/>
      <c r="R7" s="152"/>
      <c r="S7" s="152"/>
      <c r="T7" s="89" t="str">
        <f>IF(LEFT($T$6,3)="CEN","Houston","DFW")</f>
        <v>DFW</v>
      </c>
      <c r="W7" s="89" t="s">
        <v>1282</v>
      </c>
      <c r="X7">
        <v>12</v>
      </c>
      <c r="Y7">
        <f>MATCH(LEFT($T$6,3)&amp;"-"&amp;X7&amp;"-"&amp;$T$11,$V$16:$AK$16,0)</f>
        <v>11</v>
      </c>
      <c r="Z7" s="152">
        <f>INDEX($V$17:$AK$3564,$T$13,$Y7)+$T$5*$U$13</f>
        <v>4.71</v>
      </c>
      <c r="AA7" s="152">
        <f>INDEX($V$17:$AK$3564,$T$13,$Y7)+$U$13</f>
        <v>10.942499999999999</v>
      </c>
      <c r="AG7" t="s">
        <v>1283</v>
      </c>
      <c r="AP7" s="153"/>
    </row>
    <row r="8" spans="1:58" x14ac:dyDescent="0.25">
      <c r="B8" s="89" t="s">
        <v>1284</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1285</v>
      </c>
      <c r="X8">
        <v>24</v>
      </c>
      <c r="Y8">
        <f>MATCH(LEFT($T$6,3)&amp;"-"&amp;X8&amp;"-"&amp;$T$11,$V$16:$AK$16,0)</f>
        <v>12</v>
      </c>
      <c r="Z8" s="152">
        <f>INDEX($V$17:$AK$3564,$T$13,$Y8)+$T$5*$U$13</f>
        <v>5.61</v>
      </c>
      <c r="AA8" s="152">
        <f>INDEX($V$17:$AK$3564,$T$13,$Y8)+$U$13</f>
        <v>11.842500000000001</v>
      </c>
      <c r="AG8" t="s">
        <v>1286</v>
      </c>
      <c r="AP8" s="153"/>
    </row>
    <row r="9" spans="1:58" x14ac:dyDescent="0.25">
      <c r="B9" s="89" t="s">
        <v>1287</v>
      </c>
      <c r="D9">
        <f>INDEX($AC$5:$AC$11,D$5)</f>
        <v>0</v>
      </c>
      <c r="H9" t="e">
        <f>INDEX($AC$5:$AC$11,H$5)</f>
        <v>#N/A</v>
      </c>
      <c r="J9" t="e">
        <f>INDEX($AC$5:$AC$12,J$5)</f>
        <v>#N/A</v>
      </c>
      <c r="T9" s="89" t="s">
        <v>1288</v>
      </c>
      <c r="W9" s="89" t="s">
        <v>1289</v>
      </c>
      <c r="X9">
        <v>12</v>
      </c>
      <c r="Y9">
        <f>19+(LEFT($T$6,3)="ONC")</f>
        <v>20</v>
      </c>
      <c r="AB9" s="53">
        <v>0.15</v>
      </c>
      <c r="AC9">
        <v>9.99</v>
      </c>
      <c r="AD9" s="185">
        <v>2.5000000000000001E-2</v>
      </c>
      <c r="AE9">
        <v>0.25</v>
      </c>
      <c r="AG9" t="s">
        <v>1290</v>
      </c>
      <c r="AP9" s="153"/>
    </row>
    <row r="10" spans="1:58" x14ac:dyDescent="0.25">
      <c r="B10" s="89" t="s">
        <v>1291</v>
      </c>
      <c r="D10">
        <f>INDEX($AD$5:$AD$11,D$5)</f>
        <v>0</v>
      </c>
      <c r="H10" t="e">
        <f>INDEX($AD$5:$AD$11,H$5)</f>
        <v>#N/A</v>
      </c>
      <c r="J10" t="e">
        <f>INDEX($AD$5:$AD$12,J$5)</f>
        <v>#N/A</v>
      </c>
      <c r="T10" s="89" t="s">
        <v>1292</v>
      </c>
      <c r="W10" s="89" t="s">
        <v>1293</v>
      </c>
      <c r="X10">
        <v>1</v>
      </c>
      <c r="Y10">
        <f>17+(LEFT($T$6,3)="ONC")</f>
        <v>18</v>
      </c>
      <c r="AB10" s="53">
        <v>0.15</v>
      </c>
      <c r="AC10">
        <v>9.99</v>
      </c>
      <c r="AD10" s="185">
        <v>2.5000000000000001E-2</v>
      </c>
      <c r="AE10">
        <v>0.25</v>
      </c>
      <c r="AG10" t="s">
        <v>1294</v>
      </c>
      <c r="AP10" s="153"/>
    </row>
    <row r="11" spans="1:58" x14ac:dyDescent="0.25">
      <c r="B11" s="89" t="s">
        <v>1295</v>
      </c>
      <c r="D11">
        <f>INDEX($AE$5:$AE$11,D$5)</f>
        <v>0</v>
      </c>
      <c r="H11" t="e">
        <f>INDEX($AE$5:$AE$11,H$5)</f>
        <v>#N/A</v>
      </c>
      <c r="J11" t="e">
        <f>INDEX($AE$5:$AE$12,J$5)</f>
        <v>#N/A</v>
      </c>
      <c r="T11" s="5">
        <f>IF(Calculator!BV3&lt;1500,1000,2000)</f>
        <v>2000</v>
      </c>
      <c r="W11" s="89" t="s">
        <v>1296</v>
      </c>
      <c r="X11">
        <v>1</v>
      </c>
      <c r="Y11">
        <v>21</v>
      </c>
      <c r="AB11" s="53"/>
      <c r="AD11" s="185"/>
      <c r="AG11" t="s">
        <v>1297</v>
      </c>
      <c r="AP11" s="153"/>
    </row>
    <row r="12" spans="1:58" x14ac:dyDescent="0.25">
      <c r="B12" s="156"/>
      <c r="C12" s="155">
        <f>IF($L$5=3,DATEVALUE("1/1/2020"),DATEVALUE("1/1/2017"))</f>
        <v>42736</v>
      </c>
      <c r="N12">
        <f>MIN(Plan_Length,12)</f>
        <v>12</v>
      </c>
      <c r="Q12">
        <f>MIN(Term_Max,12)</f>
        <v>12</v>
      </c>
      <c r="W12" s="89" t="s">
        <v>1298</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IF(Show_Plan,IF($T$5,INDEX(Database!$BQ$8:$BQ$360,Plan_DBRow),INDEX(Database!$BR$8:$BR$360,Plan_DBRow)),NA())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1299</v>
      </c>
      <c r="BE14" s="192" t="s">
        <v>1300</v>
      </c>
    </row>
    <row r="15" spans="1:58" hidden="1" x14ac:dyDescent="0.25"/>
    <row r="16" spans="1:58" ht="78.75" customHeight="1" x14ac:dyDescent="0.25">
      <c r="C16" s="63" t="s">
        <v>1252</v>
      </c>
      <c r="D16" s="63" t="s">
        <v>1282</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1301</v>
      </c>
      <c r="U16" s="63" t="s">
        <v>1302</v>
      </c>
      <c r="V16" s="151" t="s">
        <v>1303</v>
      </c>
      <c r="W16" s="151" t="s">
        <v>1304</v>
      </c>
      <c r="X16" s="151" t="s">
        <v>1305</v>
      </c>
      <c r="Y16" s="151" t="s">
        <v>1306</v>
      </c>
      <c r="Z16" s="151" t="s">
        <v>1307</v>
      </c>
      <c r="AA16" s="151" t="s">
        <v>1308</v>
      </c>
      <c r="AB16" s="151" t="s">
        <v>1309</v>
      </c>
      <c r="AC16" s="151" t="s">
        <v>1310</v>
      </c>
      <c r="AD16" s="151" t="s">
        <v>1311</v>
      </c>
      <c r="AE16" s="151" t="s">
        <v>1312</v>
      </c>
      <c r="AF16" s="151" t="s">
        <v>1313</v>
      </c>
      <c r="AG16" s="151" t="s">
        <v>1314</v>
      </c>
      <c r="AH16" s="151" t="s">
        <v>1315</v>
      </c>
      <c r="AI16" s="151" t="s">
        <v>1316</v>
      </c>
      <c r="AJ16" s="151" t="s">
        <v>1317</v>
      </c>
      <c r="AK16" s="151" t="s">
        <v>1318</v>
      </c>
      <c r="AL16" s="187" t="s">
        <v>1319</v>
      </c>
      <c r="AM16" s="187" t="s">
        <v>1320</v>
      </c>
      <c r="AN16" s="151" t="s">
        <v>1321</v>
      </c>
      <c r="AO16" s="151" t="s">
        <v>1322</v>
      </c>
      <c r="AP16" s="151" t="s">
        <v>1323</v>
      </c>
      <c r="AQ16" s="151" t="s">
        <v>1324</v>
      </c>
      <c r="AR16" s="63" t="s">
        <v>1325</v>
      </c>
      <c r="AS16" s="63" t="s">
        <v>1326</v>
      </c>
      <c r="AT16" s="63" t="s">
        <v>1327</v>
      </c>
      <c r="AU16" s="63" t="s">
        <v>1328</v>
      </c>
      <c r="AV16" s="63" t="s">
        <v>1329</v>
      </c>
      <c r="AW16" s="151" t="s">
        <v>1330</v>
      </c>
      <c r="AX16" s="151" t="s">
        <v>1331</v>
      </c>
      <c r="AY16" s="151" t="s">
        <v>1332</v>
      </c>
      <c r="AZ16" s="151" t="s">
        <v>1333</v>
      </c>
      <c r="BA16" s="151" t="s">
        <v>1334</v>
      </c>
      <c r="BB16" s="188" t="s">
        <v>1335</v>
      </c>
      <c r="BC16" s="188" t="s">
        <v>1319</v>
      </c>
      <c r="BD16" s="188" t="s">
        <v>1336</v>
      </c>
      <c r="BE16" s="193" t="s">
        <v>1335</v>
      </c>
      <c r="BF16" s="188" t="s">
        <v>1337</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1338</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1339</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1340</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1341</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1342</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1343</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1344</v>
      </c>
      <c r="E1" s="6">
        <f>IFERROR(IF(INDEX(UnlockCodes[Expiration],MATCH(Unlock_Code,UnlockCodes[Code],0))&gt;Rel_Date,0,1),2)</f>
        <v>2</v>
      </c>
    </row>
    <row r="2" spans="1:5" x14ac:dyDescent="0.25">
      <c r="A2" s="84" t="s">
        <v>227</v>
      </c>
    </row>
    <row r="4" spans="1:5" s="1" customFormat="1" x14ac:dyDescent="0.25">
      <c r="B4" s="1" t="s">
        <v>1345</v>
      </c>
      <c r="C4" s="1" t="s">
        <v>1346</v>
      </c>
      <c r="D4" s="1" t="s">
        <v>1347</v>
      </c>
      <c r="E4" s="1" t="s">
        <v>1348</v>
      </c>
    </row>
    <row r="5" spans="1:5" x14ac:dyDescent="0.25">
      <c r="B5" t="s">
        <v>1349</v>
      </c>
      <c r="C5" s="3">
        <v>43531</v>
      </c>
      <c r="D5" s="3">
        <v>43783</v>
      </c>
    </row>
    <row r="6" spans="1:5" x14ac:dyDescent="0.25">
      <c r="B6" t="s">
        <v>1350</v>
      </c>
      <c r="C6" s="3">
        <v>43660</v>
      </c>
      <c r="D6" s="3">
        <v>43800</v>
      </c>
    </row>
    <row r="7" spans="1:5" x14ac:dyDescent="0.25">
      <c r="B7" t="s">
        <v>1351</v>
      </c>
      <c r="C7" s="3">
        <v>43678</v>
      </c>
      <c r="D7" s="3">
        <v>43800</v>
      </c>
    </row>
    <row r="8" spans="1:5" x14ac:dyDescent="0.25">
      <c r="B8" t="s">
        <v>1352</v>
      </c>
      <c r="C8" s="3">
        <v>43709</v>
      </c>
      <c r="D8" s="3">
        <v>43831</v>
      </c>
    </row>
    <row r="9" spans="1:5" x14ac:dyDescent="0.25">
      <c r="B9" t="s">
        <v>1353</v>
      </c>
      <c r="C9" s="3">
        <v>43739</v>
      </c>
      <c r="D9" s="3">
        <v>43862</v>
      </c>
    </row>
    <row r="10" spans="1:5" x14ac:dyDescent="0.25">
      <c r="B10" t="s">
        <v>1354</v>
      </c>
      <c r="C10" s="3">
        <v>43770</v>
      </c>
      <c r="D10" s="3">
        <v>43891</v>
      </c>
    </row>
    <row r="11" spans="1:5" x14ac:dyDescent="0.25">
      <c r="B11" t="s">
        <v>1355</v>
      </c>
      <c r="C11" s="3">
        <v>43800</v>
      </c>
      <c r="D11" s="3">
        <v>43922</v>
      </c>
    </row>
    <row r="12" spans="1:5" x14ac:dyDescent="0.25">
      <c r="B12" t="s">
        <v>1356</v>
      </c>
      <c r="C12" s="3">
        <v>43831</v>
      </c>
      <c r="D12" s="3">
        <v>43952</v>
      </c>
    </row>
    <row r="13" spans="1:5" x14ac:dyDescent="0.25">
      <c r="B13" t="s">
        <v>1357</v>
      </c>
      <c r="C13" s="3">
        <v>43862</v>
      </c>
      <c r="D13" s="3">
        <v>43983</v>
      </c>
    </row>
    <row r="14" spans="1:5" x14ac:dyDescent="0.25">
      <c r="B14" t="s">
        <v>1358</v>
      </c>
      <c r="C14" s="3">
        <v>43891</v>
      </c>
      <c r="D14" s="3">
        <v>44013</v>
      </c>
    </row>
    <row r="15" spans="1:5" x14ac:dyDescent="0.25">
      <c r="B15" t="s">
        <v>1359</v>
      </c>
      <c r="C15" s="3">
        <v>43913</v>
      </c>
      <c r="D15" s="3">
        <v>43983</v>
      </c>
      <c r="E15" t="s">
        <v>1360</v>
      </c>
    </row>
    <row r="16" spans="1:5" x14ac:dyDescent="0.25">
      <c r="B16" t="s">
        <v>1361</v>
      </c>
      <c r="C16" s="3">
        <v>43922</v>
      </c>
      <c r="D16" s="3">
        <v>44044</v>
      </c>
    </row>
    <row r="17" spans="2:5" x14ac:dyDescent="0.25">
      <c r="B17" t="s">
        <v>1362</v>
      </c>
      <c r="C17" s="3">
        <v>43952</v>
      </c>
      <c r="D17" s="3">
        <v>44044</v>
      </c>
      <c r="E17" t="s">
        <v>1360</v>
      </c>
    </row>
    <row r="18" spans="2:5" x14ac:dyDescent="0.25">
      <c r="B18" t="s">
        <v>1363</v>
      </c>
      <c r="C18" s="3">
        <v>43952</v>
      </c>
      <c r="D18" s="3">
        <v>44075</v>
      </c>
    </row>
    <row r="19" spans="2:5" x14ac:dyDescent="0.25">
      <c r="B19" t="s">
        <v>1364</v>
      </c>
      <c r="C19" s="3">
        <v>43982</v>
      </c>
      <c r="D19" s="3">
        <v>44075</v>
      </c>
      <c r="E19" t="s">
        <v>1360</v>
      </c>
    </row>
    <row r="20" spans="2:5" x14ac:dyDescent="0.25">
      <c r="B20" t="s">
        <v>1365</v>
      </c>
      <c r="C20" s="3">
        <v>43982</v>
      </c>
      <c r="D20" s="3">
        <v>44105</v>
      </c>
    </row>
    <row r="21" spans="2:5" x14ac:dyDescent="0.25">
      <c r="B21" t="s">
        <v>1366</v>
      </c>
      <c r="C21" s="3">
        <v>44013</v>
      </c>
      <c r="D21" s="3">
        <v>44105</v>
      </c>
      <c r="E21" t="s">
        <v>1360</v>
      </c>
    </row>
    <row r="22" spans="2:5" x14ac:dyDescent="0.25">
      <c r="B22" t="s">
        <v>1367</v>
      </c>
      <c r="C22" s="3">
        <v>44013</v>
      </c>
      <c r="D22" s="3">
        <v>44136</v>
      </c>
    </row>
    <row r="23" spans="2:5" x14ac:dyDescent="0.25">
      <c r="B23" t="s">
        <v>1368</v>
      </c>
      <c r="C23" s="3">
        <v>44044</v>
      </c>
      <c r="D23" s="3">
        <v>44136</v>
      </c>
      <c r="E23" t="s">
        <v>1360</v>
      </c>
    </row>
    <row r="24" spans="2:5" x14ac:dyDescent="0.25">
      <c r="B24" t="s">
        <v>1369</v>
      </c>
      <c r="C24" s="3">
        <v>44044</v>
      </c>
      <c r="D24" s="3">
        <v>44166</v>
      </c>
    </row>
    <row r="25" spans="2:5" x14ac:dyDescent="0.25">
      <c r="B25" t="s">
        <v>1370</v>
      </c>
      <c r="C25" s="3">
        <v>44075</v>
      </c>
      <c r="D25" s="3">
        <v>44166</v>
      </c>
      <c r="E25" t="s">
        <v>1360</v>
      </c>
    </row>
    <row r="26" spans="2:5" x14ac:dyDescent="0.25">
      <c r="B26" t="s">
        <v>1371</v>
      </c>
      <c r="C26" s="3">
        <v>44075</v>
      </c>
      <c r="D26" s="3">
        <v>44197</v>
      </c>
    </row>
    <row r="27" spans="2:5" x14ac:dyDescent="0.25">
      <c r="B27" t="s">
        <v>1372</v>
      </c>
      <c r="C27" s="3">
        <v>44105</v>
      </c>
      <c r="D27" s="3">
        <v>44228</v>
      </c>
    </row>
    <row r="28" spans="2:5" x14ac:dyDescent="0.25">
      <c r="B28" t="s">
        <v>1373</v>
      </c>
      <c r="C28" s="3">
        <v>44136</v>
      </c>
      <c r="D28" s="3">
        <v>44256</v>
      </c>
    </row>
    <row r="29" spans="2:5" x14ac:dyDescent="0.25">
      <c r="B29" t="s">
        <v>1374</v>
      </c>
      <c r="C29" s="3">
        <v>44166</v>
      </c>
      <c r="D29" s="3">
        <v>44287</v>
      </c>
    </row>
    <row r="30" spans="2:5" x14ac:dyDescent="0.25">
      <c r="B30" t="s">
        <v>1375</v>
      </c>
      <c r="C30" s="3">
        <v>44197</v>
      </c>
      <c r="D30" s="3">
        <v>44317</v>
      </c>
    </row>
    <row r="31" spans="2:5" x14ac:dyDescent="0.25">
      <c r="B31" t="s">
        <v>1376</v>
      </c>
      <c r="C31" s="3">
        <v>44228</v>
      </c>
      <c r="D31" s="3">
        <v>44348</v>
      </c>
    </row>
    <row r="32" spans="2:5" x14ac:dyDescent="0.25">
      <c r="B32" t="s">
        <v>1377</v>
      </c>
      <c r="C32" s="3">
        <v>44256</v>
      </c>
      <c r="D32" s="3">
        <v>44378</v>
      </c>
    </row>
    <row r="33" spans="2:4" x14ac:dyDescent="0.25">
      <c r="B33" t="s">
        <v>1378</v>
      </c>
      <c r="C33" s="3">
        <v>44287</v>
      </c>
      <c r="D33" s="3">
        <v>44409</v>
      </c>
    </row>
    <row r="34" spans="2:4" x14ac:dyDescent="0.25">
      <c r="B34" t="s">
        <v>1379</v>
      </c>
      <c r="C34" s="3">
        <v>44317</v>
      </c>
      <c r="D34" s="3">
        <v>44440</v>
      </c>
    </row>
    <row r="35" spans="2:4" x14ac:dyDescent="0.25">
      <c r="B35" t="s">
        <v>1380</v>
      </c>
      <c r="C35" s="3">
        <v>44317</v>
      </c>
      <c r="D35" s="3">
        <v>44440</v>
      </c>
    </row>
    <row r="36" spans="2:4" x14ac:dyDescent="0.25">
      <c r="B36" t="s">
        <v>1381</v>
      </c>
      <c r="C36" s="3">
        <v>44348</v>
      </c>
      <c r="D36" s="3">
        <v>44470</v>
      </c>
    </row>
    <row r="37" spans="2:4" x14ac:dyDescent="0.25">
      <c r="B37" t="s">
        <v>1382</v>
      </c>
      <c r="C37" s="3">
        <v>44378</v>
      </c>
      <c r="D37" s="3">
        <v>44501</v>
      </c>
    </row>
    <row r="38" spans="2:4" x14ac:dyDescent="0.25">
      <c r="B38" t="s">
        <v>1383</v>
      </c>
      <c r="C38" s="3">
        <v>44409</v>
      </c>
      <c r="D38" s="3">
        <v>44531</v>
      </c>
    </row>
    <row r="39" spans="2:4" x14ac:dyDescent="0.25">
      <c r="B39" t="s">
        <v>1384</v>
      </c>
      <c r="C39" s="3">
        <v>44440</v>
      </c>
      <c r="D39" s="3">
        <v>44562</v>
      </c>
    </row>
    <row r="40" spans="2:4" x14ac:dyDescent="0.25">
      <c r="B40" t="s">
        <v>1385</v>
      </c>
      <c r="C40" s="3">
        <v>44470</v>
      </c>
      <c r="D40" s="3">
        <v>44593</v>
      </c>
    </row>
    <row r="41" spans="2:4" x14ac:dyDescent="0.25">
      <c r="B41" t="s">
        <v>1386</v>
      </c>
      <c r="C41" s="3">
        <v>44501</v>
      </c>
      <c r="D41" s="3">
        <v>44621</v>
      </c>
    </row>
    <row r="42" spans="2:4" x14ac:dyDescent="0.25">
      <c r="B42" t="s">
        <v>1387</v>
      </c>
      <c r="C42" s="3">
        <v>44531</v>
      </c>
      <c r="D42" s="3">
        <v>44652</v>
      </c>
    </row>
    <row r="43" spans="2:4" x14ac:dyDescent="0.25">
      <c r="B43" t="s">
        <v>1388</v>
      </c>
      <c r="C43" s="3">
        <v>44562</v>
      </c>
      <c r="D43" s="3">
        <v>44682</v>
      </c>
    </row>
    <row r="44" spans="2:4" x14ac:dyDescent="0.25">
      <c r="B44" t="s">
        <v>1389</v>
      </c>
      <c r="C44" s="3">
        <v>44593</v>
      </c>
      <c r="D44" s="3">
        <v>44713</v>
      </c>
    </row>
    <row r="45" spans="2:4" x14ac:dyDescent="0.25">
      <c r="B45" t="s">
        <v>1390</v>
      </c>
      <c r="C45" s="3">
        <v>44621</v>
      </c>
      <c r="D45" s="3">
        <v>44743</v>
      </c>
    </row>
    <row r="46" spans="2:4" x14ac:dyDescent="0.25">
      <c r="B46" t="s">
        <v>1391</v>
      </c>
      <c r="C46" s="3">
        <v>44652</v>
      </c>
      <c r="D46" s="3">
        <v>44774</v>
      </c>
    </row>
    <row r="47" spans="2:4" x14ac:dyDescent="0.25">
      <c r="B47" t="s">
        <v>1392</v>
      </c>
      <c r="C47" s="3">
        <v>44682</v>
      </c>
      <c r="D47" s="3">
        <v>44805</v>
      </c>
    </row>
    <row r="48" spans="2:4" x14ac:dyDescent="0.25">
      <c r="B48" t="s">
        <v>1393</v>
      </c>
      <c r="C48" s="3">
        <v>44713</v>
      </c>
      <c r="D48" s="3">
        <v>44835</v>
      </c>
    </row>
    <row r="49" spans="2:4" x14ac:dyDescent="0.25">
      <c r="B49" t="s">
        <v>1394</v>
      </c>
      <c r="C49" s="3">
        <v>44743</v>
      </c>
      <c r="D49" s="3">
        <v>44866</v>
      </c>
    </row>
    <row r="50" spans="2:4" x14ac:dyDescent="0.25">
      <c r="B50" t="s">
        <v>1395</v>
      </c>
      <c r="C50" s="3">
        <v>44774</v>
      </c>
      <c r="D50" s="3">
        <v>44896</v>
      </c>
    </row>
    <row r="51" spans="2:4" x14ac:dyDescent="0.25">
      <c r="B51" t="s">
        <v>1396</v>
      </c>
      <c r="C51" s="3">
        <v>44805</v>
      </c>
      <c r="D51" s="3">
        <v>44927</v>
      </c>
    </row>
    <row r="52" spans="2:4" x14ac:dyDescent="0.25">
      <c r="B52" t="s">
        <v>1397</v>
      </c>
      <c r="C52" s="3">
        <v>44835</v>
      </c>
      <c r="D52" s="3">
        <v>44958</v>
      </c>
    </row>
    <row r="53" spans="2:4" x14ac:dyDescent="0.25">
      <c r="B53" t="s">
        <v>1398</v>
      </c>
      <c r="C53" s="3">
        <v>44866</v>
      </c>
      <c r="D53" s="3">
        <v>44986</v>
      </c>
    </row>
    <row r="54" spans="2:4" x14ac:dyDescent="0.25">
      <c r="B54" t="s">
        <v>1399</v>
      </c>
      <c r="C54" s="3">
        <v>44896</v>
      </c>
      <c r="D54" s="3">
        <v>45017</v>
      </c>
    </row>
    <row r="55" spans="2:4" x14ac:dyDescent="0.25">
      <c r="B55" t="s">
        <v>1400</v>
      </c>
      <c r="C55" s="3">
        <v>44927</v>
      </c>
      <c r="D55" s="3">
        <v>45047</v>
      </c>
    </row>
    <row r="56" spans="2:4" x14ac:dyDescent="0.25">
      <c r="B56" t="s">
        <v>1401</v>
      </c>
      <c r="C56" s="3">
        <v>44958</v>
      </c>
      <c r="D56" s="3">
        <v>45078</v>
      </c>
    </row>
    <row r="57" spans="2:4" x14ac:dyDescent="0.25">
      <c r="B57" t="s">
        <v>1402</v>
      </c>
      <c r="C57" s="3">
        <v>44986</v>
      </c>
      <c r="D57" s="3">
        <v>45108</v>
      </c>
    </row>
    <row r="58" spans="2:4" x14ac:dyDescent="0.25">
      <c r="B58" t="s">
        <v>1403</v>
      </c>
      <c r="C58" s="3">
        <v>45017</v>
      </c>
      <c r="D58" s="3">
        <v>45139</v>
      </c>
    </row>
    <row r="59" spans="2:4" x14ac:dyDescent="0.25">
      <c r="B59" t="s">
        <v>1404</v>
      </c>
      <c r="C59" s="3">
        <v>45047</v>
      </c>
      <c r="D59" s="3">
        <v>45170</v>
      </c>
    </row>
    <row r="60" spans="2:4" x14ac:dyDescent="0.25">
      <c r="B60" t="s">
        <v>1405</v>
      </c>
      <c r="C60" s="3">
        <v>45078</v>
      </c>
      <c r="D60" s="3">
        <v>45200</v>
      </c>
    </row>
    <row r="61" spans="2:4" x14ac:dyDescent="0.25">
      <c r="B61" t="s">
        <v>1406</v>
      </c>
      <c r="C61" s="3">
        <v>45108</v>
      </c>
      <c r="D61" s="3">
        <v>45231</v>
      </c>
    </row>
    <row r="62" spans="2:4" x14ac:dyDescent="0.25">
      <c r="B62" t="s">
        <v>1407</v>
      </c>
      <c r="C62" s="3">
        <v>45108</v>
      </c>
      <c r="D62" s="3">
        <v>45261</v>
      </c>
    </row>
    <row r="63" spans="2:4" x14ac:dyDescent="0.25">
      <c r="B63" t="s">
        <v>1408</v>
      </c>
      <c r="C63" s="3">
        <v>45170</v>
      </c>
      <c r="D63" s="3">
        <v>45292</v>
      </c>
    </row>
    <row r="64" spans="2:4" x14ac:dyDescent="0.25">
      <c r="B64" t="s">
        <v>1409</v>
      </c>
      <c r="C64" s="3">
        <v>45200</v>
      </c>
      <c r="D64" s="3">
        <v>45323</v>
      </c>
    </row>
    <row r="65" spans="2:4" x14ac:dyDescent="0.25">
      <c r="B65" t="s">
        <v>1410</v>
      </c>
      <c r="C65" s="3">
        <v>45231</v>
      </c>
      <c r="D65" s="3">
        <v>45352</v>
      </c>
    </row>
    <row r="66" spans="2:4" x14ac:dyDescent="0.25">
      <c r="B66" t="s">
        <v>1411</v>
      </c>
      <c r="C66" s="3">
        <v>45261</v>
      </c>
      <c r="D66" s="3">
        <v>45383</v>
      </c>
    </row>
    <row r="67" spans="2:4" x14ac:dyDescent="0.25">
      <c r="B67" t="s">
        <v>1412</v>
      </c>
      <c r="C67" s="3">
        <v>45292</v>
      </c>
      <c r="D67" s="3">
        <v>45413</v>
      </c>
    </row>
    <row r="68" spans="2:4" x14ac:dyDescent="0.25">
      <c r="B68" t="s">
        <v>1413</v>
      </c>
      <c r="C68" s="3">
        <v>45323</v>
      </c>
      <c r="D68" s="3">
        <v>45444</v>
      </c>
    </row>
    <row r="69" spans="2:4" x14ac:dyDescent="0.25">
      <c r="B69" t="s">
        <v>1414</v>
      </c>
      <c r="C69" s="3">
        <v>45352</v>
      </c>
      <c r="D69" s="3">
        <v>45474</v>
      </c>
    </row>
    <row r="70" spans="2:4" x14ac:dyDescent="0.25">
      <c r="B70" t="s">
        <v>1415</v>
      </c>
      <c r="C70" s="3">
        <v>45383</v>
      </c>
      <c r="D70" s="3">
        <v>45505</v>
      </c>
    </row>
    <row r="71" spans="2:4" x14ac:dyDescent="0.25">
      <c r="B71" t="s">
        <v>1416</v>
      </c>
      <c r="C71" s="3">
        <v>45413</v>
      </c>
      <c r="D71" s="3">
        <v>45536</v>
      </c>
    </row>
    <row r="72" spans="2:4" x14ac:dyDescent="0.25">
      <c r="B72" t="s">
        <v>1417</v>
      </c>
      <c r="C72" s="3">
        <v>45444</v>
      </c>
      <c r="D72" s="3">
        <v>45566</v>
      </c>
    </row>
    <row r="73" spans="2:4" x14ac:dyDescent="0.25">
      <c r="B73" t="s">
        <v>1418</v>
      </c>
      <c r="C73" s="3">
        <v>45474</v>
      </c>
      <c r="D73" s="3">
        <v>45597</v>
      </c>
    </row>
    <row r="74" spans="2:4" x14ac:dyDescent="0.25">
      <c r="B74" t="s">
        <v>1419</v>
      </c>
      <c r="C74" s="3">
        <v>45474</v>
      </c>
      <c r="D74" s="3">
        <v>45597</v>
      </c>
    </row>
    <row r="75" spans="2:4" x14ac:dyDescent="0.25">
      <c r="B75" t="s">
        <v>1420</v>
      </c>
      <c r="C75" s="3">
        <v>45504</v>
      </c>
      <c r="D75" s="3">
        <v>45627</v>
      </c>
    </row>
    <row r="76" spans="2:4" x14ac:dyDescent="0.25">
      <c r="B76" t="s">
        <v>1421</v>
      </c>
      <c r="C76" s="3">
        <v>45536</v>
      </c>
      <c r="D76" s="3">
        <v>45658</v>
      </c>
    </row>
    <row r="77" spans="2:4" x14ac:dyDescent="0.25">
      <c r="B77" t="s">
        <v>1422</v>
      </c>
      <c r="C77" s="3">
        <v>45566</v>
      </c>
      <c r="D77" s="3">
        <v>45689</v>
      </c>
    </row>
    <row r="78" spans="2:4" x14ac:dyDescent="0.25">
      <c r="B78" t="s">
        <v>1423</v>
      </c>
      <c r="C78" s="3">
        <v>45597</v>
      </c>
      <c r="D78" s="3">
        <v>45717</v>
      </c>
    </row>
    <row r="79" spans="2:4" x14ac:dyDescent="0.25">
      <c r="B79" t="s">
        <v>1424</v>
      </c>
      <c r="C79" s="3">
        <v>45627</v>
      </c>
      <c r="D79" s="3">
        <v>45748</v>
      </c>
    </row>
    <row r="80" spans="2:4" x14ac:dyDescent="0.25">
      <c r="B80" t="s">
        <v>1425</v>
      </c>
      <c r="C80" s="3">
        <v>45658</v>
      </c>
      <c r="D80" s="3">
        <v>45778</v>
      </c>
    </row>
    <row r="81" spans="2:4" x14ac:dyDescent="0.25">
      <c r="B81" t="s">
        <v>1426</v>
      </c>
      <c r="C81" s="3">
        <v>45689</v>
      </c>
      <c r="D81" s="3">
        <v>45809</v>
      </c>
    </row>
    <row r="82" spans="2:4" x14ac:dyDescent="0.25">
      <c r="B82" t="s">
        <v>1427</v>
      </c>
      <c r="C82" s="3">
        <v>45717</v>
      </c>
      <c r="D82" s="3">
        <v>45839</v>
      </c>
    </row>
    <row r="83" spans="2:4" x14ac:dyDescent="0.25">
      <c r="B83" t="s">
        <v>1428</v>
      </c>
      <c r="C83" s="3">
        <v>45748</v>
      </c>
      <c r="D83" s="3">
        <v>45870</v>
      </c>
    </row>
    <row r="84" spans="2:4" x14ac:dyDescent="0.25">
      <c r="B84" t="s">
        <v>1429</v>
      </c>
      <c r="C84" s="3">
        <v>45778</v>
      </c>
      <c r="D84" s="3">
        <v>45918</v>
      </c>
    </row>
    <row r="85" spans="2:4" x14ac:dyDescent="0.25">
      <c r="B85" t="s">
        <v>1430</v>
      </c>
      <c r="C85" s="3">
        <v>45809</v>
      </c>
      <c r="D85" s="3">
        <v>45931</v>
      </c>
    </row>
    <row r="86" spans="2:4" x14ac:dyDescent="0.25">
      <c r="B86" t="s">
        <v>1431</v>
      </c>
      <c r="C86" s="3">
        <v>45839</v>
      </c>
      <c r="D86" s="3">
        <v>45962</v>
      </c>
    </row>
    <row r="87" spans="2:4" x14ac:dyDescent="0.25">
      <c r="B87" t="s">
        <v>1432</v>
      </c>
      <c r="C87" s="3">
        <v>45870</v>
      </c>
      <c r="D87" s="3">
        <v>45992</v>
      </c>
    </row>
    <row r="88" spans="2:4" x14ac:dyDescent="0.25">
      <c r="B88" t="s">
        <v>1433</v>
      </c>
      <c r="C88" s="3">
        <v>45901</v>
      </c>
      <c r="D88" s="3">
        <v>46023</v>
      </c>
    </row>
    <row r="89" spans="2:4" x14ac:dyDescent="0.25">
      <c r="B89" t="s">
        <v>1434</v>
      </c>
      <c r="C89" s="3">
        <v>45931</v>
      </c>
      <c r="D89" s="3">
        <v>46054</v>
      </c>
    </row>
    <row r="90" spans="2:4" x14ac:dyDescent="0.25">
      <c r="B90" t="s">
        <v>1435</v>
      </c>
      <c r="C90" s="3">
        <v>45962</v>
      </c>
      <c r="D90" s="3">
        <v>46082</v>
      </c>
    </row>
    <row r="91" spans="2:4" x14ac:dyDescent="0.25">
      <c r="B91" t="s">
        <v>1436</v>
      </c>
      <c r="C91" s="3">
        <v>45992</v>
      </c>
      <c r="D91" s="3">
        <v>46113</v>
      </c>
    </row>
    <row r="92" spans="2:4" x14ac:dyDescent="0.25">
      <c r="B92" t="s">
        <v>1437</v>
      </c>
      <c r="C92" s="3">
        <v>46023</v>
      </c>
      <c r="D92" s="3">
        <v>46143</v>
      </c>
    </row>
    <row r="93" spans="2:4" x14ac:dyDescent="0.25">
      <c r="B93" t="s">
        <v>1438</v>
      </c>
      <c r="C93" s="3">
        <v>46054</v>
      </c>
      <c r="D93" s="3">
        <v>46174</v>
      </c>
    </row>
    <row r="94" spans="2:4" x14ac:dyDescent="0.25">
      <c r="B94" t="s">
        <v>1439</v>
      </c>
      <c r="C94" s="3">
        <v>46082</v>
      </c>
      <c r="D94" s="3">
        <v>46204</v>
      </c>
    </row>
    <row r="95" spans="2:4" x14ac:dyDescent="0.25">
      <c r="B95" t="s">
        <v>1440</v>
      </c>
      <c r="C95" s="3">
        <v>46113</v>
      </c>
      <c r="D95" s="3">
        <v>46235</v>
      </c>
    </row>
    <row r="96" spans="2:4" x14ac:dyDescent="0.25">
      <c r="B96" t="s">
        <v>1441</v>
      </c>
      <c r="C96" s="3">
        <v>46143</v>
      </c>
      <c r="D96" s="3">
        <v>46266</v>
      </c>
    </row>
    <row r="97" spans="2:4" x14ac:dyDescent="0.25">
      <c r="B97" t="s">
        <v>1459</v>
      </c>
      <c r="C97" s="3">
        <v>46174</v>
      </c>
      <c r="D97" s="3">
        <v>46296</v>
      </c>
    </row>
    <row r="98" spans="2:4" x14ac:dyDescent="0.25">
      <c r="B98" t="s">
        <v>1505</v>
      </c>
      <c r="C98" s="3">
        <v>46204</v>
      </c>
      <c r="D98" s="3">
        <v>46327</v>
      </c>
    </row>
    <row r="99" spans="2:4" x14ac:dyDescent="0.25">
      <c r="B99" t="s">
        <v>1586</v>
      </c>
      <c r="C99" s="3">
        <v>46235</v>
      </c>
      <c r="D99" s="3">
        <v>46357</v>
      </c>
    </row>
    <row r="100" spans="2:4" x14ac:dyDescent="0.25">
      <c r="B100" t="s">
        <v>1703</v>
      </c>
      <c r="C100" s="3">
        <v>46266</v>
      </c>
      <c r="D100" s="3">
        <v>46388</v>
      </c>
    </row>
    <row r="101" spans="2:4" x14ac:dyDescent="0.25">
      <c r="B101" t="s">
        <v>1852</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2026-10-26T21:14:09Z</dcterms:modified>
  <cp:category>Electricity shopping</cp:category>
  <cp:contentStatus>Released</cp:contentStatus>
</cp:coreProperties>
</file>