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mc:AlternateContent xmlns:mc="http://schemas.openxmlformats.org/markup-compatibility/2006">
    <mc:Choice Requires="x15">
      <x15ac:absPath xmlns:x15ac="http://schemas.microsoft.com/office/spreadsheetml/2010/11/ac" url="O:\PTP\RateGrinder\"/>
    </mc:Choice>
  </mc:AlternateContent>
  <xr:revisionPtr revIDLastSave="0" documentId="8_{2AD28F44-D447-4EB5-A031-327487E1CE4E}" xr6:coauthVersionLast="47" xr6:coauthVersionMax="47" xr10:uidLastSave="{00000000-0000-0000-0000-000000000000}"/>
  <workbookProtection workbookAlgorithmName="SHA-512" workbookHashValue="eiSIdmXrlr3xI6JfT92Wdxke96IEhBf2/d01XduWle2xsS2j3WEkwqznr5gNJrpp/V8U+kIqHXbQiH2MOyU+Eg==" workbookSaltValue="yFUjk8tkvqyWm8ZK4f8uNQ==" workbookSpinCount="100000" lockStructure="1"/>
  <bookViews>
    <workbookView xWindow="-28920" yWindow="-120" windowWidth="29040" windowHeight="175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Database!$B$7:$CX$357</definedName>
    <definedName name="_xlnm._FilterDatabase" localSheetId="5" hidden="1">REP_Info!$B$5:$K$250</definedName>
    <definedName name="_xlnm._FilterDatabase" localSheetId="6" hidden="1">TDU_Info!#REF!</definedName>
    <definedName name="_xlnm._FilterDatabase" localSheetId="2" hidden="1">TOS!$B$5:$AP$221</definedName>
    <definedName name="_xlnm._FilterDatabase" localSheetId="9" hidden="1">Trends!$A$16:$BF$3534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Database!$B$8:$CQ$357</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Trends!$Q$27:$AF$4104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6" i="1" l="1"/>
  <c r="CT16" i="1"/>
  <c r="CV16" i="1" s="1"/>
  <c r="CS16" i="1"/>
  <c r="CM16" i="1"/>
  <c r="BJ16" i="1"/>
  <c r="BI16" i="1"/>
  <c r="BH16" i="1"/>
  <c r="BG16" i="1"/>
  <c r="BF16" i="1"/>
  <c r="BN16" i="1" s="1"/>
  <c r="CU15" i="1"/>
  <c r="CT15" i="1"/>
  <c r="CV15" i="1" s="1"/>
  <c r="CX15" i="1" s="1"/>
  <c r="CS15" i="1"/>
  <c r="CM15" i="1"/>
  <c r="BN15" i="1"/>
  <c r="BL15" i="1"/>
  <c r="BJ15" i="1"/>
  <c r="BI15" i="1"/>
  <c r="BH15" i="1"/>
  <c r="BG15" i="1"/>
  <c r="BK15" i="1" s="1"/>
  <c r="BF15" i="1"/>
  <c r="BM15" i="1" s="1"/>
  <c r="CU14" i="1"/>
  <c r="CT14" i="1"/>
  <c r="CV14" i="1" s="1"/>
  <c r="CS14" i="1"/>
  <c r="CM14" i="1"/>
  <c r="BN14" i="1"/>
  <c r="BK14" i="1"/>
  <c r="BJ14" i="1"/>
  <c r="BI14" i="1"/>
  <c r="BH14" i="1"/>
  <c r="BG14" i="1"/>
  <c r="BF14" i="1"/>
  <c r="BM14" i="1" s="1"/>
  <c r="CU13" i="1"/>
  <c r="CT13" i="1"/>
  <c r="CV13" i="1" s="1"/>
  <c r="CS13" i="1"/>
  <c r="CM13" i="1"/>
  <c r="BK13" i="1"/>
  <c r="BJ13" i="1"/>
  <c r="BI13" i="1"/>
  <c r="BH13" i="1"/>
  <c r="BG13" i="1"/>
  <c r="BF13" i="1"/>
  <c r="BN13" i="1" s="1"/>
  <c r="CU12" i="1"/>
  <c r="CT12" i="1"/>
  <c r="CV12" i="1" s="1"/>
  <c r="CS12" i="1"/>
  <c r="CM12" i="1"/>
  <c r="BN12" i="1"/>
  <c r="BM12" i="1"/>
  <c r="BK12" i="1"/>
  <c r="BJ12" i="1"/>
  <c r="BI12" i="1"/>
  <c r="BH12" i="1"/>
  <c r="BG12" i="1"/>
  <c r="BF12" i="1"/>
  <c r="BL12" i="1" s="1"/>
  <c r="CU11" i="1"/>
  <c r="CT11" i="1"/>
  <c r="CV11" i="1" s="1"/>
  <c r="CS11" i="1"/>
  <c r="CM11" i="1"/>
  <c r="BJ11" i="1"/>
  <c r="BI11" i="1"/>
  <c r="BH11" i="1"/>
  <c r="BG11" i="1"/>
  <c r="BF11" i="1"/>
  <c r="BN11" i="1" s="1"/>
  <c r="CU10" i="1"/>
  <c r="CT10" i="1"/>
  <c r="CV10" i="1" s="1"/>
  <c r="CS10" i="1"/>
  <c r="CM10" i="1"/>
  <c r="BJ10" i="1"/>
  <c r="BI10" i="1"/>
  <c r="BH10" i="1"/>
  <c r="BG10" i="1"/>
  <c r="BF10" i="1"/>
  <c r="BN10" i="1" s="1"/>
  <c r="BZ30" i="10"/>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CU28" i="1"/>
  <c r="CT28" i="1"/>
  <c r="CS28" i="1"/>
  <c r="CM28" i="1"/>
  <c r="BJ28" i="1"/>
  <c r="BH28" i="1"/>
  <c r="CU27" i="1"/>
  <c r="CT27" i="1"/>
  <c r="CS27" i="1"/>
  <c r="CM27" i="1"/>
  <c r="BJ27" i="1"/>
  <c r="BH27" i="1"/>
  <c r="CU26" i="1"/>
  <c r="CT26" i="1"/>
  <c r="CS26" i="1"/>
  <c r="CM26" i="1"/>
  <c r="BJ26" i="1"/>
  <c r="BH26" i="1"/>
  <c r="CU25" i="1"/>
  <c r="CT25" i="1"/>
  <c r="CS25" i="1"/>
  <c r="CM25" i="1"/>
  <c r="BJ25" i="1"/>
  <c r="BH25" i="1"/>
  <c r="CU24" i="1"/>
  <c r="CT24" i="1"/>
  <c r="CS24" i="1"/>
  <c r="CM24" i="1"/>
  <c r="BJ24" i="1"/>
  <c r="BH24" i="1"/>
  <c r="CU23" i="1"/>
  <c r="CT23" i="1"/>
  <c r="CS23" i="1"/>
  <c r="CM23" i="1"/>
  <c r="BJ23" i="1"/>
  <c r="BH23" i="1"/>
  <c r="CU22" i="1"/>
  <c r="CT22" i="1"/>
  <c r="CS22" i="1"/>
  <c r="CM22" i="1"/>
  <c r="BJ22" i="1"/>
  <c r="BH22" i="1"/>
  <c r="CU21" i="1"/>
  <c r="CT21" i="1"/>
  <c r="CS21" i="1"/>
  <c r="CM21" i="1"/>
  <c r="BJ21" i="1"/>
  <c r="BH21" i="1"/>
  <c r="CU20" i="1"/>
  <c r="CT20" i="1"/>
  <c r="CS20" i="1"/>
  <c r="CM20" i="1"/>
  <c r="BJ20" i="1"/>
  <c r="BH20" i="1"/>
  <c r="CU19" i="1"/>
  <c r="CT19" i="1"/>
  <c r="CS19" i="1"/>
  <c r="CM19" i="1"/>
  <c r="BJ19" i="1"/>
  <c r="BH19" i="1"/>
  <c r="CU18" i="1"/>
  <c r="CT18" i="1"/>
  <c r="CS18" i="1"/>
  <c r="CM18" i="1"/>
  <c r="BJ18" i="1"/>
  <c r="BH18" i="1"/>
  <c r="CU17" i="1"/>
  <c r="CT17" i="1"/>
  <c r="CS17" i="1"/>
  <c r="CM17" i="1"/>
  <c r="BJ17" i="1"/>
  <c r="BH17" i="1"/>
  <c r="CU46" i="1"/>
  <c r="CT46" i="1"/>
  <c r="CS46" i="1"/>
  <c r="CM46" i="1"/>
  <c r="BJ46" i="1"/>
  <c r="BH46" i="1"/>
  <c r="CU45" i="1"/>
  <c r="CT45" i="1"/>
  <c r="CS45" i="1"/>
  <c r="CM45" i="1"/>
  <c r="BJ45" i="1"/>
  <c r="BH45" i="1"/>
  <c r="CU44" i="1"/>
  <c r="CT44" i="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CU39" i="1"/>
  <c r="CT39" i="1"/>
  <c r="CS39" i="1"/>
  <c r="CM39" i="1"/>
  <c r="BJ39" i="1"/>
  <c r="BH39" i="1"/>
  <c r="CU38" i="1"/>
  <c r="CT38" i="1"/>
  <c r="CS38" i="1"/>
  <c r="CM38" i="1"/>
  <c r="BJ38" i="1"/>
  <c r="BH38" i="1"/>
  <c r="CU37" i="1"/>
  <c r="CT37" i="1"/>
  <c r="CS37" i="1"/>
  <c r="CM37" i="1"/>
  <c r="BJ37" i="1"/>
  <c r="BH37" i="1"/>
  <c r="CU36" i="1"/>
  <c r="CT36" i="1"/>
  <c r="CS36" i="1"/>
  <c r="CM36" i="1"/>
  <c r="BJ36" i="1"/>
  <c r="BH36" i="1"/>
  <c r="B3517" i="3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S3455" i="31"/>
  <c r="AV3455" i="31" s="1"/>
  <c r="AO3455" i="31"/>
  <c r="AN3455" i="31"/>
  <c r="AM3455" i="31"/>
  <c r="B3455" i="31"/>
  <c r="AL3455" i="31" s="1"/>
  <c r="CU49" i="1"/>
  <c r="CT49" i="1"/>
  <c r="CS49" i="1"/>
  <c r="CM49" i="1"/>
  <c r="BJ49" i="1"/>
  <c r="BH49" i="1"/>
  <c r="CU48" i="1"/>
  <c r="CT48" i="1"/>
  <c r="CS48" i="1"/>
  <c r="CM48" i="1"/>
  <c r="BJ48" i="1"/>
  <c r="BH48" i="1"/>
  <c r="CU47" i="1"/>
  <c r="CT47" i="1"/>
  <c r="CS47" i="1"/>
  <c r="CM47" i="1"/>
  <c r="BJ47" i="1"/>
  <c r="BH47" i="1"/>
  <c r="CU51" i="1"/>
  <c r="CT51" i="1"/>
  <c r="CS51" i="1"/>
  <c r="CM51" i="1"/>
  <c r="BJ51" i="1"/>
  <c r="BH51" i="1"/>
  <c r="CU50" i="1"/>
  <c r="CT50" i="1"/>
  <c r="CS50" i="1"/>
  <c r="CM50" i="1"/>
  <c r="BJ50" i="1"/>
  <c r="BH50" i="1"/>
  <c r="CU53" i="1"/>
  <c r="CT53" i="1"/>
  <c r="CS53" i="1"/>
  <c r="CM53" i="1"/>
  <c r="BJ53" i="1"/>
  <c r="BH53" i="1"/>
  <c r="CU52" i="1"/>
  <c r="CT52" i="1"/>
  <c r="CS52" i="1"/>
  <c r="CM52" i="1"/>
  <c r="BJ52" i="1"/>
  <c r="BH52"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59" i="1"/>
  <c r="CT59" i="1"/>
  <c r="CS59" i="1"/>
  <c r="CM59" i="1"/>
  <c r="BJ59" i="1"/>
  <c r="BH59" i="1"/>
  <c r="CU58" i="1"/>
  <c r="CT58" i="1"/>
  <c r="CS58" i="1"/>
  <c r="CM58" i="1"/>
  <c r="BJ58" i="1"/>
  <c r="BH58" i="1"/>
  <c r="CU57" i="1"/>
  <c r="CT57" i="1"/>
  <c r="CS57" i="1"/>
  <c r="CM57" i="1"/>
  <c r="BJ57" i="1"/>
  <c r="BH57" i="1"/>
  <c r="CU56" i="1"/>
  <c r="CT56" i="1"/>
  <c r="CS56" i="1"/>
  <c r="CM56" i="1"/>
  <c r="BJ56" i="1"/>
  <c r="BH56" i="1"/>
  <c r="CU55" i="1"/>
  <c r="CT55" i="1"/>
  <c r="CS55" i="1"/>
  <c r="CM55" i="1"/>
  <c r="BJ55" i="1"/>
  <c r="BH55" i="1"/>
  <c r="CU54" i="1"/>
  <c r="CT54" i="1"/>
  <c r="CS54" i="1"/>
  <c r="CM54" i="1"/>
  <c r="BJ54" i="1"/>
  <c r="BH54"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61" i="1"/>
  <c r="CT161" i="1"/>
  <c r="CS161" i="1"/>
  <c r="CM161" i="1"/>
  <c r="BJ161" i="1"/>
  <c r="BH161" i="1"/>
  <c r="CU160" i="1"/>
  <c r="CT160" i="1"/>
  <c r="CS160" i="1"/>
  <c r="CM160" i="1"/>
  <c r="BJ160" i="1"/>
  <c r="BH160"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75" i="1"/>
  <c r="CT175" i="1"/>
  <c r="CS175" i="1"/>
  <c r="CM175" i="1"/>
  <c r="BJ175" i="1"/>
  <c r="BH175" i="1"/>
  <c r="CU174" i="1"/>
  <c r="CT174" i="1"/>
  <c r="CS174" i="1"/>
  <c r="CM174" i="1"/>
  <c r="BJ174" i="1"/>
  <c r="BH174"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81" i="1"/>
  <c r="CT181" i="1"/>
  <c r="CS181" i="1"/>
  <c r="CM181" i="1"/>
  <c r="BJ181" i="1"/>
  <c r="BH181" i="1"/>
  <c r="CU180" i="1"/>
  <c r="CT180" i="1"/>
  <c r="CS180" i="1"/>
  <c r="CM180" i="1"/>
  <c r="BJ180" i="1"/>
  <c r="BH180" i="1"/>
  <c r="CU191" i="1"/>
  <c r="CT191" i="1"/>
  <c r="CS191" i="1"/>
  <c r="CM191" i="1"/>
  <c r="BJ191" i="1"/>
  <c r="BH191" i="1"/>
  <c r="CU190" i="1"/>
  <c r="CT190" i="1"/>
  <c r="CS190" i="1"/>
  <c r="CM190" i="1"/>
  <c r="BJ190" i="1"/>
  <c r="BH190" i="1"/>
  <c r="CU189" i="1"/>
  <c r="CT189" i="1"/>
  <c r="CS189" i="1"/>
  <c r="CM189" i="1"/>
  <c r="BJ189" i="1"/>
  <c r="BH189" i="1"/>
  <c r="CU188" i="1"/>
  <c r="CT188" i="1"/>
  <c r="CS188" i="1"/>
  <c r="CM188" i="1"/>
  <c r="BJ188" i="1"/>
  <c r="BH188" i="1"/>
  <c r="CU187" i="1"/>
  <c r="CT187" i="1"/>
  <c r="CS187" i="1"/>
  <c r="CM187" i="1"/>
  <c r="BJ187" i="1"/>
  <c r="BH187" i="1"/>
  <c r="CU186" i="1"/>
  <c r="CT186" i="1"/>
  <c r="CS186" i="1"/>
  <c r="CM186" i="1"/>
  <c r="BJ186" i="1"/>
  <c r="BH186" i="1"/>
  <c r="CU193" i="1"/>
  <c r="CT193" i="1"/>
  <c r="CS193" i="1"/>
  <c r="CM193" i="1"/>
  <c r="BJ193" i="1"/>
  <c r="BH193" i="1"/>
  <c r="CU192" i="1"/>
  <c r="CT192" i="1"/>
  <c r="CS192" i="1"/>
  <c r="CM192" i="1"/>
  <c r="BJ192" i="1"/>
  <c r="BH192" i="1"/>
  <c r="CU197" i="1"/>
  <c r="CT197" i="1"/>
  <c r="CS197" i="1"/>
  <c r="CM197" i="1"/>
  <c r="BJ197" i="1"/>
  <c r="BH197" i="1"/>
  <c r="CU196" i="1"/>
  <c r="CT196" i="1"/>
  <c r="CS196" i="1"/>
  <c r="CM196" i="1"/>
  <c r="BJ196" i="1"/>
  <c r="BH196" i="1"/>
  <c r="CU195" i="1"/>
  <c r="CT195" i="1"/>
  <c r="CS195" i="1"/>
  <c r="CM195" i="1"/>
  <c r="BJ195" i="1"/>
  <c r="BH195" i="1"/>
  <c r="CU194" i="1"/>
  <c r="CT194" i="1"/>
  <c r="CS194" i="1"/>
  <c r="CM194" i="1"/>
  <c r="BJ194" i="1"/>
  <c r="BH194" i="1"/>
  <c r="CU199" i="1"/>
  <c r="CT199" i="1"/>
  <c r="CS199" i="1"/>
  <c r="CM199" i="1"/>
  <c r="BJ199" i="1"/>
  <c r="BH199" i="1"/>
  <c r="CU198" i="1"/>
  <c r="CT198" i="1"/>
  <c r="CS198" i="1"/>
  <c r="CM198" i="1"/>
  <c r="BJ198" i="1"/>
  <c r="BH198"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0" i="1"/>
  <c r="CT210" i="1"/>
  <c r="CS210" i="1"/>
  <c r="CM210" i="1"/>
  <c r="BJ210" i="1"/>
  <c r="BH210" i="1"/>
  <c r="CU209" i="1"/>
  <c r="CT209" i="1"/>
  <c r="CS209" i="1"/>
  <c r="CM209" i="1"/>
  <c r="BJ209" i="1"/>
  <c r="BH209" i="1"/>
  <c r="CU208" i="1"/>
  <c r="CT208" i="1"/>
  <c r="CS208" i="1"/>
  <c r="CM208" i="1"/>
  <c r="BJ208" i="1"/>
  <c r="BH208" i="1"/>
  <c r="CU207" i="1"/>
  <c r="CT207" i="1"/>
  <c r="CS207" i="1"/>
  <c r="CM207" i="1"/>
  <c r="BJ207" i="1"/>
  <c r="BH207" i="1"/>
  <c r="CU206" i="1"/>
  <c r="CT206" i="1"/>
  <c r="CS206" i="1"/>
  <c r="CM206" i="1"/>
  <c r="BJ206" i="1"/>
  <c r="BH206" i="1"/>
  <c r="CU205" i="1"/>
  <c r="CT205" i="1"/>
  <c r="CS205" i="1"/>
  <c r="CM205" i="1"/>
  <c r="BJ205" i="1"/>
  <c r="BH205" i="1"/>
  <c r="CU204" i="1"/>
  <c r="CT204" i="1"/>
  <c r="CS204" i="1"/>
  <c r="CM204" i="1"/>
  <c r="BJ204" i="1"/>
  <c r="BH204" i="1"/>
  <c r="CU203" i="1"/>
  <c r="CT203" i="1"/>
  <c r="CS203" i="1"/>
  <c r="CM203" i="1"/>
  <c r="BJ203" i="1"/>
  <c r="BH203" i="1"/>
  <c r="CU202" i="1"/>
  <c r="CT202" i="1"/>
  <c r="CS202" i="1"/>
  <c r="CM202" i="1"/>
  <c r="BJ202" i="1"/>
  <c r="BH202" i="1"/>
  <c r="CU201" i="1"/>
  <c r="CT201" i="1"/>
  <c r="CS201" i="1"/>
  <c r="CM201" i="1"/>
  <c r="BJ201" i="1"/>
  <c r="BH201" i="1"/>
  <c r="CU200" i="1"/>
  <c r="CT200" i="1"/>
  <c r="CS200" i="1"/>
  <c r="CM200" i="1"/>
  <c r="BJ200" i="1"/>
  <c r="BH200" i="1"/>
  <c r="CU221" i="1"/>
  <c r="CT221" i="1"/>
  <c r="CS221" i="1"/>
  <c r="CM221" i="1"/>
  <c r="BJ221" i="1"/>
  <c r="BH221" i="1"/>
  <c r="CU220" i="1"/>
  <c r="CT220" i="1"/>
  <c r="CS220" i="1"/>
  <c r="CM220" i="1"/>
  <c r="BJ220" i="1"/>
  <c r="BH220" i="1"/>
  <c r="CU219" i="1"/>
  <c r="CT219" i="1"/>
  <c r="CS219" i="1"/>
  <c r="CM219" i="1"/>
  <c r="BJ219" i="1"/>
  <c r="BH219" i="1"/>
  <c r="CU218" i="1"/>
  <c r="CT218" i="1"/>
  <c r="CS218" i="1"/>
  <c r="CM218" i="1"/>
  <c r="BJ218" i="1"/>
  <c r="BH218" i="1"/>
  <c r="CU217" i="1"/>
  <c r="CT217" i="1"/>
  <c r="CS217" i="1"/>
  <c r="CM217" i="1"/>
  <c r="BJ217" i="1"/>
  <c r="BH217" i="1"/>
  <c r="CU223" i="1"/>
  <c r="CT223" i="1"/>
  <c r="CS223" i="1"/>
  <c r="CM223" i="1"/>
  <c r="BJ223" i="1"/>
  <c r="BH223" i="1"/>
  <c r="CU222" i="1"/>
  <c r="CT222" i="1"/>
  <c r="CS222" i="1"/>
  <c r="CM222" i="1"/>
  <c r="BJ222" i="1"/>
  <c r="BH222"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24" i="1"/>
  <c r="CT224" i="1"/>
  <c r="CS224" i="1"/>
  <c r="CM224" i="1"/>
  <c r="BJ224" i="1"/>
  <c r="BH224" i="1"/>
  <c r="CU225" i="1"/>
  <c r="CT225" i="1"/>
  <c r="CS225" i="1"/>
  <c r="CM225" i="1"/>
  <c r="BJ225" i="1"/>
  <c r="BH225" i="1"/>
  <c r="CU227" i="1"/>
  <c r="CT227" i="1"/>
  <c r="CS227" i="1"/>
  <c r="CM227" i="1"/>
  <c r="BJ227" i="1"/>
  <c r="BH227" i="1"/>
  <c r="CU226" i="1"/>
  <c r="CT226" i="1"/>
  <c r="CS226" i="1"/>
  <c r="CM226" i="1"/>
  <c r="BJ226" i="1"/>
  <c r="BH226" i="1"/>
  <c r="CU228" i="1"/>
  <c r="CT228" i="1"/>
  <c r="CS228" i="1"/>
  <c r="CM228" i="1"/>
  <c r="BJ228" i="1"/>
  <c r="BH228" i="1"/>
  <c r="CU229" i="1"/>
  <c r="CT229" i="1"/>
  <c r="CS229" i="1"/>
  <c r="CM229" i="1"/>
  <c r="BJ229" i="1"/>
  <c r="BH229" i="1"/>
  <c r="CU232" i="1"/>
  <c r="CT232" i="1"/>
  <c r="CS232" i="1"/>
  <c r="CM232" i="1"/>
  <c r="BJ232" i="1"/>
  <c r="BH232" i="1"/>
  <c r="CU231" i="1"/>
  <c r="CT231" i="1"/>
  <c r="CS231" i="1"/>
  <c r="CM231" i="1"/>
  <c r="BJ231" i="1"/>
  <c r="BH231" i="1"/>
  <c r="CU230" i="1"/>
  <c r="CT230" i="1"/>
  <c r="CS230" i="1"/>
  <c r="CM230" i="1"/>
  <c r="BJ230" i="1"/>
  <c r="BH230" i="1"/>
  <c r="CU233" i="1"/>
  <c r="CT233" i="1"/>
  <c r="CS233" i="1"/>
  <c r="CM233" i="1"/>
  <c r="BJ233" i="1"/>
  <c r="BH233" i="1"/>
  <c r="CU241" i="1"/>
  <c r="CT241" i="1"/>
  <c r="CS241" i="1"/>
  <c r="CM241" i="1"/>
  <c r="BJ241" i="1"/>
  <c r="BH241" i="1"/>
  <c r="CU240" i="1"/>
  <c r="CT240" i="1"/>
  <c r="CS240" i="1"/>
  <c r="CM240" i="1"/>
  <c r="BJ240" i="1"/>
  <c r="BH240" i="1"/>
  <c r="CU239" i="1"/>
  <c r="CT239" i="1"/>
  <c r="CS239" i="1"/>
  <c r="CM239" i="1"/>
  <c r="BJ239" i="1"/>
  <c r="BH239" i="1"/>
  <c r="CU238" i="1"/>
  <c r="CT238" i="1"/>
  <c r="CS238" i="1"/>
  <c r="CM238" i="1"/>
  <c r="BJ238" i="1"/>
  <c r="BH238" i="1"/>
  <c r="CU237" i="1"/>
  <c r="CT237" i="1"/>
  <c r="CS237" i="1"/>
  <c r="CM237" i="1"/>
  <c r="BJ237" i="1"/>
  <c r="BH237" i="1"/>
  <c r="CU236" i="1"/>
  <c r="CT236" i="1"/>
  <c r="CS236" i="1"/>
  <c r="CM236" i="1"/>
  <c r="BJ236" i="1"/>
  <c r="BH236" i="1"/>
  <c r="CU235" i="1"/>
  <c r="CT235" i="1"/>
  <c r="CS235" i="1"/>
  <c r="CM235" i="1"/>
  <c r="BJ235" i="1"/>
  <c r="BH235" i="1"/>
  <c r="CU234" i="1"/>
  <c r="CT234" i="1"/>
  <c r="CS234" i="1"/>
  <c r="CM234" i="1"/>
  <c r="BJ234" i="1"/>
  <c r="BH234" i="1"/>
  <c r="CU245" i="1"/>
  <c r="CT245" i="1"/>
  <c r="CS245" i="1"/>
  <c r="CM245" i="1"/>
  <c r="BJ245" i="1"/>
  <c r="BH245" i="1"/>
  <c r="CU244" i="1"/>
  <c r="CT244" i="1"/>
  <c r="CS244" i="1"/>
  <c r="CM244" i="1"/>
  <c r="BJ244" i="1"/>
  <c r="BH244" i="1"/>
  <c r="CU243" i="1"/>
  <c r="CT243" i="1"/>
  <c r="CS243" i="1"/>
  <c r="CM243" i="1"/>
  <c r="BJ243" i="1"/>
  <c r="BH243" i="1"/>
  <c r="CU242" i="1"/>
  <c r="CT242" i="1"/>
  <c r="CS242" i="1"/>
  <c r="CM242" i="1"/>
  <c r="BJ242" i="1"/>
  <c r="BH242"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U256" i="1"/>
  <c r="CT256" i="1"/>
  <c r="CS256" i="1"/>
  <c r="CM256" i="1"/>
  <c r="BJ256" i="1"/>
  <c r="BH256" i="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72" i="1"/>
  <c r="CT272" i="1"/>
  <c r="CS272" i="1"/>
  <c r="CM272" i="1"/>
  <c r="BJ272" i="1"/>
  <c r="BH272" i="1"/>
  <c r="CU271" i="1"/>
  <c r="CT271" i="1"/>
  <c r="CS271" i="1"/>
  <c r="CM271" i="1"/>
  <c r="BJ271" i="1"/>
  <c r="BH271" i="1"/>
  <c r="CU270" i="1"/>
  <c r="CT270" i="1"/>
  <c r="CS270" i="1"/>
  <c r="CM270" i="1"/>
  <c r="BJ270" i="1"/>
  <c r="BH270" i="1"/>
  <c r="CU269" i="1"/>
  <c r="CT269" i="1"/>
  <c r="CS269" i="1"/>
  <c r="CM269" i="1"/>
  <c r="BJ269" i="1"/>
  <c r="BH269" i="1"/>
  <c r="CU268" i="1"/>
  <c r="CT268" i="1"/>
  <c r="CS268" i="1"/>
  <c r="CM268" i="1"/>
  <c r="BJ268" i="1"/>
  <c r="BH268" i="1"/>
  <c r="CU267" i="1"/>
  <c r="CT267" i="1"/>
  <c r="CS267" i="1"/>
  <c r="CM267" i="1"/>
  <c r="BJ267" i="1"/>
  <c r="BH267" i="1"/>
  <c r="CU266" i="1"/>
  <c r="CT266" i="1"/>
  <c r="CS266" i="1"/>
  <c r="CM266" i="1"/>
  <c r="BJ266" i="1"/>
  <c r="BH266" i="1"/>
  <c r="CU265" i="1"/>
  <c r="CT265" i="1"/>
  <c r="CS265" i="1"/>
  <c r="CM265" i="1"/>
  <c r="BJ265" i="1"/>
  <c r="BH265" i="1"/>
  <c r="CU264" i="1"/>
  <c r="CT264" i="1"/>
  <c r="CS264" i="1"/>
  <c r="CM264" i="1"/>
  <c r="BJ264" i="1"/>
  <c r="BH264" i="1"/>
  <c r="CU263" i="1"/>
  <c r="CT263" i="1"/>
  <c r="CS263" i="1"/>
  <c r="CM263" i="1"/>
  <c r="BJ263" i="1"/>
  <c r="BH263" i="1"/>
  <c r="CT357" i="1"/>
  <c r="CT356" i="1"/>
  <c r="CT355" i="1"/>
  <c r="CT354" i="1"/>
  <c r="CT353"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6" i="1"/>
  <c r="CT294" i="1"/>
  <c r="CT293" i="1"/>
  <c r="CT292" i="1"/>
  <c r="CT291" i="1"/>
  <c r="CT290" i="1"/>
  <c r="CT289" i="1"/>
  <c r="CT288" i="1"/>
  <c r="CT287" i="1"/>
  <c r="CT286" i="1"/>
  <c r="CT285" i="1"/>
  <c r="CT284" i="1"/>
  <c r="CT283" i="1"/>
  <c r="CT282" i="1"/>
  <c r="CT281" i="1"/>
  <c r="CT280" i="1"/>
  <c r="CT279" i="1"/>
  <c r="CT278" i="1"/>
  <c r="CT277" i="1"/>
  <c r="CT276" i="1"/>
  <c r="CT275" i="1"/>
  <c r="CT274" i="1"/>
  <c r="CT273" i="1"/>
  <c r="CT9" i="1"/>
  <c r="CT8" i="1"/>
  <c r="CT295" i="1"/>
  <c r="BJ298" i="1"/>
  <c r="CU275" i="1"/>
  <c r="CS275" i="1"/>
  <c r="CM275" i="1"/>
  <c r="BJ275" i="1"/>
  <c r="BH275" i="1"/>
  <c r="CU274" i="1"/>
  <c r="CS274" i="1"/>
  <c r="CM274" i="1"/>
  <c r="BJ274" i="1"/>
  <c r="BH274" i="1"/>
  <c r="CU273" i="1"/>
  <c r="CS273" i="1"/>
  <c r="CM273" i="1"/>
  <c r="BJ273" i="1"/>
  <c r="BH273" i="1"/>
  <c r="CU277" i="1"/>
  <c r="CS277" i="1"/>
  <c r="CM277" i="1"/>
  <c r="BJ277" i="1"/>
  <c r="BH277" i="1"/>
  <c r="CU276" i="1"/>
  <c r="CS276" i="1"/>
  <c r="CM276" i="1"/>
  <c r="BJ276" i="1"/>
  <c r="BH276" i="1"/>
  <c r="CU279" i="1"/>
  <c r="CS279" i="1"/>
  <c r="CM279" i="1"/>
  <c r="BJ279" i="1"/>
  <c r="BH279" i="1"/>
  <c r="CU278" i="1"/>
  <c r="CS278" i="1"/>
  <c r="CM278" i="1"/>
  <c r="BJ278" i="1"/>
  <c r="BH278" i="1"/>
  <c r="CU287" i="1"/>
  <c r="CS287" i="1"/>
  <c r="CM287" i="1"/>
  <c r="BJ287" i="1"/>
  <c r="BH287" i="1"/>
  <c r="CU286" i="1"/>
  <c r="CS286" i="1"/>
  <c r="CM286" i="1"/>
  <c r="BJ286" i="1"/>
  <c r="BH286" i="1"/>
  <c r="CU285" i="1"/>
  <c r="CS285" i="1"/>
  <c r="CM285" i="1"/>
  <c r="BJ285" i="1"/>
  <c r="BH285" i="1"/>
  <c r="CU284" i="1"/>
  <c r="CS284" i="1"/>
  <c r="CM284" i="1"/>
  <c r="BJ284" i="1"/>
  <c r="BH284" i="1"/>
  <c r="CU283" i="1"/>
  <c r="CS283" i="1"/>
  <c r="CM283" i="1"/>
  <c r="BJ283" i="1"/>
  <c r="BH283" i="1"/>
  <c r="CU282" i="1"/>
  <c r="CS282" i="1"/>
  <c r="CM282" i="1"/>
  <c r="BJ282" i="1"/>
  <c r="BH282" i="1"/>
  <c r="CU281" i="1"/>
  <c r="CS281" i="1"/>
  <c r="CM281" i="1"/>
  <c r="BJ281" i="1"/>
  <c r="BH281" i="1"/>
  <c r="CU280" i="1"/>
  <c r="CS280" i="1"/>
  <c r="CM280" i="1"/>
  <c r="BJ280" i="1"/>
  <c r="BH280" i="1"/>
  <c r="CU293" i="1"/>
  <c r="CS293" i="1"/>
  <c r="CM293" i="1"/>
  <c r="BJ293" i="1"/>
  <c r="BH293" i="1"/>
  <c r="CU292" i="1"/>
  <c r="CS292" i="1"/>
  <c r="CM292" i="1"/>
  <c r="BJ292" i="1"/>
  <c r="BH292" i="1"/>
  <c r="CU291" i="1"/>
  <c r="CS291" i="1"/>
  <c r="CM291" i="1"/>
  <c r="BJ291" i="1"/>
  <c r="BH291" i="1"/>
  <c r="CU290" i="1"/>
  <c r="CS290" i="1"/>
  <c r="CM290" i="1"/>
  <c r="BJ290" i="1"/>
  <c r="BH290" i="1"/>
  <c r="CU289" i="1"/>
  <c r="CS289" i="1"/>
  <c r="CM289" i="1"/>
  <c r="BJ289" i="1"/>
  <c r="BH289" i="1"/>
  <c r="CU288" i="1"/>
  <c r="CS288" i="1"/>
  <c r="CM288" i="1"/>
  <c r="BJ288" i="1"/>
  <c r="BH288" i="1"/>
  <c r="CU294" i="1"/>
  <c r="CS294" i="1"/>
  <c r="CM294" i="1"/>
  <c r="BJ294" i="1"/>
  <c r="BH294" i="1"/>
  <c r="CU312" i="1"/>
  <c r="CS312" i="1"/>
  <c r="CM312" i="1"/>
  <c r="BJ312" i="1"/>
  <c r="BH312" i="1"/>
  <c r="CU311" i="1"/>
  <c r="CS311" i="1"/>
  <c r="CM311" i="1"/>
  <c r="BJ311" i="1"/>
  <c r="BH311" i="1"/>
  <c r="CU310" i="1"/>
  <c r="CS310" i="1"/>
  <c r="CM310" i="1"/>
  <c r="BJ310" i="1"/>
  <c r="BH310" i="1"/>
  <c r="CU309" i="1"/>
  <c r="CS309" i="1"/>
  <c r="CM309" i="1"/>
  <c r="BJ309" i="1"/>
  <c r="BH309" i="1"/>
  <c r="CU308" i="1"/>
  <c r="CS308" i="1"/>
  <c r="CM308" i="1"/>
  <c r="BJ308" i="1"/>
  <c r="BH308" i="1"/>
  <c r="CU307" i="1"/>
  <c r="CS307" i="1"/>
  <c r="CM307" i="1"/>
  <c r="BJ307" i="1"/>
  <c r="BH307" i="1"/>
  <c r="CU306" i="1"/>
  <c r="CS306" i="1"/>
  <c r="CM306" i="1"/>
  <c r="BJ306" i="1"/>
  <c r="BH306" i="1"/>
  <c r="CU305" i="1"/>
  <c r="CS305" i="1"/>
  <c r="CM305" i="1"/>
  <c r="BJ305" i="1"/>
  <c r="BH305" i="1"/>
  <c r="CU304" i="1"/>
  <c r="CS304" i="1"/>
  <c r="CM304" i="1"/>
  <c r="BJ304" i="1"/>
  <c r="BH304" i="1"/>
  <c r="CU303" i="1"/>
  <c r="CS303" i="1"/>
  <c r="CM303" i="1"/>
  <c r="BJ303" i="1"/>
  <c r="BH303" i="1"/>
  <c r="CU302" i="1"/>
  <c r="CS302" i="1"/>
  <c r="CM302" i="1"/>
  <c r="BJ302" i="1"/>
  <c r="BH302" i="1"/>
  <c r="CU301" i="1"/>
  <c r="CS301" i="1"/>
  <c r="CM301" i="1"/>
  <c r="BJ301" i="1"/>
  <c r="BH301" i="1"/>
  <c r="CU300" i="1"/>
  <c r="CS300" i="1"/>
  <c r="CM300" i="1"/>
  <c r="BJ300" i="1"/>
  <c r="BH300" i="1"/>
  <c r="CU299" i="1"/>
  <c r="CS299" i="1"/>
  <c r="CM299" i="1"/>
  <c r="BJ299" i="1"/>
  <c r="BH299" i="1"/>
  <c r="CU298" i="1"/>
  <c r="CS298" i="1"/>
  <c r="CM298" i="1"/>
  <c r="BH298" i="1"/>
  <c r="CU297" i="1"/>
  <c r="CS297" i="1"/>
  <c r="CM297" i="1"/>
  <c r="BJ297" i="1"/>
  <c r="BH297" i="1"/>
  <c r="CU296" i="1"/>
  <c r="CS296" i="1"/>
  <c r="CM296" i="1"/>
  <c r="BJ296" i="1"/>
  <c r="BH296" i="1"/>
  <c r="CU295" i="1"/>
  <c r="CS295" i="1"/>
  <c r="CM295" i="1"/>
  <c r="BJ295" i="1"/>
  <c r="BH295"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14" i="1"/>
  <c r="CS314" i="1"/>
  <c r="CM314" i="1"/>
  <c r="BJ314" i="1"/>
  <c r="BH314" i="1"/>
  <c r="CU313" i="1"/>
  <c r="CS313" i="1"/>
  <c r="CM313" i="1"/>
  <c r="BJ313" i="1"/>
  <c r="BH313" i="1"/>
  <c r="CU325" i="1"/>
  <c r="CS325" i="1"/>
  <c r="CM325" i="1"/>
  <c r="BJ325" i="1"/>
  <c r="BH325" i="1"/>
  <c r="CU324" i="1"/>
  <c r="CS324" i="1"/>
  <c r="CM324" i="1"/>
  <c r="BJ324" i="1"/>
  <c r="BH324" i="1"/>
  <c r="CU323" i="1"/>
  <c r="CS323" i="1"/>
  <c r="CM323" i="1"/>
  <c r="BJ323" i="1"/>
  <c r="BH323" i="1"/>
  <c r="CU322" i="1"/>
  <c r="CS322" i="1"/>
  <c r="CM322" i="1"/>
  <c r="BJ322" i="1"/>
  <c r="BH322" i="1"/>
  <c r="CU321" i="1"/>
  <c r="CS321" i="1"/>
  <c r="CM321" i="1"/>
  <c r="BJ321" i="1"/>
  <c r="BH321" i="1"/>
  <c r="CU320" i="1"/>
  <c r="CS320" i="1"/>
  <c r="CM320" i="1"/>
  <c r="BJ320" i="1"/>
  <c r="BH320" i="1"/>
  <c r="CU319" i="1"/>
  <c r="CS319" i="1"/>
  <c r="CM319" i="1"/>
  <c r="BJ319" i="1"/>
  <c r="BH319" i="1"/>
  <c r="CU318" i="1"/>
  <c r="CS318" i="1"/>
  <c r="CM318" i="1"/>
  <c r="BJ318" i="1"/>
  <c r="BH318" i="1"/>
  <c r="CU317" i="1"/>
  <c r="CS317" i="1"/>
  <c r="CM317" i="1"/>
  <c r="BJ317" i="1"/>
  <c r="BH317" i="1"/>
  <c r="CU316" i="1"/>
  <c r="CS316" i="1"/>
  <c r="CM316" i="1"/>
  <c r="BJ316" i="1"/>
  <c r="BH316" i="1"/>
  <c r="CU315" i="1"/>
  <c r="CS315" i="1"/>
  <c r="CM315" i="1"/>
  <c r="BJ315" i="1"/>
  <c r="BH315" i="1"/>
  <c r="CU328" i="1"/>
  <c r="CS328" i="1"/>
  <c r="CM328" i="1"/>
  <c r="BJ328" i="1"/>
  <c r="BH328" i="1"/>
  <c r="CU327" i="1"/>
  <c r="CS327" i="1"/>
  <c r="CM327" i="1"/>
  <c r="BJ327" i="1"/>
  <c r="BH327" i="1"/>
  <c r="CU326" i="1"/>
  <c r="CS326" i="1"/>
  <c r="CM326" i="1"/>
  <c r="BJ326" i="1"/>
  <c r="BH326" i="1"/>
  <c r="CU330" i="1"/>
  <c r="CS330" i="1"/>
  <c r="CM330" i="1"/>
  <c r="BJ330" i="1"/>
  <c r="BH330" i="1"/>
  <c r="CU329" i="1"/>
  <c r="CS329" i="1"/>
  <c r="CM329" i="1"/>
  <c r="BJ329" i="1"/>
  <c r="BH329" i="1"/>
  <c r="CU334" i="1"/>
  <c r="CS334" i="1"/>
  <c r="CM334" i="1"/>
  <c r="BJ334" i="1"/>
  <c r="BH334" i="1"/>
  <c r="CU333" i="1"/>
  <c r="CS333" i="1"/>
  <c r="CM333" i="1"/>
  <c r="BJ333" i="1"/>
  <c r="BH333" i="1"/>
  <c r="CU332" i="1"/>
  <c r="CS332" i="1"/>
  <c r="CM332" i="1"/>
  <c r="BJ332" i="1"/>
  <c r="BH332" i="1"/>
  <c r="CU331" i="1"/>
  <c r="CS331" i="1"/>
  <c r="CM331" i="1"/>
  <c r="BJ331" i="1"/>
  <c r="BH331" i="1"/>
  <c r="CU336" i="1"/>
  <c r="CS336" i="1"/>
  <c r="CM336" i="1"/>
  <c r="BJ336" i="1"/>
  <c r="BH336" i="1"/>
  <c r="CU335" i="1"/>
  <c r="CS335" i="1"/>
  <c r="CM335" i="1"/>
  <c r="BJ335" i="1"/>
  <c r="BH335" i="1"/>
  <c r="CU343" i="1"/>
  <c r="CS343" i="1"/>
  <c r="CM343" i="1"/>
  <c r="BJ343" i="1"/>
  <c r="BH343" i="1"/>
  <c r="CU342" i="1"/>
  <c r="CS342" i="1"/>
  <c r="CM342" i="1"/>
  <c r="BJ342" i="1"/>
  <c r="BH342" i="1"/>
  <c r="CU341" i="1"/>
  <c r="CS341" i="1"/>
  <c r="CM341" i="1"/>
  <c r="BJ341" i="1"/>
  <c r="BH341" i="1"/>
  <c r="CU340" i="1"/>
  <c r="CS340" i="1"/>
  <c r="CM340" i="1"/>
  <c r="BJ340" i="1"/>
  <c r="BH340" i="1"/>
  <c r="CU339" i="1"/>
  <c r="CS339" i="1"/>
  <c r="CM339" i="1"/>
  <c r="BJ339" i="1"/>
  <c r="BH339" i="1"/>
  <c r="CU338" i="1"/>
  <c r="CS338" i="1"/>
  <c r="CM338" i="1"/>
  <c r="BJ338" i="1"/>
  <c r="BH338" i="1"/>
  <c r="CU337" i="1"/>
  <c r="CS337" i="1"/>
  <c r="CM337" i="1"/>
  <c r="BJ337" i="1"/>
  <c r="BH337"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45" i="1"/>
  <c r="CS345" i="1"/>
  <c r="CM345" i="1"/>
  <c r="BJ345" i="1"/>
  <c r="BH345" i="1"/>
  <c r="CU344" i="1"/>
  <c r="CS344" i="1"/>
  <c r="CM344" i="1"/>
  <c r="BJ344" i="1"/>
  <c r="BH344" i="1"/>
  <c r="CU347" i="1"/>
  <c r="CS347" i="1"/>
  <c r="CM347" i="1"/>
  <c r="BJ347" i="1"/>
  <c r="BH347" i="1"/>
  <c r="CU346" i="1"/>
  <c r="CS346" i="1"/>
  <c r="CM346" i="1"/>
  <c r="BJ346" i="1"/>
  <c r="BH346" i="1"/>
  <c r="CU349" i="1"/>
  <c r="CS349" i="1"/>
  <c r="CM349" i="1"/>
  <c r="BJ349" i="1"/>
  <c r="BH349" i="1"/>
  <c r="CU348" i="1"/>
  <c r="CS348" i="1"/>
  <c r="CM348" i="1"/>
  <c r="BJ348" i="1"/>
  <c r="BH348" i="1"/>
  <c r="CU350" i="1"/>
  <c r="CS350" i="1"/>
  <c r="CM350" i="1"/>
  <c r="BJ350" i="1"/>
  <c r="BH350" i="1"/>
  <c r="CU357" i="1"/>
  <c r="CS357" i="1"/>
  <c r="CM357" i="1"/>
  <c r="BJ357" i="1"/>
  <c r="BH357" i="1"/>
  <c r="CU356" i="1"/>
  <c r="CS356" i="1"/>
  <c r="CM356" i="1"/>
  <c r="BJ356" i="1"/>
  <c r="BH356" i="1"/>
  <c r="CU355" i="1"/>
  <c r="CS355" i="1"/>
  <c r="CM355" i="1"/>
  <c r="BJ355" i="1"/>
  <c r="BH355" i="1"/>
  <c r="CU354" i="1"/>
  <c r="CS354" i="1"/>
  <c r="CM354" i="1"/>
  <c r="BJ354" i="1"/>
  <c r="BH354" i="1"/>
  <c r="CU353" i="1"/>
  <c r="CS353" i="1"/>
  <c r="CM353" i="1"/>
  <c r="BJ353" i="1"/>
  <c r="BH353" i="1"/>
  <c r="CU352" i="1"/>
  <c r="CS352" i="1"/>
  <c r="CM352" i="1"/>
  <c r="BJ352" i="1"/>
  <c r="BH352" i="1"/>
  <c r="CU351" i="1"/>
  <c r="CS351" i="1"/>
  <c r="CM351" i="1"/>
  <c r="BJ351" i="1"/>
  <c r="BH351"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BL13" i="1" l="1"/>
  <c r="BM13" i="1"/>
  <c r="BK11" i="1"/>
  <c r="BL11" i="1"/>
  <c r="BM11" i="1"/>
  <c r="BK10" i="1"/>
  <c r="BK16" i="1"/>
  <c r="BL10" i="1"/>
  <c r="BL16" i="1"/>
  <c r="BM10" i="1"/>
  <c r="CX12" i="1"/>
  <c r="BM16" i="1"/>
  <c r="CX11" i="1"/>
  <c r="BL14" i="1"/>
  <c r="CX14" i="1"/>
  <c r="CX13" i="1"/>
  <c r="CX10" i="1"/>
  <c r="CX16" i="1"/>
  <c r="CV23" i="1"/>
  <c r="CV25" i="1"/>
  <c r="CV35" i="1"/>
  <c r="CX35" i="1" s="1"/>
  <c r="CV18" i="1"/>
  <c r="CX18" i="1" s="1"/>
  <c r="CV20" i="1"/>
  <c r="CX20" i="1" s="1"/>
  <c r="CV27" i="1"/>
  <c r="CX27" i="1" s="1"/>
  <c r="CV33" i="1"/>
  <c r="CX33" i="1" s="1"/>
  <c r="CV28" i="1"/>
  <c r="CX28" i="1" s="1"/>
  <c r="CV34" i="1"/>
  <c r="CX34" i="1" s="1"/>
  <c r="CV22" i="1"/>
  <c r="CX22" i="1" s="1"/>
  <c r="CV32" i="1"/>
  <c r="CX32" i="1" s="1"/>
  <c r="CV21" i="1"/>
  <c r="CX21" i="1" s="1"/>
  <c r="CV31" i="1"/>
  <c r="CX31" i="1" s="1"/>
  <c r="CX25" i="1"/>
  <c r="CV30" i="1"/>
  <c r="CX30" i="1" s="1"/>
  <c r="CV24" i="1"/>
  <c r="CX24" i="1" s="1"/>
  <c r="CV17" i="1"/>
  <c r="CX17" i="1" s="1"/>
  <c r="CV29" i="1"/>
  <c r="CX29" i="1" s="1"/>
  <c r="CX23" i="1"/>
  <c r="CV26" i="1"/>
  <c r="CV45" i="1"/>
  <c r="CX45" i="1" s="1"/>
  <c r="CV19" i="1"/>
  <c r="CX19" i="1" s="1"/>
  <c r="CV43" i="1"/>
  <c r="CX43" i="1" s="1"/>
  <c r="CV39" i="1"/>
  <c r="CX39" i="1" s="1"/>
  <c r="CV46" i="1"/>
  <c r="CX46" i="1" s="1"/>
  <c r="CV41" i="1"/>
  <c r="CX41" i="1" s="1"/>
  <c r="CV40" i="1"/>
  <c r="CX40" i="1" s="1"/>
  <c r="CV36" i="1"/>
  <c r="CX36" i="1" s="1"/>
  <c r="CV37" i="1"/>
  <c r="CX37" i="1" s="1"/>
  <c r="CV44" i="1"/>
  <c r="CX44" i="1" s="1"/>
  <c r="CV42" i="1"/>
  <c r="CX42" i="1" s="1"/>
  <c r="CV38" i="1"/>
  <c r="AU3455" i="31"/>
  <c r="AT3455" i="31" s="1"/>
  <c r="B3456" i="31"/>
  <c r="CV48" i="1"/>
  <c r="CX48" i="1" s="1"/>
  <c r="CV49" i="1"/>
  <c r="CX49" i="1" s="1"/>
  <c r="CV47" i="1"/>
  <c r="CX47" i="1" s="1"/>
  <c r="CV51" i="1"/>
  <c r="CX51" i="1" s="1"/>
  <c r="CV50" i="1"/>
  <c r="CX50" i="1" s="1"/>
  <c r="CV52" i="1"/>
  <c r="CX52" i="1" s="1"/>
  <c r="CV53" i="1"/>
  <c r="CX53" i="1" s="1"/>
  <c r="CV57" i="1"/>
  <c r="CX57" i="1" s="1"/>
  <c r="CV54" i="1"/>
  <c r="CX54" i="1" s="1"/>
  <c r="CV58" i="1"/>
  <c r="CX58" i="1" s="1"/>
  <c r="CV64" i="1"/>
  <c r="CX64" i="1" s="1"/>
  <c r="CV55" i="1"/>
  <c r="CX55" i="1" s="1"/>
  <c r="CV63" i="1"/>
  <c r="CX63" i="1" s="1"/>
  <c r="CV61" i="1"/>
  <c r="CX61" i="1" s="1"/>
  <c r="CV56" i="1"/>
  <c r="CX56" i="1" s="1"/>
  <c r="CV59" i="1"/>
  <c r="CX59" i="1" s="1"/>
  <c r="CV60" i="1"/>
  <c r="CX60" i="1" s="1"/>
  <c r="CV62" i="1"/>
  <c r="CX62" i="1" s="1"/>
  <c r="CV65" i="1"/>
  <c r="CX65" i="1" s="1"/>
  <c r="CV73" i="1"/>
  <c r="CX73" i="1" s="1"/>
  <c r="CV69" i="1"/>
  <c r="CX69" i="1" s="1"/>
  <c r="CV77" i="1"/>
  <c r="CX77" i="1" s="1"/>
  <c r="CV68" i="1"/>
  <c r="CX68" i="1" s="1"/>
  <c r="CV76" i="1"/>
  <c r="CX76" i="1" s="1"/>
  <c r="CV84" i="1"/>
  <c r="CX84" i="1" s="1"/>
  <c r="CV92" i="1"/>
  <c r="CX92" i="1" s="1"/>
  <c r="CV103" i="1"/>
  <c r="CX103" i="1" s="1"/>
  <c r="CV111" i="1"/>
  <c r="CX111" i="1" s="1"/>
  <c r="CV119" i="1"/>
  <c r="CX119" i="1" s="1"/>
  <c r="CV151" i="1"/>
  <c r="CX151" i="1" s="1"/>
  <c r="CV159" i="1"/>
  <c r="CX159" i="1" s="1"/>
  <c r="CV71" i="1"/>
  <c r="CX71" i="1" s="1"/>
  <c r="CV79" i="1"/>
  <c r="CX79" i="1" s="1"/>
  <c r="CV87" i="1"/>
  <c r="CX87" i="1" s="1"/>
  <c r="CV138" i="1"/>
  <c r="CX138" i="1" s="1"/>
  <c r="CV146" i="1"/>
  <c r="CX146" i="1" s="1"/>
  <c r="CV66" i="1"/>
  <c r="CX66" i="1" s="1"/>
  <c r="CV74" i="1"/>
  <c r="CX74" i="1" s="1"/>
  <c r="CV90" i="1"/>
  <c r="CX90" i="1" s="1"/>
  <c r="CV98" i="1"/>
  <c r="CX98" i="1" s="1"/>
  <c r="CV157" i="1"/>
  <c r="CX157" i="1" s="1"/>
  <c r="CV93" i="1"/>
  <c r="CX93" i="1" s="1"/>
  <c r="CV104" i="1"/>
  <c r="CX104" i="1" s="1"/>
  <c r="CV120" i="1"/>
  <c r="CX120" i="1" s="1"/>
  <c r="CV136" i="1"/>
  <c r="CX136" i="1" s="1"/>
  <c r="CV144" i="1"/>
  <c r="CX144" i="1" s="1"/>
  <c r="CV152" i="1"/>
  <c r="CX152" i="1" s="1"/>
  <c r="CV80" i="1"/>
  <c r="CX80" i="1" s="1"/>
  <c r="CV88" i="1"/>
  <c r="CX88" i="1" s="1"/>
  <c r="CV96" i="1"/>
  <c r="CX96" i="1" s="1"/>
  <c r="CV110" i="1"/>
  <c r="CX110" i="1" s="1"/>
  <c r="CV118" i="1"/>
  <c r="CX118" i="1" s="1"/>
  <c r="CV126" i="1"/>
  <c r="CX126" i="1" s="1"/>
  <c r="CV142" i="1"/>
  <c r="CX142" i="1" s="1"/>
  <c r="CV158" i="1"/>
  <c r="CX158" i="1" s="1"/>
  <c r="CV70" i="1"/>
  <c r="CX70" i="1" s="1"/>
  <c r="CV86" i="1"/>
  <c r="CX86" i="1" s="1"/>
  <c r="CV94" i="1"/>
  <c r="CX94" i="1" s="1"/>
  <c r="CV137" i="1"/>
  <c r="CX137" i="1" s="1"/>
  <c r="CV145" i="1"/>
  <c r="CX145" i="1" s="1"/>
  <c r="CV153" i="1"/>
  <c r="CX153" i="1" s="1"/>
  <c r="CV81" i="1"/>
  <c r="CX81" i="1" s="1"/>
  <c r="CV97" i="1"/>
  <c r="CX97" i="1" s="1"/>
  <c r="CV123" i="1"/>
  <c r="CX123" i="1" s="1"/>
  <c r="CV139" i="1"/>
  <c r="CX139" i="1" s="1"/>
  <c r="CV147" i="1"/>
  <c r="CX147" i="1" s="1"/>
  <c r="CV155" i="1"/>
  <c r="CX155" i="1" s="1"/>
  <c r="CV75" i="1"/>
  <c r="CX75" i="1" s="1"/>
  <c r="CV83" i="1"/>
  <c r="CX83" i="1" s="1"/>
  <c r="CV91" i="1"/>
  <c r="CX91" i="1" s="1"/>
  <c r="CV99" i="1"/>
  <c r="CX99" i="1" s="1"/>
  <c r="CV105" i="1"/>
  <c r="CX105" i="1" s="1"/>
  <c r="CV113" i="1"/>
  <c r="CX113" i="1" s="1"/>
  <c r="CV121" i="1"/>
  <c r="CX121" i="1" s="1"/>
  <c r="CV129" i="1"/>
  <c r="CX129" i="1" s="1"/>
  <c r="CV108" i="1"/>
  <c r="CX108" i="1" s="1"/>
  <c r="CV124" i="1"/>
  <c r="CX124" i="1" s="1"/>
  <c r="CV132" i="1"/>
  <c r="CX132" i="1" s="1"/>
  <c r="CV140" i="1"/>
  <c r="CX140" i="1" s="1"/>
  <c r="CV148" i="1"/>
  <c r="CX148" i="1" s="1"/>
  <c r="CV106" i="1"/>
  <c r="CX106" i="1" s="1"/>
  <c r="CV122" i="1"/>
  <c r="CX122" i="1" s="1"/>
  <c r="CV101" i="1"/>
  <c r="CX101" i="1" s="1"/>
  <c r="CV109" i="1"/>
  <c r="CX109" i="1" s="1"/>
  <c r="CV117" i="1"/>
  <c r="CX117" i="1" s="1"/>
  <c r="CV133" i="1"/>
  <c r="CX133" i="1" s="1"/>
  <c r="CV141" i="1"/>
  <c r="CX141" i="1" s="1"/>
  <c r="CV78" i="1"/>
  <c r="CX78" i="1" s="1"/>
  <c r="CV116" i="1"/>
  <c r="CX116" i="1" s="1"/>
  <c r="CV95" i="1"/>
  <c r="CX95" i="1" s="1"/>
  <c r="CV89" i="1"/>
  <c r="CX89" i="1" s="1"/>
  <c r="CV82" i="1"/>
  <c r="CX82" i="1" s="1"/>
  <c r="CV135" i="1"/>
  <c r="CX135" i="1" s="1"/>
  <c r="CV131" i="1"/>
  <c r="CX131" i="1" s="1"/>
  <c r="CV115" i="1"/>
  <c r="CX115" i="1" s="1"/>
  <c r="CV154" i="1"/>
  <c r="CX154" i="1" s="1"/>
  <c r="CV149" i="1"/>
  <c r="CX149" i="1" s="1"/>
  <c r="CV125" i="1"/>
  <c r="CX125" i="1" s="1"/>
  <c r="CV72" i="1"/>
  <c r="CX72" i="1" s="1"/>
  <c r="CV134" i="1"/>
  <c r="CX134" i="1" s="1"/>
  <c r="CV85" i="1"/>
  <c r="CX85" i="1" s="1"/>
  <c r="CV67" i="1"/>
  <c r="CX67" i="1" s="1"/>
  <c r="CV143" i="1"/>
  <c r="CX143" i="1" s="1"/>
  <c r="CV130" i="1"/>
  <c r="CX130" i="1" s="1"/>
  <c r="CV127" i="1"/>
  <c r="CX127" i="1" s="1"/>
  <c r="CV107" i="1"/>
  <c r="CX107" i="1" s="1"/>
  <c r="CV112" i="1"/>
  <c r="CX112" i="1" s="1"/>
  <c r="CV102" i="1"/>
  <c r="CX102" i="1" s="1"/>
  <c r="CV100" i="1"/>
  <c r="CX100" i="1" s="1"/>
  <c r="CV150" i="1"/>
  <c r="CX150" i="1" s="1"/>
  <c r="CV128" i="1"/>
  <c r="CX128" i="1" s="1"/>
  <c r="CV156" i="1"/>
  <c r="CX156" i="1" s="1"/>
  <c r="CV114" i="1"/>
  <c r="CX114" i="1" s="1"/>
  <c r="CV167" i="1"/>
  <c r="CX167" i="1" s="1"/>
  <c r="CV160" i="1"/>
  <c r="CX160" i="1" s="1"/>
  <c r="CV166" i="1"/>
  <c r="CX166" i="1" s="1"/>
  <c r="CV162" i="1"/>
  <c r="CX162" i="1" s="1"/>
  <c r="CV161" i="1"/>
  <c r="CX161" i="1" s="1"/>
  <c r="CV165" i="1"/>
  <c r="CX165" i="1" s="1"/>
  <c r="CV164" i="1"/>
  <c r="CX164" i="1" s="1"/>
  <c r="CV163" i="1"/>
  <c r="CV179" i="1"/>
  <c r="CX179" i="1" s="1"/>
  <c r="CV171" i="1"/>
  <c r="CX171" i="1" s="1"/>
  <c r="CV176" i="1"/>
  <c r="CX176" i="1" s="1"/>
  <c r="CV173" i="1"/>
  <c r="CX173" i="1" s="1"/>
  <c r="CV177" i="1"/>
  <c r="CX177" i="1" s="1"/>
  <c r="CV174" i="1"/>
  <c r="CX174" i="1" s="1"/>
  <c r="CV170" i="1"/>
  <c r="CX170" i="1" s="1"/>
  <c r="CV168" i="1"/>
  <c r="CX168" i="1" s="1"/>
  <c r="CV175" i="1"/>
  <c r="CX175" i="1" s="1"/>
  <c r="CV169" i="1"/>
  <c r="CV178" i="1"/>
  <c r="CV172" i="1"/>
  <c r="CV185" i="1"/>
  <c r="CX185" i="1" s="1"/>
  <c r="CV181" i="1"/>
  <c r="CX181" i="1" s="1"/>
  <c r="CV191" i="1"/>
  <c r="CX191" i="1" s="1"/>
  <c r="CV180" i="1"/>
  <c r="CX180" i="1" s="1"/>
  <c r="CV182" i="1"/>
  <c r="CX182" i="1" s="1"/>
  <c r="CV184" i="1"/>
  <c r="CX184" i="1" s="1"/>
  <c r="CV183" i="1"/>
  <c r="CV197" i="1"/>
  <c r="CX197" i="1" s="1"/>
  <c r="CV186" i="1"/>
  <c r="CX186" i="1" s="1"/>
  <c r="CV192" i="1"/>
  <c r="CX192" i="1" s="1"/>
  <c r="CV190" i="1"/>
  <c r="CX190" i="1" s="1"/>
  <c r="CV188" i="1"/>
  <c r="CX188" i="1" s="1"/>
  <c r="CV193" i="1"/>
  <c r="CX193" i="1" s="1"/>
  <c r="CV187" i="1"/>
  <c r="CX187" i="1" s="1"/>
  <c r="CV189" i="1"/>
  <c r="CV196" i="1"/>
  <c r="CX196" i="1" s="1"/>
  <c r="CV198" i="1"/>
  <c r="CX198" i="1" s="1"/>
  <c r="CV195" i="1"/>
  <c r="CX195" i="1" s="1"/>
  <c r="CV199" i="1"/>
  <c r="CX199" i="1" s="1"/>
  <c r="CV194" i="1"/>
  <c r="CX194" i="1" s="1"/>
  <c r="CV211" i="1"/>
  <c r="CX211" i="1" s="1"/>
  <c r="CV210" i="1"/>
  <c r="CX210" i="1" s="1"/>
  <c r="CV201" i="1"/>
  <c r="CX201" i="1" s="1"/>
  <c r="CV220" i="1"/>
  <c r="CX220" i="1" s="1"/>
  <c r="CV202" i="1"/>
  <c r="CX202" i="1" s="1"/>
  <c r="CV216" i="1"/>
  <c r="CX216" i="1" s="1"/>
  <c r="CV215" i="1"/>
  <c r="CX215" i="1" s="1"/>
  <c r="CV208" i="1"/>
  <c r="CX208" i="1" s="1"/>
  <c r="CV203" i="1"/>
  <c r="CX203" i="1" s="1"/>
  <c r="CV217" i="1"/>
  <c r="CX217" i="1" s="1"/>
  <c r="CV221" i="1"/>
  <c r="CX221" i="1" s="1"/>
  <c r="CV213" i="1"/>
  <c r="CX213" i="1" s="1"/>
  <c r="CV212" i="1"/>
  <c r="CX212" i="1" s="1"/>
  <c r="CV200" i="1"/>
  <c r="CX200" i="1" s="1"/>
  <c r="CV204" i="1"/>
  <c r="CX204" i="1" s="1"/>
  <c r="CV209" i="1"/>
  <c r="CX209" i="1" s="1"/>
  <c r="CV205" i="1"/>
  <c r="CX205" i="1" s="1"/>
  <c r="CV207" i="1"/>
  <c r="CV206" i="1"/>
  <c r="CV214" i="1"/>
  <c r="CV223" i="1"/>
  <c r="CX223" i="1" s="1"/>
  <c r="CV218" i="1"/>
  <c r="CX218" i="1" s="1"/>
  <c r="CV219" i="1"/>
  <c r="CX219" i="1" s="1"/>
  <c r="CV222" i="1"/>
  <c r="CX222" i="1" s="1"/>
  <c r="CV224" i="1"/>
  <c r="CX224" i="1" s="1"/>
  <c r="CV227" i="1"/>
  <c r="CX227" i="1" s="1"/>
  <c r="CV225" i="1"/>
  <c r="CX225" i="1" s="1"/>
  <c r="CV226" i="1"/>
  <c r="CX226" i="1" s="1"/>
  <c r="CV228" i="1"/>
  <c r="CX228" i="1" s="1"/>
  <c r="CV232" i="1"/>
  <c r="CX232" i="1" s="1"/>
  <c r="CV229" i="1"/>
  <c r="CX229" i="1" s="1"/>
  <c r="CV231" i="1"/>
  <c r="CX231" i="1" s="1"/>
  <c r="CV230" i="1"/>
  <c r="CV241" i="1"/>
  <c r="CX241" i="1" s="1"/>
  <c r="CV233" i="1"/>
  <c r="CX233" i="1" s="1"/>
  <c r="CV240" i="1"/>
  <c r="CX240" i="1" s="1"/>
  <c r="CV236" i="1"/>
  <c r="CX236" i="1" s="1"/>
  <c r="CV245" i="1"/>
  <c r="CX245" i="1" s="1"/>
  <c r="CV237" i="1"/>
  <c r="CX237" i="1" s="1"/>
  <c r="CV234" i="1"/>
  <c r="CX234" i="1" s="1"/>
  <c r="CV235" i="1"/>
  <c r="CX235" i="1" s="1"/>
  <c r="CV244" i="1"/>
  <c r="CX244" i="1" s="1"/>
  <c r="CV238" i="1"/>
  <c r="CX238" i="1" s="1"/>
  <c r="CV239" i="1"/>
  <c r="CV261" i="1"/>
  <c r="CX261" i="1" s="1"/>
  <c r="CV242" i="1"/>
  <c r="CX242" i="1" s="1"/>
  <c r="CV243" i="1"/>
  <c r="CV260" i="1"/>
  <c r="CX260" i="1" s="1"/>
  <c r="CV253" i="1"/>
  <c r="CX253" i="1" s="1"/>
  <c r="CV256" i="1"/>
  <c r="CX256" i="1" s="1"/>
  <c r="CV249" i="1"/>
  <c r="CX249" i="1" s="1"/>
  <c r="CV262" i="1"/>
  <c r="CX262" i="1" s="1"/>
  <c r="CV252" i="1"/>
  <c r="CX252" i="1" s="1"/>
  <c r="CV254" i="1"/>
  <c r="CX254" i="1" s="1"/>
  <c r="CV251" i="1"/>
  <c r="CV272" i="1"/>
  <c r="CX272" i="1" s="1"/>
  <c r="CV247" i="1"/>
  <c r="CX247" i="1" s="1"/>
  <c r="CV259" i="1"/>
  <c r="CX259" i="1" s="1"/>
  <c r="CV250" i="1"/>
  <c r="CX250" i="1" s="1"/>
  <c r="CV257" i="1"/>
  <c r="CV248" i="1"/>
  <c r="CX248" i="1" s="1"/>
  <c r="CV255" i="1"/>
  <c r="CV246" i="1"/>
  <c r="CV258" i="1"/>
  <c r="CX258" i="1" s="1"/>
  <c r="CV269" i="1"/>
  <c r="CX269" i="1" s="1"/>
  <c r="CV270" i="1"/>
  <c r="CX270" i="1" s="1"/>
  <c r="CV266" i="1"/>
  <c r="CV268" i="1"/>
  <c r="CV264" i="1"/>
  <c r="CX264" i="1" s="1"/>
  <c r="CV267" i="1"/>
  <c r="CX267" i="1" s="1"/>
  <c r="CV263" i="1"/>
  <c r="CV271" i="1"/>
  <c r="CV265" i="1"/>
  <c r="CX265" i="1" s="1"/>
  <c r="CV274" i="1"/>
  <c r="CX274" i="1" s="1"/>
  <c r="CV275" i="1"/>
  <c r="CX275" i="1" s="1"/>
  <c r="CV276" i="1"/>
  <c r="CX276" i="1" s="1"/>
  <c r="CV273" i="1"/>
  <c r="CV277" i="1"/>
  <c r="CX277" i="1" s="1"/>
  <c r="CV279" i="1"/>
  <c r="CX279" i="1" s="1"/>
  <c r="CV278" i="1"/>
  <c r="CX278" i="1" s="1"/>
  <c r="CV287" i="1"/>
  <c r="CX287" i="1" s="1"/>
  <c r="CV286" i="1"/>
  <c r="CX286" i="1" s="1"/>
  <c r="CV283" i="1"/>
  <c r="CX283" i="1" s="1"/>
  <c r="CV284" i="1"/>
  <c r="CX284" i="1" s="1"/>
  <c r="CV281" i="1"/>
  <c r="CX281" i="1" s="1"/>
  <c r="CV292" i="1"/>
  <c r="CX292" i="1" s="1"/>
  <c r="CV282" i="1"/>
  <c r="CX282" i="1" s="1"/>
  <c r="CV280" i="1"/>
  <c r="CX280" i="1" s="1"/>
  <c r="CV293" i="1"/>
  <c r="CX293" i="1" s="1"/>
  <c r="CV285" i="1"/>
  <c r="CX285" i="1" s="1"/>
  <c r="CV288" i="1"/>
  <c r="CX288" i="1" s="1"/>
  <c r="CV312" i="1"/>
  <c r="CX312" i="1" s="1"/>
  <c r="CV289" i="1"/>
  <c r="CX289" i="1" s="1"/>
  <c r="CV290" i="1"/>
  <c r="CV291" i="1"/>
  <c r="CV294" i="1"/>
  <c r="CX294" i="1" s="1"/>
  <c r="CV295" i="1"/>
  <c r="CX295" i="1" s="1"/>
  <c r="CV311" i="1"/>
  <c r="CX311" i="1" s="1"/>
  <c r="CV296" i="1"/>
  <c r="CX296" i="1" s="1"/>
  <c r="CV300" i="1"/>
  <c r="CX300" i="1" s="1"/>
  <c r="CV297" i="1"/>
  <c r="CX297" i="1" s="1"/>
  <c r="CV299" i="1"/>
  <c r="CX299" i="1" s="1"/>
  <c r="CV307" i="1"/>
  <c r="CX307" i="1" s="1"/>
  <c r="CV306" i="1"/>
  <c r="CX306" i="1" s="1"/>
  <c r="CV305" i="1"/>
  <c r="CX305" i="1" s="1"/>
  <c r="CV304" i="1"/>
  <c r="CX304" i="1" s="1"/>
  <c r="CV303" i="1"/>
  <c r="CX303" i="1" s="1"/>
  <c r="CV298" i="1"/>
  <c r="CV309" i="1"/>
  <c r="CX309" i="1" s="1"/>
  <c r="CV301" i="1"/>
  <c r="CX301" i="1" s="1"/>
  <c r="CV308" i="1"/>
  <c r="CX308" i="1" s="1"/>
  <c r="CV302" i="1"/>
  <c r="CV310" i="1"/>
  <c r="CV317" i="1"/>
  <c r="CX317" i="1" s="1"/>
  <c r="CV325" i="1"/>
  <c r="CX325" i="1" s="1"/>
  <c r="CV324" i="1"/>
  <c r="CX324" i="1" s="1"/>
  <c r="CV314" i="1"/>
  <c r="CX314" i="1" s="1"/>
  <c r="CV313" i="1"/>
  <c r="CX313" i="1" s="1"/>
  <c r="CV322" i="1"/>
  <c r="CX322" i="1" s="1"/>
  <c r="CV320" i="1"/>
  <c r="CX320" i="1" s="1"/>
  <c r="CV327" i="1"/>
  <c r="CX327" i="1" s="1"/>
  <c r="CV316" i="1"/>
  <c r="CX316" i="1" s="1"/>
  <c r="CV319" i="1"/>
  <c r="CX319" i="1" s="1"/>
  <c r="CV326" i="1"/>
  <c r="CX326" i="1" s="1"/>
  <c r="CV328" i="1"/>
  <c r="CX328" i="1" s="1"/>
  <c r="CV318" i="1"/>
  <c r="CX318" i="1" s="1"/>
  <c r="CV321" i="1"/>
  <c r="CV315" i="1"/>
  <c r="CX315" i="1" s="1"/>
  <c r="CV323" i="1"/>
  <c r="CV330" i="1"/>
  <c r="CX330" i="1" s="1"/>
  <c r="CV334" i="1"/>
  <c r="CX334" i="1" s="1"/>
  <c r="CV329" i="1"/>
  <c r="CX329" i="1" s="1"/>
  <c r="CV331" i="1"/>
  <c r="CX331" i="1" s="1"/>
  <c r="CV333" i="1"/>
  <c r="CX333" i="1" s="1"/>
  <c r="CV332" i="1"/>
  <c r="CV342" i="1"/>
  <c r="CX342" i="1" s="1"/>
  <c r="CV335" i="1"/>
  <c r="CX335" i="1" s="1"/>
  <c r="CV336" i="1"/>
  <c r="CV337" i="1"/>
  <c r="CX337" i="1" s="1"/>
  <c r="CV340" i="1"/>
  <c r="CX340" i="1" s="1"/>
  <c r="CV343" i="1"/>
  <c r="CX343" i="1" s="1"/>
  <c r="CV338" i="1"/>
  <c r="CX338" i="1" s="1"/>
  <c r="CV339" i="1"/>
  <c r="CV341" i="1"/>
  <c r="CV344" i="1"/>
  <c r="CX344" i="1" s="1"/>
  <c r="CV345" i="1"/>
  <c r="CX345" i="1" s="1"/>
  <c r="CV347" i="1"/>
  <c r="CX347" i="1" s="1"/>
  <c r="CV346" i="1"/>
  <c r="CX346" i="1" s="1"/>
  <c r="CV349" i="1"/>
  <c r="CX349" i="1" s="1"/>
  <c r="CV348" i="1"/>
  <c r="CX348" i="1" s="1"/>
  <c r="CV350" i="1"/>
  <c r="CX350" i="1" s="1"/>
  <c r="CV355" i="1"/>
  <c r="CX355" i="1" s="1"/>
  <c r="CV351" i="1"/>
  <c r="CX351" i="1" s="1"/>
  <c r="CV356" i="1"/>
  <c r="CX356" i="1" s="1"/>
  <c r="CV354" i="1"/>
  <c r="CX354" i="1" s="1"/>
  <c r="CV357" i="1"/>
  <c r="CX357" i="1" s="1"/>
  <c r="CV352" i="1"/>
  <c r="CX352" i="1" s="1"/>
  <c r="CV353" i="1"/>
  <c r="CX353"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26" i="1" l="1"/>
  <c r="CX38" i="1"/>
  <c r="AM3456" i="31"/>
  <c r="AL3456" i="31"/>
  <c r="B3457" i="31"/>
  <c r="AS3456" i="31"/>
  <c r="CX163" i="1"/>
  <c r="CX172" i="1"/>
  <c r="CX178" i="1"/>
  <c r="CX169" i="1"/>
  <c r="CX183" i="1"/>
  <c r="CX189" i="1"/>
  <c r="CX207" i="1"/>
  <c r="CX214" i="1"/>
  <c r="CX206" i="1"/>
  <c r="CX230" i="1"/>
  <c r="CX239" i="1"/>
  <c r="CX243" i="1"/>
  <c r="CX246" i="1"/>
  <c r="CX257" i="1"/>
  <c r="CX255" i="1"/>
  <c r="CX251" i="1"/>
  <c r="CX263" i="1"/>
  <c r="CX271" i="1"/>
  <c r="CX266" i="1"/>
  <c r="CX268" i="1"/>
  <c r="CX273" i="1"/>
  <c r="CX290" i="1"/>
  <c r="CX291" i="1"/>
  <c r="CX302" i="1"/>
  <c r="CX298" i="1"/>
  <c r="CX310" i="1"/>
  <c r="CX321" i="1"/>
  <c r="CX323" i="1"/>
  <c r="CX332" i="1"/>
  <c r="CX336" i="1"/>
  <c r="CX339" i="1"/>
  <c r="CX341" i="1"/>
  <c r="AV3456" i="31" l="1"/>
  <c r="AU3456" i="31"/>
  <c r="AT3456" i="31" s="1"/>
  <c r="B3458" i="31"/>
  <c r="AS3457" i="31"/>
  <c r="AL3457" i="31"/>
  <c r="AM3457"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AV3457" i="31" l="1"/>
  <c r="AU3457" i="31"/>
  <c r="AT3457" i="31" s="1"/>
  <c r="B3459" i="31"/>
  <c r="AS3458" i="31"/>
  <c r="AM3458" i="31"/>
  <c r="AL3458" i="3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B3460" i="31" l="1"/>
  <c r="AS3459" i="31"/>
  <c r="AM3459" i="31"/>
  <c r="AL3459" i="31"/>
  <c r="AV3458" i="31"/>
  <c r="AU3458" i="31"/>
  <c r="AT3458" i="31" s="1"/>
  <c r="AO1462" i="31"/>
  <c r="AN1462" i="31"/>
  <c r="AO1461" i="31"/>
  <c r="AN1461" i="31"/>
  <c r="AO1460" i="31"/>
  <c r="AN1460" i="31"/>
  <c r="AO1459" i="31"/>
  <c r="AN1459" i="31"/>
  <c r="AO1458" i="31"/>
  <c r="AN1458" i="31"/>
  <c r="AV3459" i="31" l="1"/>
  <c r="AU3459" i="31"/>
  <c r="AT3459" i="31" s="1"/>
  <c r="B3461" i="31"/>
  <c r="AS3460" i="31"/>
  <c r="AM3460" i="31"/>
  <c r="AL3460" i="3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461" i="31" l="1"/>
  <c r="AM3461" i="31"/>
  <c r="AL3461" i="31"/>
  <c r="B3462" i="31"/>
  <c r="AV3460" i="31"/>
  <c r="AU3460" i="31"/>
  <c r="AT346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62" i="31" l="1"/>
  <c r="AM3462" i="31"/>
  <c r="AL3462" i="31"/>
  <c r="B3463" i="31"/>
  <c r="AU3461" i="31"/>
  <c r="AV3461" i="3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T3461" i="31" l="1"/>
  <c r="AM3463" i="31"/>
  <c r="AL3463" i="31"/>
  <c r="B3464" i="31"/>
  <c r="AS3463" i="31"/>
  <c r="AV3462" i="31"/>
  <c r="AU3462" i="31"/>
  <c r="AT3462" i="31" s="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463" i="31" l="1"/>
  <c r="AU3463" i="31"/>
  <c r="AT3463" i="31" s="1"/>
  <c r="AM3464" i="31"/>
  <c r="AL3464" i="31"/>
  <c r="B3465" i="31"/>
  <c r="AS3464"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64" i="31" l="1"/>
  <c r="AU3464" i="31"/>
  <c r="AT3464" i="31" s="1"/>
  <c r="B3466" i="31"/>
  <c r="AS3465" i="31"/>
  <c r="AL3465" i="31"/>
  <c r="AM3465" i="31"/>
  <c r="BZ26" i="10"/>
  <c r="BZ27" i="10"/>
  <c r="CD29" i="10"/>
  <c r="B3467" i="31" l="1"/>
  <c r="AS3466" i="31"/>
  <c r="AM3466" i="31"/>
  <c r="AL3466" i="31"/>
  <c r="AV3465" i="31"/>
  <c r="AU3465" i="31"/>
  <c r="AT3465" i="31" s="1"/>
  <c r="BJ31" i="10"/>
  <c r="H16" i="31"/>
  <c r="AV3466" i="31" l="1"/>
  <c r="AU3466" i="31"/>
  <c r="AT3466" i="31" s="1"/>
  <c r="B3468" i="31"/>
  <c r="AS3467" i="31"/>
  <c r="AM3467" i="31"/>
  <c r="AL3467" i="31"/>
  <c r="F16" i="31"/>
  <c r="AV3467" i="31" l="1"/>
  <c r="AU3467" i="31"/>
  <c r="AT3467" i="31" s="1"/>
  <c r="AS3468" i="31"/>
  <c r="AM3468" i="31"/>
  <c r="AL3468" i="31"/>
  <c r="B3469" i="3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469" i="31" l="1"/>
  <c r="AM3469" i="31"/>
  <c r="AL3469" i="31"/>
  <c r="B3470" i="31"/>
  <c r="AV3468" i="31"/>
  <c r="AU3468" i="31"/>
  <c r="BJ43" i="10"/>
  <c r="AS3470" i="31" l="1"/>
  <c r="AM3470" i="31"/>
  <c r="AL3470" i="31"/>
  <c r="B3471" i="31"/>
  <c r="AT3468" i="31"/>
  <c r="AU3469" i="31"/>
  <c r="AV3469" i="31"/>
  <c r="AS17" i="31"/>
  <c r="AU17" i="31" s="1"/>
  <c r="AM3471" i="31" l="1"/>
  <c r="AL3471" i="31"/>
  <c r="B3472" i="31"/>
  <c r="AS3471" i="31"/>
  <c r="AT3469" i="31"/>
  <c r="AV3470" i="31"/>
  <c r="AU3470" i="31" s="1"/>
  <c r="AT3470" i="31" s="1"/>
  <c r="AV17" i="31"/>
  <c r="AT17" i="31" s="1"/>
  <c r="BF38" i="10"/>
  <c r="K25" i="10" s="1"/>
  <c r="AV3471" i="31" l="1"/>
  <c r="AU3471" i="31" s="1"/>
  <c r="AT3471" i="31" s="1"/>
  <c r="AM3472" i="31"/>
  <c r="AL3472" i="31"/>
  <c r="B3473" i="31"/>
  <c r="AS3472" i="31"/>
  <c r="Q12" i="31"/>
  <c r="AV3472" i="31" l="1"/>
  <c r="AU3472" i="31"/>
  <c r="AT3472" i="31" s="1"/>
  <c r="AL3473" i="31"/>
  <c r="B3474" i="31"/>
  <c r="AS3473" i="31"/>
  <c r="AM3473" i="31"/>
  <c r="R16" i="31"/>
  <c r="R3528" i="31"/>
  <c r="R3520" i="31"/>
  <c r="R3521" i="31"/>
  <c r="R3527" i="31"/>
  <c r="R3519" i="31"/>
  <c r="R3526" i="31"/>
  <c r="R3525" i="31"/>
  <c r="R3524" i="31"/>
  <c r="R3523" i="31"/>
  <c r="R3529" i="31"/>
  <c r="R3522" i="31"/>
  <c r="J16" i="31"/>
  <c r="G16" i="31"/>
  <c r="AV3473" i="31" l="1"/>
  <c r="AU3473" i="31"/>
  <c r="AT3473" i="31" s="1"/>
  <c r="B3475" i="31"/>
  <c r="AS3474" i="31"/>
  <c r="AM3474" i="31"/>
  <c r="AL3474" i="31"/>
  <c r="J5" i="31"/>
  <c r="J9" i="31" s="1"/>
  <c r="BH29" i="10"/>
  <c r="AV3474" i="31" l="1"/>
  <c r="AU3474" i="31"/>
  <c r="AT3474" i="31" s="1"/>
  <c r="B3476" i="31"/>
  <c r="AS3475" i="31"/>
  <c r="AM3475" i="31"/>
  <c r="AL3475" i="31"/>
  <c r="J6" i="31"/>
  <c r="J8" i="31"/>
  <c r="J11" i="31"/>
  <c r="AV3475" i="31" l="1"/>
  <c r="AU3475" i="31"/>
  <c r="AT3475" i="31" s="1"/>
  <c r="AS3476" i="31"/>
  <c r="AM3476" i="31"/>
  <c r="B3477" i="31"/>
  <c r="AL3476" i="31"/>
  <c r="AO1379" i="31"/>
  <c r="AN1379" i="31"/>
  <c r="AO1378" i="31"/>
  <c r="AN1378" i="31"/>
  <c r="AO1377" i="31"/>
  <c r="AN1377" i="31"/>
  <c r="AO1376" i="31"/>
  <c r="AN1376" i="31"/>
  <c r="AO1375" i="31"/>
  <c r="AN1375" i="31"/>
  <c r="AO1374" i="31"/>
  <c r="AN1374" i="31"/>
  <c r="AO1373" i="31"/>
  <c r="AN1373" i="31"/>
  <c r="AS3477" i="31" l="1"/>
  <c r="AM3477" i="31"/>
  <c r="AL3477" i="31"/>
  <c r="B3478" i="31"/>
  <c r="AV3476" i="31"/>
  <c r="AU3476" i="31" s="1"/>
  <c r="AT3476" i="31" s="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77" i="31" l="1"/>
  <c r="AU3477" i="31" s="1"/>
  <c r="AT3477" i="31" s="1"/>
  <c r="AS3478" i="31"/>
  <c r="AM3478" i="31"/>
  <c r="AL3478" i="31"/>
  <c r="B3479" i="31"/>
  <c r="AM17" i="31"/>
  <c r="BD64" i="31"/>
  <c r="BD63" i="31"/>
  <c r="BD62" i="31"/>
  <c r="BD61" i="31"/>
  <c r="BC64" i="31"/>
  <c r="BC63" i="31"/>
  <c r="BC62" i="31"/>
  <c r="BC61" i="31"/>
  <c r="AL17" i="31"/>
  <c r="AM3479" i="31" l="1"/>
  <c r="AL3479" i="31"/>
  <c r="B3480" i="31"/>
  <c r="AS3479" i="31"/>
  <c r="AV3478" i="31"/>
  <c r="AU3478" i="31"/>
  <c r="AT3478"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479" i="31" l="1"/>
  <c r="AU3479" i="31" s="1"/>
  <c r="AT3479" i="31" s="1"/>
  <c r="AM3480" i="31"/>
  <c r="AL3480" i="31"/>
  <c r="B3481" i="31"/>
  <c r="AS3480"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V35"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17" i="31"/>
  <c r="AN351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CO13" i="1" l="1"/>
  <c r="CO14" i="1"/>
  <c r="CO15" i="1"/>
  <c r="CO10" i="1"/>
  <c r="CO16" i="1"/>
  <c r="CO11" i="1"/>
  <c r="CO12" i="1"/>
  <c r="CK12" i="1"/>
  <c r="CK13" i="1"/>
  <c r="CK14" i="1"/>
  <c r="CK15" i="1"/>
  <c r="CK10" i="1"/>
  <c r="CK16" i="1"/>
  <c r="CK11" i="1"/>
  <c r="CL12" i="1"/>
  <c r="CL13" i="1"/>
  <c r="CL14" i="1"/>
  <c r="CL15" i="1"/>
  <c r="CL10" i="1"/>
  <c r="CL16" i="1"/>
  <c r="CL11" i="1"/>
  <c r="CP14" i="1"/>
  <c r="CP15" i="1"/>
  <c r="CP10" i="1"/>
  <c r="CP16" i="1"/>
  <c r="CP13" i="1"/>
  <c r="CP11" i="1"/>
  <c r="CP12" i="1"/>
  <c r="BI34" i="1"/>
  <c r="BI18" i="1"/>
  <c r="BI27" i="1"/>
  <c r="BI32" i="1"/>
  <c r="BI25" i="1"/>
  <c r="BI21" i="1"/>
  <c r="BI30" i="1"/>
  <c r="BI22" i="1"/>
  <c r="BI29" i="1"/>
  <c r="BI35" i="1"/>
  <c r="BI23" i="1"/>
  <c r="BI19" i="1"/>
  <c r="BI28" i="1"/>
  <c r="BI33" i="1"/>
  <c r="BI17" i="1"/>
  <c r="BI26" i="1"/>
  <c r="BI31" i="1"/>
  <c r="BI24" i="1"/>
  <c r="BI20" i="1"/>
  <c r="BF20" i="1"/>
  <c r="BF34" i="1"/>
  <c r="BF29" i="1"/>
  <c r="BF18" i="1"/>
  <c r="BF21" i="1"/>
  <c r="BF32" i="1"/>
  <c r="BF27" i="1"/>
  <c r="BF25" i="1"/>
  <c r="BF23" i="1"/>
  <c r="BG31" i="1"/>
  <c r="BM31" i="1" s="1"/>
  <c r="BG26" i="1"/>
  <c r="BG24" i="1"/>
  <c r="BG35" i="1"/>
  <c r="BG19" i="1"/>
  <c r="BG30" i="1"/>
  <c r="BG22" i="1"/>
  <c r="BG28" i="1"/>
  <c r="BG33" i="1"/>
  <c r="BG17" i="1"/>
  <c r="BF31" i="1"/>
  <c r="BF26" i="1"/>
  <c r="BF24" i="1"/>
  <c r="BF35" i="1"/>
  <c r="BF19" i="1"/>
  <c r="BF30" i="1"/>
  <c r="BF22" i="1"/>
  <c r="BF28" i="1"/>
  <c r="BF33" i="1"/>
  <c r="BF17" i="1"/>
  <c r="BG34" i="1"/>
  <c r="BG29" i="1"/>
  <c r="BG18" i="1"/>
  <c r="BN18" i="1" s="1"/>
  <c r="BG21" i="1"/>
  <c r="BG32" i="1"/>
  <c r="BG27" i="1"/>
  <c r="BG20" i="1"/>
  <c r="BG25" i="1"/>
  <c r="BG23" i="1"/>
  <c r="CO32" i="1"/>
  <c r="CO27" i="1"/>
  <c r="CO22" i="1"/>
  <c r="CO33" i="1"/>
  <c r="CO17" i="1"/>
  <c r="CO28" i="1"/>
  <c r="CO23" i="1"/>
  <c r="CO34" i="1"/>
  <c r="CO18" i="1"/>
  <c r="CO29" i="1"/>
  <c r="CO24" i="1"/>
  <c r="CO35" i="1"/>
  <c r="CO19" i="1"/>
  <c r="CO30" i="1"/>
  <c r="CO25" i="1"/>
  <c r="CO20" i="1"/>
  <c r="CO31" i="1"/>
  <c r="CO26" i="1"/>
  <c r="CO21" i="1"/>
  <c r="CK20" i="1"/>
  <c r="CK31" i="1"/>
  <c r="CK26" i="1"/>
  <c r="CK21" i="1"/>
  <c r="CK32" i="1"/>
  <c r="CK27" i="1"/>
  <c r="CK22" i="1"/>
  <c r="CK33" i="1"/>
  <c r="CK17" i="1"/>
  <c r="CK28" i="1"/>
  <c r="CK23" i="1"/>
  <c r="CK34" i="1"/>
  <c r="CK18" i="1"/>
  <c r="CK29" i="1"/>
  <c r="CK24" i="1"/>
  <c r="CK35" i="1"/>
  <c r="CK30" i="1"/>
  <c r="CK25" i="1"/>
  <c r="CK19" i="1"/>
  <c r="CL31" i="1"/>
  <c r="CL26" i="1"/>
  <c r="CL21" i="1"/>
  <c r="CL32" i="1"/>
  <c r="CL27" i="1"/>
  <c r="CL22" i="1"/>
  <c r="CL33" i="1"/>
  <c r="CL17" i="1"/>
  <c r="CL28" i="1"/>
  <c r="CL23" i="1"/>
  <c r="CL34" i="1"/>
  <c r="CL18" i="1"/>
  <c r="CL29" i="1"/>
  <c r="CL24" i="1"/>
  <c r="CL35" i="1"/>
  <c r="CL19" i="1"/>
  <c r="CL30" i="1"/>
  <c r="CL25" i="1"/>
  <c r="CL20" i="1"/>
  <c r="CP27" i="1"/>
  <c r="CP22" i="1"/>
  <c r="CP33" i="1"/>
  <c r="CP17" i="1"/>
  <c r="CP28" i="1"/>
  <c r="CP23" i="1"/>
  <c r="CP34" i="1"/>
  <c r="CP18" i="1"/>
  <c r="CP29" i="1"/>
  <c r="CP24" i="1"/>
  <c r="CP35" i="1"/>
  <c r="CP19" i="1"/>
  <c r="CP30" i="1"/>
  <c r="CP25" i="1"/>
  <c r="CP20" i="1"/>
  <c r="CP31" i="1"/>
  <c r="CP26" i="1"/>
  <c r="CP21" i="1"/>
  <c r="CP32" i="1"/>
  <c r="C5" i="21" a="1"/>
  <c r="C5" i="21" s="1"/>
  <c r="C6" i="21" s="1"/>
  <c r="B5" i="21" a="1"/>
  <c r="B5" i="21" s="1"/>
  <c r="B6" i="21" s="1"/>
  <c r="I5" i="21" a="1"/>
  <c r="I5" i="21" s="1"/>
  <c r="H5" i="21" a="1"/>
  <c r="H5" i="21" s="1"/>
  <c r="G5" i="21" a="1"/>
  <c r="G5" i="21" s="1"/>
  <c r="G6" i="21" s="1"/>
  <c r="F5" i="21" a="1"/>
  <c r="F5" i="21" s="1"/>
  <c r="E5" i="21" a="1"/>
  <c r="E5" i="21" s="1"/>
  <c r="E6" i="21" s="1"/>
  <c r="D5" i="21" a="1"/>
  <c r="D5" i="21" s="1"/>
  <c r="E8" i="10"/>
  <c r="BG43" i="1"/>
  <c r="BG45" i="1"/>
  <c r="BG38" i="1"/>
  <c r="BG40" i="1"/>
  <c r="BG41" i="1"/>
  <c r="BG36" i="1"/>
  <c r="BF36" i="1"/>
  <c r="BF43" i="1"/>
  <c r="BF45" i="1"/>
  <c r="BF38" i="1"/>
  <c r="BF40" i="1"/>
  <c r="BF41" i="1"/>
  <c r="BI45" i="1"/>
  <c r="BI38" i="1"/>
  <c r="BI37" i="1"/>
  <c r="BI46" i="1"/>
  <c r="BI39" i="1"/>
  <c r="BI40" i="1"/>
  <c r="BI41" i="1"/>
  <c r="BI36" i="1"/>
  <c r="BI44" i="1"/>
  <c r="BI43" i="1"/>
  <c r="BI42" i="1"/>
  <c r="BG44" i="1"/>
  <c r="BG42" i="1"/>
  <c r="BG37" i="1"/>
  <c r="BG46" i="1"/>
  <c r="BG39" i="1"/>
  <c r="BF44" i="1"/>
  <c r="BF42" i="1"/>
  <c r="BF37" i="1"/>
  <c r="BF46" i="1"/>
  <c r="BF39" i="1"/>
  <c r="CO43" i="1"/>
  <c r="CO38" i="1"/>
  <c r="CO44" i="1"/>
  <c r="CO39" i="1"/>
  <c r="CO45" i="1"/>
  <c r="CO36" i="1"/>
  <c r="CO40" i="1"/>
  <c r="CO46" i="1"/>
  <c r="CO41" i="1"/>
  <c r="CO42" i="1"/>
  <c r="CO37" i="1"/>
  <c r="CK42" i="1"/>
  <c r="CK37" i="1"/>
  <c r="CK40" i="1"/>
  <c r="CK43" i="1"/>
  <c r="CK38" i="1"/>
  <c r="CK44" i="1"/>
  <c r="CK39" i="1"/>
  <c r="CK45" i="1"/>
  <c r="CK46" i="1"/>
  <c r="CK36" i="1"/>
  <c r="CK41" i="1"/>
  <c r="CL42" i="1"/>
  <c r="CL37" i="1"/>
  <c r="CL43" i="1"/>
  <c r="CL38" i="1"/>
  <c r="CL44" i="1"/>
  <c r="CL39" i="1"/>
  <c r="CL45" i="1"/>
  <c r="CL40" i="1"/>
  <c r="CL46" i="1"/>
  <c r="CL41" i="1"/>
  <c r="CL36" i="1"/>
  <c r="CP38" i="1"/>
  <c r="CP44" i="1"/>
  <c r="CP39" i="1"/>
  <c r="CP45" i="1"/>
  <c r="CP40" i="1"/>
  <c r="CP46" i="1"/>
  <c r="CP41" i="1"/>
  <c r="CP36" i="1"/>
  <c r="CP42" i="1"/>
  <c r="CP37" i="1"/>
  <c r="CP43" i="1"/>
  <c r="AV3480" i="31"/>
  <c r="AU3480" i="31"/>
  <c r="AT3480" i="31" s="1"/>
  <c r="AL3481" i="31"/>
  <c r="B3482" i="31"/>
  <c r="AS3481" i="31"/>
  <c r="AM3481" i="31"/>
  <c r="BF47" i="1"/>
  <c r="BF49" i="1"/>
  <c r="BI48" i="1"/>
  <c r="BI49" i="1"/>
  <c r="BI47" i="1"/>
  <c r="BG48" i="1"/>
  <c r="BF48" i="1"/>
  <c r="BG47" i="1"/>
  <c r="BG49" i="1"/>
  <c r="CK49" i="1"/>
  <c r="CK47" i="1"/>
  <c r="CK48" i="1"/>
  <c r="CL49" i="1"/>
  <c r="CL47" i="1"/>
  <c r="CL48" i="1"/>
  <c r="CP47" i="1"/>
  <c r="CP48" i="1"/>
  <c r="CP49" i="1"/>
  <c r="CO47" i="1"/>
  <c r="CO48" i="1"/>
  <c r="CO49" i="1"/>
  <c r="BG53" i="1"/>
  <c r="BG51" i="1"/>
  <c r="BF53" i="1"/>
  <c r="BF51" i="1"/>
  <c r="BF52" i="1"/>
  <c r="BF50" i="1"/>
  <c r="BI50" i="1"/>
  <c r="BI51" i="1"/>
  <c r="BG52" i="1"/>
  <c r="BG50" i="1"/>
  <c r="CK51" i="1"/>
  <c r="CK50" i="1"/>
  <c r="CL51" i="1"/>
  <c r="CL50" i="1"/>
  <c r="CP50" i="1"/>
  <c r="CP51" i="1"/>
  <c r="CO50" i="1"/>
  <c r="CO51" i="1"/>
  <c r="BI53" i="1"/>
  <c r="BI52" i="1"/>
  <c r="CK53" i="1"/>
  <c r="CK52" i="1"/>
  <c r="CL53" i="1"/>
  <c r="CL52" i="1"/>
  <c r="CP52" i="1"/>
  <c r="CP53" i="1"/>
  <c r="CO52" i="1"/>
  <c r="CO53" i="1"/>
  <c r="BF63" i="1"/>
  <c r="BF56" i="1"/>
  <c r="BF54" i="1"/>
  <c r="BF60" i="1"/>
  <c r="BF58" i="1"/>
  <c r="BF62" i="1"/>
  <c r="BG64" i="1"/>
  <c r="BG55" i="1"/>
  <c r="BG61" i="1"/>
  <c r="BG59" i="1"/>
  <c r="BG57" i="1"/>
  <c r="BF64" i="1"/>
  <c r="BF55" i="1"/>
  <c r="BF61" i="1"/>
  <c r="BF59" i="1"/>
  <c r="BF57" i="1"/>
  <c r="BI55" i="1"/>
  <c r="BI61" i="1"/>
  <c r="BI56" i="1"/>
  <c r="BI54" i="1"/>
  <c r="BI60" i="1"/>
  <c r="BI59" i="1"/>
  <c r="BI58" i="1"/>
  <c r="BI57" i="1"/>
  <c r="BI62" i="1"/>
  <c r="BI63" i="1"/>
  <c r="BI64" i="1"/>
  <c r="BG56" i="1"/>
  <c r="BG54" i="1"/>
  <c r="BG60" i="1"/>
  <c r="BG58" i="1"/>
  <c r="BG62" i="1"/>
  <c r="BG63" i="1"/>
  <c r="CP62" i="1"/>
  <c r="CP58" i="1"/>
  <c r="CP54" i="1"/>
  <c r="CP63" i="1"/>
  <c r="CP59" i="1"/>
  <c r="CP55" i="1"/>
  <c r="CP64" i="1"/>
  <c r="CP60" i="1"/>
  <c r="CP56" i="1"/>
  <c r="CP61" i="1"/>
  <c r="CP57" i="1"/>
  <c r="CO61" i="1"/>
  <c r="CO57" i="1"/>
  <c r="CO62" i="1"/>
  <c r="CO58" i="1"/>
  <c r="CO54" i="1"/>
  <c r="CO63" i="1"/>
  <c r="CO59" i="1"/>
  <c r="CO55" i="1"/>
  <c r="CO64" i="1"/>
  <c r="CO60" i="1"/>
  <c r="CO56" i="1"/>
  <c r="CK64" i="1"/>
  <c r="CK60" i="1"/>
  <c r="CK56" i="1"/>
  <c r="CK61" i="1"/>
  <c r="CK57" i="1"/>
  <c r="CK62" i="1"/>
  <c r="CK58" i="1"/>
  <c r="CK54" i="1"/>
  <c r="CK63" i="1"/>
  <c r="CK59" i="1"/>
  <c r="CK55" i="1"/>
  <c r="CL64" i="1"/>
  <c r="CL60" i="1"/>
  <c r="CL56" i="1"/>
  <c r="CL61" i="1"/>
  <c r="CL57" i="1"/>
  <c r="CL62" i="1"/>
  <c r="CL58" i="1"/>
  <c r="CL54" i="1"/>
  <c r="CL63" i="1"/>
  <c r="CL59" i="1"/>
  <c r="CL55" i="1"/>
  <c r="BF88" i="1"/>
  <c r="BF87" i="1"/>
  <c r="BF75" i="1"/>
  <c r="BF85" i="1"/>
  <c r="BF91" i="1"/>
  <c r="BF95" i="1"/>
  <c r="BF82" i="1"/>
  <c r="BF78" i="1"/>
  <c r="BF98" i="1"/>
  <c r="BF65" i="1"/>
  <c r="BF66" i="1"/>
  <c r="BF92" i="1"/>
  <c r="BF94" i="1"/>
  <c r="BF77" i="1"/>
  <c r="BF73" i="1"/>
  <c r="BF69" i="1"/>
  <c r="BF71" i="1"/>
  <c r="BF80" i="1"/>
  <c r="BG94" i="1"/>
  <c r="BG71" i="1"/>
  <c r="BG66" i="1"/>
  <c r="BG78" i="1"/>
  <c r="BG91" i="1"/>
  <c r="BG87" i="1"/>
  <c r="BG82" i="1"/>
  <c r="BG75" i="1"/>
  <c r="BG95" i="1"/>
  <c r="BG88" i="1"/>
  <c r="BG77" i="1"/>
  <c r="BG73" i="1"/>
  <c r="BG69" i="1"/>
  <c r="BG80" i="1"/>
  <c r="BG65" i="1"/>
  <c r="BG98" i="1"/>
  <c r="BG92" i="1"/>
  <c r="BG85" i="1"/>
  <c r="BI93" i="1"/>
  <c r="BI71" i="1"/>
  <c r="BI82" i="1"/>
  <c r="BI65" i="1"/>
  <c r="BI91" i="1"/>
  <c r="BI86" i="1"/>
  <c r="BI84" i="1"/>
  <c r="BI94" i="1"/>
  <c r="BI69" i="1"/>
  <c r="BI78" i="1"/>
  <c r="BI87" i="1"/>
  <c r="BI89" i="1"/>
  <c r="BI95" i="1"/>
  <c r="BI85" i="1"/>
  <c r="BI88" i="1"/>
  <c r="BI81" i="1"/>
  <c r="BI80" i="1"/>
  <c r="BI70" i="1"/>
  <c r="BI66" i="1"/>
  <c r="BI98" i="1"/>
  <c r="BI75" i="1"/>
  <c r="BI73" i="1"/>
  <c r="BI99" i="1"/>
  <c r="BI97" i="1"/>
  <c r="BI96" i="1"/>
  <c r="BI68" i="1"/>
  <c r="BI74" i="1"/>
  <c r="BI90" i="1"/>
  <c r="BI83" i="1"/>
  <c r="BI92" i="1"/>
  <c r="BI79" i="1"/>
  <c r="BI77" i="1"/>
  <c r="BI76" i="1"/>
  <c r="BI67" i="1"/>
  <c r="BI72" i="1"/>
  <c r="BF83" i="1"/>
  <c r="BF97" i="1"/>
  <c r="BF96" i="1"/>
  <c r="BF74" i="1"/>
  <c r="BF68" i="1"/>
  <c r="BF90" i="1"/>
  <c r="BF67" i="1"/>
  <c r="BF86" i="1"/>
  <c r="BF81" i="1"/>
  <c r="BF79" i="1"/>
  <c r="BF76" i="1"/>
  <c r="BF99" i="1"/>
  <c r="BF93" i="1"/>
  <c r="BF70" i="1"/>
  <c r="BF72" i="1"/>
  <c r="BF84" i="1"/>
  <c r="BF89" i="1"/>
  <c r="BG89" i="1"/>
  <c r="BG97" i="1"/>
  <c r="BG99" i="1"/>
  <c r="BG74" i="1"/>
  <c r="BG83" i="1"/>
  <c r="BG79" i="1"/>
  <c r="BG93" i="1"/>
  <c r="BG90" i="1"/>
  <c r="BG86" i="1"/>
  <c r="BG72" i="1"/>
  <c r="BG76" i="1"/>
  <c r="BG70" i="1"/>
  <c r="BG81" i="1"/>
  <c r="BG67" i="1"/>
  <c r="BG84" i="1"/>
  <c r="BG96" i="1"/>
  <c r="BG68" i="1"/>
  <c r="CP89" i="1"/>
  <c r="CP94" i="1"/>
  <c r="CP84" i="1"/>
  <c r="CP93" i="1"/>
  <c r="CP98" i="1"/>
  <c r="CP91" i="1"/>
  <c r="CP82" i="1"/>
  <c r="CP92" i="1"/>
  <c r="CP80" i="1"/>
  <c r="CP77" i="1"/>
  <c r="CP75" i="1"/>
  <c r="CP81" i="1"/>
  <c r="CP69" i="1"/>
  <c r="CP74" i="1"/>
  <c r="CP76" i="1"/>
  <c r="CP78" i="1"/>
  <c r="CP70" i="1"/>
  <c r="CP85" i="1"/>
  <c r="CP67" i="1"/>
  <c r="CP95" i="1"/>
  <c r="CP72" i="1"/>
  <c r="CP87" i="1"/>
  <c r="CP79" i="1"/>
  <c r="CP68" i="1"/>
  <c r="CP97" i="1"/>
  <c r="CP71" i="1"/>
  <c r="CP90" i="1"/>
  <c r="CP88" i="1"/>
  <c r="CP99" i="1"/>
  <c r="CP73" i="1"/>
  <c r="CP86" i="1"/>
  <c r="CP96" i="1"/>
  <c r="CP65" i="1"/>
  <c r="CP83" i="1"/>
  <c r="CP66" i="1"/>
  <c r="CL99" i="1"/>
  <c r="CL94" i="1"/>
  <c r="CL91" i="1"/>
  <c r="CL71" i="1"/>
  <c r="CL93" i="1"/>
  <c r="CL72" i="1"/>
  <c r="CL79" i="1"/>
  <c r="CL67" i="1"/>
  <c r="CL84" i="1"/>
  <c r="CL90" i="1"/>
  <c r="CL95" i="1"/>
  <c r="CL89" i="1"/>
  <c r="CL74" i="1"/>
  <c r="CL69" i="1"/>
  <c r="CL66" i="1"/>
  <c r="CL88" i="1"/>
  <c r="CL87" i="1"/>
  <c r="CL86" i="1"/>
  <c r="CL83" i="1"/>
  <c r="CL96" i="1"/>
  <c r="CL82" i="1"/>
  <c r="CL81" i="1"/>
  <c r="CL92" i="1"/>
  <c r="CL80" i="1"/>
  <c r="CL78" i="1"/>
  <c r="CL76" i="1"/>
  <c r="CL77" i="1"/>
  <c r="CL75" i="1"/>
  <c r="CL68" i="1"/>
  <c r="CL97" i="1"/>
  <c r="CL70" i="1"/>
  <c r="CL85" i="1"/>
  <c r="CL98" i="1"/>
  <c r="CL65" i="1"/>
  <c r="CL73" i="1"/>
  <c r="CK96" i="1"/>
  <c r="CK65" i="1"/>
  <c r="CK91" i="1"/>
  <c r="CK83" i="1"/>
  <c r="CK89" i="1"/>
  <c r="CK85" i="1"/>
  <c r="CK92" i="1"/>
  <c r="CK67" i="1"/>
  <c r="CK81" i="1"/>
  <c r="CK80" i="1"/>
  <c r="CK79" i="1"/>
  <c r="CK74" i="1"/>
  <c r="CK66" i="1"/>
  <c r="CK69" i="1"/>
  <c r="CK76" i="1"/>
  <c r="CK82" i="1"/>
  <c r="CK70" i="1"/>
  <c r="CK90" i="1"/>
  <c r="CK93" i="1"/>
  <c r="CK72" i="1"/>
  <c r="CK73" i="1"/>
  <c r="CK86" i="1"/>
  <c r="CK99" i="1"/>
  <c r="CK94" i="1"/>
  <c r="CK68" i="1"/>
  <c r="CK88" i="1"/>
  <c r="CK95" i="1"/>
  <c r="CK84" i="1"/>
  <c r="CK98" i="1"/>
  <c r="CK87" i="1"/>
  <c r="CK77" i="1"/>
  <c r="CK78" i="1"/>
  <c r="CK71" i="1"/>
  <c r="CK75" i="1"/>
  <c r="CK97" i="1"/>
  <c r="BF154" i="1"/>
  <c r="BF155" i="1"/>
  <c r="BF135" i="1"/>
  <c r="BF124" i="1"/>
  <c r="BF102" i="1"/>
  <c r="BF113" i="1"/>
  <c r="BF110" i="1"/>
  <c r="BF119" i="1"/>
  <c r="BF158" i="1"/>
  <c r="BF121" i="1"/>
  <c r="BF115" i="1"/>
  <c r="BF104" i="1"/>
  <c r="BF109" i="1"/>
  <c r="BF131" i="1"/>
  <c r="BF132" i="1"/>
  <c r="BF142" i="1"/>
  <c r="BF144" i="1"/>
  <c r="BF122" i="1"/>
  <c r="BF107" i="1"/>
  <c r="BF117" i="1"/>
  <c r="BF139" i="1"/>
  <c r="BF157" i="1"/>
  <c r="BF138" i="1"/>
  <c r="BF145" i="1"/>
  <c r="BF153" i="1"/>
  <c r="BF129" i="1"/>
  <c r="BF100" i="1"/>
  <c r="BF146" i="1"/>
  <c r="BF136" i="1"/>
  <c r="BF147" i="1"/>
  <c r="BF126" i="1"/>
  <c r="BG124" i="1"/>
  <c r="BG122" i="1"/>
  <c r="BG113" i="1"/>
  <c r="BG121" i="1"/>
  <c r="BG135" i="1"/>
  <c r="BG147" i="1"/>
  <c r="BG142" i="1"/>
  <c r="BG153" i="1"/>
  <c r="BG126" i="1"/>
  <c r="BG100" i="1"/>
  <c r="BG107" i="1"/>
  <c r="BG144" i="1"/>
  <c r="BG157" i="1"/>
  <c r="BG132" i="1"/>
  <c r="BG136" i="1"/>
  <c r="BG138" i="1"/>
  <c r="BG117" i="1"/>
  <c r="BG154" i="1"/>
  <c r="BG115" i="1"/>
  <c r="BG155" i="1"/>
  <c r="BG104" i="1"/>
  <c r="BG139" i="1"/>
  <c r="BG146" i="1"/>
  <c r="BG145" i="1"/>
  <c r="BG119" i="1"/>
  <c r="BG102" i="1"/>
  <c r="BG131" i="1"/>
  <c r="BG109" i="1"/>
  <c r="BG129" i="1"/>
  <c r="BG158" i="1"/>
  <c r="BG110" i="1"/>
  <c r="BI144" i="1"/>
  <c r="BI127" i="1"/>
  <c r="BI102" i="1"/>
  <c r="BI147" i="1"/>
  <c r="BI136" i="1"/>
  <c r="BI134" i="1"/>
  <c r="BI119" i="1"/>
  <c r="BI116" i="1"/>
  <c r="BI158" i="1"/>
  <c r="BI142" i="1"/>
  <c r="BI128" i="1"/>
  <c r="BI104" i="1"/>
  <c r="BI151" i="1"/>
  <c r="BI139" i="1"/>
  <c r="BI124" i="1"/>
  <c r="BI110" i="1"/>
  <c r="BI109" i="1"/>
  <c r="BI105" i="1"/>
  <c r="BI148" i="1"/>
  <c r="BI126" i="1"/>
  <c r="BI123" i="1"/>
  <c r="BI132" i="1"/>
  <c r="BI117" i="1"/>
  <c r="BI113" i="1"/>
  <c r="BI112" i="1"/>
  <c r="BI108" i="1"/>
  <c r="BI106" i="1"/>
  <c r="BI101" i="1"/>
  <c r="BI153" i="1"/>
  <c r="BI159" i="1"/>
  <c r="BI152" i="1"/>
  <c r="BI137" i="1"/>
  <c r="BI122" i="1"/>
  <c r="BI121" i="1"/>
  <c r="BI107" i="1"/>
  <c r="BI156" i="1"/>
  <c r="BI143" i="1"/>
  <c r="BI130" i="1"/>
  <c r="BI157" i="1"/>
  <c r="BI155" i="1"/>
  <c r="BI150" i="1"/>
  <c r="BI149" i="1"/>
  <c r="BI133" i="1"/>
  <c r="BI131" i="1"/>
  <c r="BI125" i="1"/>
  <c r="BI111" i="1"/>
  <c r="BI103" i="1"/>
  <c r="BI100" i="1"/>
  <c r="BI114" i="1"/>
  <c r="BI145" i="1"/>
  <c r="BI138" i="1"/>
  <c r="BI115" i="1"/>
  <c r="BI135" i="1"/>
  <c r="BI154" i="1"/>
  <c r="BI146" i="1"/>
  <c r="BI141" i="1"/>
  <c r="BI140" i="1"/>
  <c r="BI129" i="1"/>
  <c r="BI120" i="1"/>
  <c r="BI118" i="1"/>
  <c r="BF103" i="1"/>
  <c r="BF114" i="1"/>
  <c r="BF148" i="1"/>
  <c r="BF128" i="1"/>
  <c r="BF101" i="1"/>
  <c r="BF130" i="1"/>
  <c r="BF127" i="1"/>
  <c r="BF106" i="1"/>
  <c r="BF123" i="1"/>
  <c r="BF105" i="1"/>
  <c r="BF140" i="1"/>
  <c r="BF133" i="1"/>
  <c r="BF137" i="1"/>
  <c r="BF120" i="1"/>
  <c r="BF108" i="1"/>
  <c r="BF111" i="1"/>
  <c r="BF151" i="1"/>
  <c r="BF141" i="1"/>
  <c r="BF150" i="1"/>
  <c r="BF159" i="1"/>
  <c r="BF125" i="1"/>
  <c r="BF143" i="1"/>
  <c r="BF134" i="1"/>
  <c r="BF156" i="1"/>
  <c r="BF118" i="1"/>
  <c r="BF116" i="1"/>
  <c r="BF149" i="1"/>
  <c r="BF112" i="1"/>
  <c r="BF152" i="1"/>
  <c r="BG151" i="1"/>
  <c r="BG143" i="1"/>
  <c r="BG140" i="1"/>
  <c r="BG123" i="1"/>
  <c r="BG148" i="1"/>
  <c r="BG127" i="1"/>
  <c r="BG156" i="1"/>
  <c r="BG128" i="1"/>
  <c r="BG106" i="1"/>
  <c r="BG134" i="1"/>
  <c r="BG141" i="1"/>
  <c r="BG150" i="1"/>
  <c r="BG130" i="1"/>
  <c r="BG125" i="1"/>
  <c r="BG105" i="1"/>
  <c r="BG101" i="1"/>
  <c r="BG152" i="1"/>
  <c r="BG120" i="1"/>
  <c r="BG149" i="1"/>
  <c r="BG137" i="1"/>
  <c r="BG159" i="1"/>
  <c r="BG133" i="1"/>
  <c r="BG103" i="1"/>
  <c r="BG116" i="1"/>
  <c r="BG108" i="1"/>
  <c r="BG114" i="1"/>
  <c r="BG111" i="1"/>
  <c r="BG112" i="1"/>
  <c r="BG118" i="1"/>
  <c r="CO81" i="1"/>
  <c r="CO74" i="1"/>
  <c r="CO95" i="1"/>
  <c r="CO99" i="1"/>
  <c r="CO85" i="1"/>
  <c r="CO79" i="1"/>
  <c r="CO69" i="1"/>
  <c r="CO71" i="1"/>
  <c r="CO98" i="1"/>
  <c r="CO90" i="1"/>
  <c r="CO65" i="1"/>
  <c r="CO72" i="1"/>
  <c r="CO96" i="1"/>
  <c r="CO80" i="1"/>
  <c r="CO66" i="1"/>
  <c r="CO83" i="1"/>
  <c r="CO68" i="1"/>
  <c r="CO78" i="1"/>
  <c r="CO70" i="1"/>
  <c r="CO77" i="1"/>
  <c r="CO94" i="1"/>
  <c r="CO76" i="1"/>
  <c r="CO82" i="1"/>
  <c r="CO93" i="1"/>
  <c r="CO84" i="1"/>
  <c r="CO86" i="1"/>
  <c r="CO75" i="1"/>
  <c r="CO67" i="1"/>
  <c r="CO73" i="1"/>
  <c r="CO88" i="1"/>
  <c r="CO89" i="1"/>
  <c r="CO87" i="1"/>
  <c r="CO97" i="1"/>
  <c r="CO92" i="1"/>
  <c r="CO91" i="1"/>
  <c r="CP111" i="1"/>
  <c r="CP153" i="1"/>
  <c r="CP155" i="1"/>
  <c r="CP125" i="1"/>
  <c r="CP133" i="1"/>
  <c r="CP147" i="1"/>
  <c r="CP144" i="1"/>
  <c r="CP129" i="1"/>
  <c r="CP138" i="1"/>
  <c r="CP152" i="1"/>
  <c r="CP136" i="1"/>
  <c r="CP126" i="1"/>
  <c r="CP103" i="1"/>
  <c r="CP145" i="1"/>
  <c r="CP120" i="1"/>
  <c r="CP131" i="1"/>
  <c r="CP128" i="1"/>
  <c r="CP122" i="1"/>
  <c r="CP158" i="1"/>
  <c r="CP149" i="1"/>
  <c r="CP154" i="1"/>
  <c r="CP114" i="1"/>
  <c r="CP140" i="1"/>
  <c r="CP112" i="1"/>
  <c r="CP124" i="1"/>
  <c r="CP148" i="1"/>
  <c r="CP127" i="1"/>
  <c r="CP130" i="1"/>
  <c r="CP116" i="1"/>
  <c r="CP123" i="1"/>
  <c r="CP156" i="1"/>
  <c r="CP118" i="1"/>
  <c r="CP102" i="1"/>
  <c r="CP119" i="1"/>
  <c r="CP100" i="1"/>
  <c r="CP150" i="1"/>
  <c r="CP151" i="1"/>
  <c r="CP134" i="1"/>
  <c r="CP157" i="1"/>
  <c r="CP132" i="1"/>
  <c r="CP139" i="1"/>
  <c r="CP142" i="1"/>
  <c r="CP141" i="1"/>
  <c r="CP137" i="1"/>
  <c r="CP135" i="1"/>
  <c r="CP117" i="1"/>
  <c r="CP121" i="1"/>
  <c r="CP159" i="1"/>
  <c r="CP146" i="1"/>
  <c r="CP105" i="1"/>
  <c r="CP101" i="1"/>
  <c r="CP143" i="1"/>
  <c r="CP115" i="1"/>
  <c r="CP108" i="1"/>
  <c r="CP104" i="1"/>
  <c r="CP113" i="1"/>
  <c r="CP110" i="1"/>
  <c r="CP106" i="1"/>
  <c r="CP109" i="1"/>
  <c r="CP107" i="1"/>
  <c r="CL112" i="1"/>
  <c r="CL117" i="1"/>
  <c r="CL153" i="1"/>
  <c r="CL116" i="1"/>
  <c r="CL143" i="1"/>
  <c r="CL149" i="1"/>
  <c r="CL118" i="1"/>
  <c r="CL140" i="1"/>
  <c r="CL120" i="1"/>
  <c r="CL138" i="1"/>
  <c r="CL121" i="1"/>
  <c r="CL136" i="1"/>
  <c r="CL101" i="1"/>
  <c r="CL119" i="1"/>
  <c r="CL148" i="1"/>
  <c r="CL134" i="1"/>
  <c r="CL100" i="1"/>
  <c r="CL131" i="1"/>
  <c r="CL115" i="1"/>
  <c r="CL157" i="1"/>
  <c r="CL150" i="1"/>
  <c r="CL151" i="1"/>
  <c r="CL147" i="1"/>
  <c r="CL152" i="1"/>
  <c r="CL130" i="1"/>
  <c r="CL142" i="1"/>
  <c r="CL145" i="1"/>
  <c r="CL129" i="1"/>
  <c r="CL144" i="1"/>
  <c r="CL128" i="1"/>
  <c r="CL156" i="1"/>
  <c r="CL108" i="1"/>
  <c r="CL127" i="1"/>
  <c r="CL159" i="1"/>
  <c r="CL155" i="1"/>
  <c r="CL141" i="1"/>
  <c r="CL146" i="1"/>
  <c r="CL139" i="1"/>
  <c r="CL133" i="1"/>
  <c r="CL114" i="1"/>
  <c r="CL102" i="1"/>
  <c r="CL126" i="1"/>
  <c r="CL158" i="1"/>
  <c r="CL135" i="1"/>
  <c r="CL122" i="1"/>
  <c r="CL109" i="1"/>
  <c r="CL125" i="1"/>
  <c r="CL110" i="1"/>
  <c r="CL154" i="1"/>
  <c r="CL124" i="1"/>
  <c r="CL113" i="1"/>
  <c r="CL137" i="1"/>
  <c r="CL123" i="1"/>
  <c r="CL106" i="1"/>
  <c r="CL111" i="1"/>
  <c r="CL132" i="1"/>
  <c r="CL107" i="1"/>
  <c r="CL105" i="1"/>
  <c r="CL104" i="1"/>
  <c r="CL103" i="1"/>
  <c r="CK134" i="1"/>
  <c r="CK156" i="1"/>
  <c r="CK151" i="1"/>
  <c r="CK145" i="1"/>
  <c r="CK140" i="1"/>
  <c r="CK131" i="1"/>
  <c r="CK120" i="1"/>
  <c r="CK152" i="1"/>
  <c r="CK130" i="1"/>
  <c r="CK147" i="1"/>
  <c r="CK136" i="1"/>
  <c r="CK139" i="1"/>
  <c r="CK138" i="1"/>
  <c r="CK133" i="1"/>
  <c r="CK135" i="1"/>
  <c r="CK119" i="1"/>
  <c r="CK132" i="1"/>
  <c r="CK118" i="1"/>
  <c r="CK117" i="1"/>
  <c r="CK114" i="1"/>
  <c r="CK106" i="1"/>
  <c r="CK112" i="1"/>
  <c r="CK109" i="1"/>
  <c r="CK159" i="1"/>
  <c r="CK157" i="1"/>
  <c r="CK149" i="1"/>
  <c r="CK129" i="1"/>
  <c r="CK128" i="1"/>
  <c r="CK127" i="1"/>
  <c r="CK126" i="1"/>
  <c r="CK125" i="1"/>
  <c r="CK124" i="1"/>
  <c r="CK123" i="1"/>
  <c r="CK154" i="1"/>
  <c r="CK121" i="1"/>
  <c r="CK143" i="1"/>
  <c r="CK116" i="1"/>
  <c r="CK110" i="1"/>
  <c r="CK104" i="1"/>
  <c r="CK102" i="1"/>
  <c r="CK101" i="1"/>
  <c r="CK155" i="1"/>
  <c r="CK100" i="1"/>
  <c r="CK153" i="1"/>
  <c r="CK148" i="1"/>
  <c r="CK137" i="1"/>
  <c r="CK150" i="1"/>
  <c r="CK146" i="1"/>
  <c r="CK142" i="1"/>
  <c r="CK111" i="1"/>
  <c r="CK108" i="1"/>
  <c r="CK115" i="1"/>
  <c r="CK105" i="1"/>
  <c r="CK144" i="1"/>
  <c r="CK141" i="1"/>
  <c r="CK107" i="1"/>
  <c r="CK122" i="1"/>
  <c r="CK113" i="1"/>
  <c r="CK158" i="1"/>
  <c r="CK103" i="1"/>
  <c r="CO140" i="1"/>
  <c r="CO131" i="1"/>
  <c r="CO123" i="1"/>
  <c r="CO110" i="1"/>
  <c r="CO157" i="1"/>
  <c r="CO120" i="1"/>
  <c r="CO119" i="1"/>
  <c r="CO108" i="1"/>
  <c r="CO111" i="1"/>
  <c r="CO136" i="1"/>
  <c r="CO142" i="1"/>
  <c r="CO100" i="1"/>
  <c r="CO113" i="1"/>
  <c r="CO121" i="1"/>
  <c r="CO102" i="1"/>
  <c r="CO151" i="1"/>
  <c r="CO106" i="1"/>
  <c r="CO139" i="1"/>
  <c r="CO107" i="1"/>
  <c r="CO117" i="1"/>
  <c r="CO114" i="1"/>
  <c r="CO116" i="1"/>
  <c r="CO109" i="1"/>
  <c r="CO118" i="1"/>
  <c r="CO122" i="1"/>
  <c r="CO155" i="1"/>
  <c r="CO124" i="1"/>
  <c r="CO125" i="1"/>
  <c r="CO126" i="1"/>
  <c r="CO159" i="1"/>
  <c r="CO127" i="1"/>
  <c r="CO128" i="1"/>
  <c r="CO154" i="1"/>
  <c r="CO129" i="1"/>
  <c r="CO130" i="1"/>
  <c r="CO103" i="1"/>
  <c r="CO156" i="1"/>
  <c r="CO104" i="1"/>
  <c r="CO153" i="1"/>
  <c r="CO146" i="1"/>
  <c r="CO150" i="1"/>
  <c r="CO133" i="1"/>
  <c r="CO137" i="1"/>
  <c r="CO147" i="1"/>
  <c r="CO132" i="1"/>
  <c r="CO144" i="1"/>
  <c r="CO149" i="1"/>
  <c r="CO112" i="1"/>
  <c r="CO115" i="1"/>
  <c r="CO152" i="1"/>
  <c r="CO101" i="1"/>
  <c r="CO141" i="1"/>
  <c r="CO148" i="1"/>
  <c r="CO138" i="1"/>
  <c r="CO105" i="1"/>
  <c r="CO145" i="1"/>
  <c r="CO135" i="1"/>
  <c r="CO158" i="1"/>
  <c r="CO134" i="1"/>
  <c r="CO143" i="1"/>
  <c r="BF163" i="1"/>
  <c r="BF164" i="1"/>
  <c r="BF160" i="1"/>
  <c r="BF166" i="1"/>
  <c r="BI164" i="1"/>
  <c r="BI161" i="1"/>
  <c r="BI160" i="1"/>
  <c r="BI165" i="1"/>
  <c r="BI167" i="1"/>
  <c r="BI166" i="1"/>
  <c r="BI163" i="1"/>
  <c r="BI162" i="1"/>
  <c r="BG161" i="1"/>
  <c r="BG167" i="1"/>
  <c r="BG165" i="1"/>
  <c r="BG162" i="1"/>
  <c r="CO163" i="1"/>
  <c r="CO160" i="1"/>
  <c r="CO164" i="1"/>
  <c r="CO161" i="1"/>
  <c r="CO167" i="1"/>
  <c r="CO166" i="1"/>
  <c r="CO165" i="1"/>
  <c r="CO162" i="1"/>
  <c r="BF162" i="1"/>
  <c r="BF161" i="1"/>
  <c r="BF165" i="1"/>
  <c r="BF167" i="1"/>
  <c r="CK161" i="1"/>
  <c r="CK162" i="1"/>
  <c r="CK163" i="1"/>
  <c r="CK160" i="1"/>
  <c r="CK164" i="1"/>
  <c r="CK167" i="1"/>
  <c r="CK166" i="1"/>
  <c r="CK165" i="1"/>
  <c r="CL161" i="1"/>
  <c r="CL165" i="1"/>
  <c r="CL164" i="1"/>
  <c r="CL160" i="1"/>
  <c r="CL167" i="1"/>
  <c r="CL163" i="1"/>
  <c r="CL162" i="1"/>
  <c r="CL166" i="1"/>
  <c r="BG163" i="1"/>
  <c r="BG164" i="1"/>
  <c r="BG160" i="1"/>
  <c r="BG166" i="1"/>
  <c r="CP163" i="1"/>
  <c r="CP160" i="1"/>
  <c r="CP164" i="1"/>
  <c r="CP162" i="1"/>
  <c r="CP167" i="1"/>
  <c r="CP166" i="1"/>
  <c r="CP165" i="1"/>
  <c r="CP161" i="1"/>
  <c r="BF174" i="1"/>
  <c r="BF169" i="1"/>
  <c r="BF173" i="1"/>
  <c r="BF176" i="1"/>
  <c r="BF178" i="1"/>
  <c r="BF170" i="1"/>
  <c r="BI177" i="1"/>
  <c r="BI176" i="1"/>
  <c r="BI168" i="1"/>
  <c r="BI178" i="1"/>
  <c r="BI172" i="1"/>
  <c r="BI170" i="1"/>
  <c r="BI179" i="1"/>
  <c r="BI173" i="1"/>
  <c r="BI171" i="1"/>
  <c r="BI174" i="1"/>
  <c r="BI175" i="1"/>
  <c r="BI169" i="1"/>
  <c r="BG168" i="1"/>
  <c r="BG175" i="1"/>
  <c r="BG177" i="1"/>
  <c r="BG172" i="1"/>
  <c r="BG179" i="1"/>
  <c r="BG171" i="1"/>
  <c r="CO174" i="1"/>
  <c r="CO168" i="1"/>
  <c r="CO176" i="1"/>
  <c r="CO175" i="1"/>
  <c r="CO177" i="1"/>
  <c r="CO171" i="1"/>
  <c r="CO169" i="1"/>
  <c r="CO178" i="1"/>
  <c r="CO172" i="1"/>
  <c r="CO170" i="1"/>
  <c r="CO179" i="1"/>
  <c r="CO173" i="1"/>
  <c r="BF171" i="1"/>
  <c r="BF168" i="1"/>
  <c r="BF175" i="1"/>
  <c r="BF177" i="1"/>
  <c r="BF172" i="1"/>
  <c r="BF179" i="1"/>
  <c r="CK173" i="1"/>
  <c r="CK172" i="1"/>
  <c r="CK174" i="1"/>
  <c r="CK168" i="1"/>
  <c r="CK170" i="1"/>
  <c r="CK176" i="1"/>
  <c r="CK175" i="1"/>
  <c r="CK177" i="1"/>
  <c r="CK171" i="1"/>
  <c r="CK169" i="1"/>
  <c r="CK178" i="1"/>
  <c r="CK179" i="1"/>
  <c r="CL176" i="1"/>
  <c r="CL179" i="1"/>
  <c r="CL177" i="1"/>
  <c r="CL169" i="1"/>
  <c r="CL170" i="1"/>
  <c r="CL173" i="1"/>
  <c r="CL175" i="1"/>
  <c r="CL172" i="1"/>
  <c r="CL168" i="1"/>
  <c r="CL178" i="1"/>
  <c r="CL174" i="1"/>
  <c r="CL171" i="1"/>
  <c r="BG169" i="1"/>
  <c r="BG176" i="1"/>
  <c r="BG178" i="1"/>
  <c r="BG170" i="1"/>
  <c r="BG173" i="1"/>
  <c r="BG174" i="1"/>
  <c r="CP176" i="1"/>
  <c r="CP175" i="1"/>
  <c r="CP177" i="1"/>
  <c r="CP171" i="1"/>
  <c r="CP169" i="1"/>
  <c r="CP178" i="1"/>
  <c r="CP172" i="1"/>
  <c r="CP170" i="1"/>
  <c r="CP179" i="1"/>
  <c r="CP173" i="1"/>
  <c r="CP174" i="1"/>
  <c r="CP168" i="1"/>
  <c r="BF184" i="1"/>
  <c r="BF181" i="1"/>
  <c r="BF182" i="1"/>
  <c r="BI184" i="1"/>
  <c r="BI180" i="1"/>
  <c r="BI185" i="1"/>
  <c r="BI181" i="1"/>
  <c r="BI182" i="1"/>
  <c r="BI183" i="1"/>
  <c r="BG183" i="1"/>
  <c r="BG180" i="1"/>
  <c r="BG185" i="1"/>
  <c r="CO183" i="1"/>
  <c r="CO184" i="1"/>
  <c r="CO180" i="1"/>
  <c r="CO185" i="1"/>
  <c r="CO181" i="1"/>
  <c r="CO182" i="1"/>
  <c r="BF183" i="1"/>
  <c r="BF180" i="1"/>
  <c r="BF185" i="1"/>
  <c r="CK182" i="1"/>
  <c r="CK183" i="1"/>
  <c r="CK184" i="1"/>
  <c r="CK180" i="1"/>
  <c r="CK185" i="1"/>
  <c r="CK181" i="1"/>
  <c r="CL180" i="1"/>
  <c r="CL184" i="1"/>
  <c r="CL183" i="1"/>
  <c r="CL182" i="1"/>
  <c r="CL181" i="1"/>
  <c r="CL185" i="1"/>
  <c r="BG184" i="1"/>
  <c r="BG181" i="1"/>
  <c r="BG182" i="1"/>
  <c r="CP183" i="1"/>
  <c r="CP184" i="1"/>
  <c r="CP180" i="1"/>
  <c r="CP185" i="1"/>
  <c r="CP181" i="1"/>
  <c r="CP182" i="1"/>
  <c r="BF193" i="1"/>
  <c r="BF188" i="1"/>
  <c r="BF190" i="1"/>
  <c r="BF187" i="1"/>
  <c r="BI190" i="1"/>
  <c r="BI186" i="1"/>
  <c r="BI191" i="1"/>
  <c r="BI189" i="1"/>
  <c r="BI187" i="1"/>
  <c r="BI188" i="1"/>
  <c r="BG192" i="1"/>
  <c r="BG186" i="1"/>
  <c r="BG191" i="1"/>
  <c r="BG189" i="1"/>
  <c r="CO189" i="1"/>
  <c r="CO190" i="1"/>
  <c r="CO188" i="1"/>
  <c r="CO191" i="1"/>
  <c r="CO186" i="1"/>
  <c r="CO187" i="1"/>
  <c r="BF192" i="1"/>
  <c r="BF186" i="1"/>
  <c r="BF191" i="1"/>
  <c r="BF189" i="1"/>
  <c r="CK187" i="1"/>
  <c r="CK189" i="1"/>
  <c r="CK191" i="1"/>
  <c r="CK186" i="1"/>
  <c r="CK190" i="1"/>
  <c r="CK188" i="1"/>
  <c r="CL187" i="1"/>
  <c r="CL188" i="1"/>
  <c r="CL189" i="1"/>
  <c r="CL191" i="1"/>
  <c r="CL186" i="1"/>
  <c r="CL190" i="1"/>
  <c r="BG193" i="1"/>
  <c r="BG190" i="1"/>
  <c r="BG188" i="1"/>
  <c r="BG187" i="1"/>
  <c r="CP189" i="1"/>
  <c r="CP190" i="1"/>
  <c r="CP188" i="1"/>
  <c r="CP191" i="1"/>
  <c r="CP186" i="1"/>
  <c r="CP187" i="1"/>
  <c r="BI192" i="1"/>
  <c r="BI193" i="1"/>
  <c r="CO192" i="1"/>
  <c r="CO193" i="1"/>
  <c r="CK192" i="1"/>
  <c r="CK193" i="1"/>
  <c r="CL192" i="1"/>
  <c r="CL193" i="1"/>
  <c r="CP192" i="1"/>
  <c r="CP193" i="1"/>
  <c r="BF199" i="1"/>
  <c r="BF195" i="1"/>
  <c r="BF196" i="1"/>
  <c r="BI195" i="1"/>
  <c r="BI196" i="1"/>
  <c r="BI194" i="1"/>
  <c r="BI197" i="1"/>
  <c r="BG198" i="1"/>
  <c r="BG197" i="1"/>
  <c r="BG194" i="1"/>
  <c r="CO197" i="1"/>
  <c r="CO194" i="1"/>
  <c r="CO195" i="1"/>
  <c r="CO196" i="1"/>
  <c r="BF198" i="1"/>
  <c r="BF197" i="1"/>
  <c r="BF194" i="1"/>
  <c r="CK196" i="1"/>
  <c r="CK194" i="1"/>
  <c r="CK195" i="1"/>
  <c r="CK197" i="1"/>
  <c r="CL195" i="1"/>
  <c r="CL197" i="1"/>
  <c r="CL194" i="1"/>
  <c r="CL196" i="1"/>
  <c r="BG199" i="1"/>
  <c r="BG195" i="1"/>
  <c r="BG196" i="1"/>
  <c r="CP194" i="1"/>
  <c r="CP195" i="1"/>
  <c r="CP197" i="1"/>
  <c r="CP196" i="1"/>
  <c r="BI198" i="1"/>
  <c r="BI199" i="1"/>
  <c r="CO198" i="1"/>
  <c r="CO199" i="1"/>
  <c r="CK198" i="1"/>
  <c r="CK199" i="1"/>
  <c r="CL199" i="1"/>
  <c r="CL198" i="1"/>
  <c r="CP198" i="1"/>
  <c r="CP199" i="1"/>
  <c r="BI207" i="1"/>
  <c r="BI205" i="1"/>
  <c r="BI201" i="1"/>
  <c r="BI216" i="1"/>
  <c r="BI214" i="1"/>
  <c r="BI212" i="1"/>
  <c r="BI210" i="1"/>
  <c r="BI208" i="1"/>
  <c r="BI206" i="1"/>
  <c r="BI204" i="1"/>
  <c r="BI203" i="1"/>
  <c r="BI202" i="1"/>
  <c r="BI200" i="1"/>
  <c r="BI215" i="1"/>
  <c r="BI213" i="1"/>
  <c r="BI211" i="1"/>
  <c r="BI209" i="1"/>
  <c r="CO200" i="1"/>
  <c r="CO215" i="1"/>
  <c r="CO213" i="1"/>
  <c r="CO211" i="1"/>
  <c r="CO209" i="1"/>
  <c r="CO207" i="1"/>
  <c r="CO205" i="1"/>
  <c r="CO203" i="1"/>
  <c r="CO202" i="1"/>
  <c r="CO201" i="1"/>
  <c r="CO216" i="1"/>
  <c r="CO214" i="1"/>
  <c r="CO212" i="1"/>
  <c r="CO210" i="1"/>
  <c r="CO208" i="1"/>
  <c r="CO206" i="1"/>
  <c r="CO204" i="1"/>
  <c r="CK214" i="1"/>
  <c r="CK212" i="1"/>
  <c r="CK210" i="1"/>
  <c r="CK208" i="1"/>
  <c r="CK206" i="1"/>
  <c r="CK204" i="1"/>
  <c r="CK200" i="1"/>
  <c r="CK215" i="1"/>
  <c r="CK213" i="1"/>
  <c r="CK211" i="1"/>
  <c r="CK209" i="1"/>
  <c r="CK207" i="1"/>
  <c r="CK205" i="1"/>
  <c r="CK203" i="1"/>
  <c r="CK202" i="1"/>
  <c r="CK201" i="1"/>
  <c r="CK216" i="1"/>
  <c r="CL205" i="1"/>
  <c r="CL202" i="1"/>
  <c r="CL216" i="1"/>
  <c r="CL207" i="1"/>
  <c r="CL203" i="1"/>
  <c r="CL201" i="1"/>
  <c r="CL209" i="1"/>
  <c r="CL204" i="1"/>
  <c r="CL211" i="1"/>
  <c r="CL206" i="1"/>
  <c r="CL213" i="1"/>
  <c r="CL208" i="1"/>
  <c r="CL215" i="1"/>
  <c r="CL210" i="1"/>
  <c r="CL212" i="1"/>
  <c r="CL200" i="1"/>
  <c r="CL214" i="1"/>
  <c r="CP215" i="1"/>
  <c r="CP213" i="1"/>
  <c r="CP211" i="1"/>
  <c r="CP209" i="1"/>
  <c r="CP207" i="1"/>
  <c r="CP205" i="1"/>
  <c r="CP203" i="1"/>
  <c r="CP202" i="1"/>
  <c r="CP201" i="1"/>
  <c r="CP216" i="1"/>
  <c r="CP214" i="1"/>
  <c r="CP212" i="1"/>
  <c r="CP210" i="1"/>
  <c r="CP208" i="1"/>
  <c r="CP206" i="1"/>
  <c r="CP204" i="1"/>
  <c r="CP200" i="1"/>
  <c r="BG210" i="1"/>
  <c r="BG208" i="1"/>
  <c r="BG213" i="1"/>
  <c r="BG215" i="1"/>
  <c r="BG204" i="1"/>
  <c r="BG202" i="1"/>
  <c r="BG206" i="1"/>
  <c r="BG201" i="1"/>
  <c r="BF202" i="1"/>
  <c r="BF201" i="1"/>
  <c r="BF210" i="1"/>
  <c r="BF208" i="1"/>
  <c r="BF206" i="1"/>
  <c r="BF213" i="1"/>
  <c r="BF215" i="1"/>
  <c r="BF204" i="1"/>
  <c r="BG212" i="1"/>
  <c r="BG207" i="1"/>
  <c r="BG214" i="1"/>
  <c r="BG211" i="1"/>
  <c r="BG209" i="1"/>
  <c r="BG216" i="1"/>
  <c r="BG205" i="1"/>
  <c r="BG203" i="1"/>
  <c r="BG200" i="1"/>
  <c r="BF212" i="1"/>
  <c r="BF207" i="1"/>
  <c r="BF214" i="1"/>
  <c r="BF211" i="1"/>
  <c r="BF209" i="1"/>
  <c r="BF216" i="1"/>
  <c r="BF205" i="1"/>
  <c r="BF203" i="1"/>
  <c r="BF200" i="1"/>
  <c r="BG223" i="1"/>
  <c r="BG219" i="1"/>
  <c r="BG221" i="1"/>
  <c r="BG218" i="1"/>
  <c r="CP220" i="1"/>
  <c r="CP221" i="1"/>
  <c r="CP219" i="1"/>
  <c r="CP217" i="1"/>
  <c r="CP218" i="1"/>
  <c r="BF219" i="1"/>
  <c r="BF221" i="1"/>
  <c r="BF218" i="1"/>
  <c r="BI221" i="1"/>
  <c r="BI217" i="1"/>
  <c r="BI220" i="1"/>
  <c r="BI218" i="1"/>
  <c r="BI219" i="1"/>
  <c r="BG217" i="1"/>
  <c r="BG220" i="1"/>
  <c r="BF217" i="1"/>
  <c r="BF220" i="1"/>
  <c r="CO220" i="1"/>
  <c r="CO221" i="1"/>
  <c r="CO219" i="1"/>
  <c r="CO217" i="1"/>
  <c r="CO218" i="1"/>
  <c r="CK218" i="1"/>
  <c r="CK220" i="1"/>
  <c r="CK221" i="1"/>
  <c r="CK219" i="1"/>
  <c r="CK217" i="1"/>
  <c r="CL219" i="1"/>
  <c r="CL218" i="1"/>
  <c r="CL220" i="1"/>
  <c r="CL217" i="1"/>
  <c r="CL221" i="1"/>
  <c r="CP222" i="1"/>
  <c r="CP223" i="1"/>
  <c r="BF227" i="1"/>
  <c r="BF223" i="1"/>
  <c r="BI222" i="1"/>
  <c r="BI223" i="1"/>
  <c r="BG224" i="1"/>
  <c r="BG222" i="1"/>
  <c r="CO222" i="1"/>
  <c r="CO223" i="1"/>
  <c r="BF224" i="1"/>
  <c r="BF222" i="1"/>
  <c r="CK222" i="1"/>
  <c r="CK223" i="1"/>
  <c r="CL223" i="1"/>
  <c r="CL222" i="1"/>
  <c r="BG227" i="1"/>
  <c r="BI225" i="1"/>
  <c r="BI224" i="1"/>
  <c r="CO225" i="1"/>
  <c r="CO224" i="1"/>
  <c r="CK225" i="1"/>
  <c r="CK224" i="1"/>
  <c r="CL225" i="1"/>
  <c r="CL224" i="1"/>
  <c r="CP225" i="1"/>
  <c r="CP224" i="1"/>
  <c r="BG226" i="1"/>
  <c r="BG225" i="1"/>
  <c r="BF226" i="1"/>
  <c r="BF225" i="1"/>
  <c r="BI226" i="1"/>
  <c r="BI227" i="1"/>
  <c r="CO226" i="1"/>
  <c r="CO227" i="1"/>
  <c r="CK226" i="1"/>
  <c r="CK227" i="1"/>
  <c r="CL227" i="1"/>
  <c r="CL226" i="1"/>
  <c r="CP226" i="1"/>
  <c r="CP227" i="1"/>
  <c r="BI229" i="1"/>
  <c r="BI228" i="1"/>
  <c r="BG229" i="1"/>
  <c r="BG228" i="1"/>
  <c r="CO229" i="1"/>
  <c r="CO228" i="1"/>
  <c r="BF229" i="1"/>
  <c r="BF228" i="1"/>
  <c r="CK229" i="1"/>
  <c r="CK228" i="1"/>
  <c r="CL229" i="1"/>
  <c r="CL228" i="1"/>
  <c r="CP229" i="1"/>
  <c r="CP228" i="1"/>
  <c r="BI233" i="1"/>
  <c r="BI231" i="1"/>
  <c r="BI230" i="1"/>
  <c r="BI232" i="1"/>
  <c r="BF232" i="1"/>
  <c r="BF231" i="1"/>
  <c r="BG233" i="1"/>
  <c r="BG230" i="1"/>
  <c r="CO233" i="1"/>
  <c r="CO232" i="1"/>
  <c r="CO230" i="1"/>
  <c r="CO231" i="1"/>
  <c r="BF233" i="1"/>
  <c r="BF230" i="1"/>
  <c r="CK233" i="1"/>
  <c r="CK231" i="1"/>
  <c r="CK232" i="1"/>
  <c r="CK230" i="1"/>
  <c r="CL233" i="1"/>
  <c r="CL232" i="1"/>
  <c r="CL230" i="1"/>
  <c r="CL231" i="1"/>
  <c r="BG232" i="1"/>
  <c r="BG231" i="1"/>
  <c r="CP233" i="1"/>
  <c r="CP232" i="1"/>
  <c r="CP230" i="1"/>
  <c r="CP231" i="1"/>
  <c r="BF238" i="1"/>
  <c r="BF240" i="1"/>
  <c r="BF235" i="1"/>
  <c r="BF236" i="1"/>
  <c r="BI239" i="1"/>
  <c r="BI234" i="1"/>
  <c r="BI240" i="1"/>
  <c r="BI237" i="1"/>
  <c r="BI241" i="1"/>
  <c r="BI235" i="1"/>
  <c r="BI236" i="1"/>
  <c r="BI238" i="1"/>
  <c r="BG239" i="1"/>
  <c r="BG234" i="1"/>
  <c r="BG237" i="1"/>
  <c r="BG241" i="1"/>
  <c r="CO237" i="1"/>
  <c r="CO238" i="1"/>
  <c r="CO239" i="1"/>
  <c r="CO236" i="1"/>
  <c r="CO240" i="1"/>
  <c r="CO234" i="1"/>
  <c r="CO235" i="1"/>
  <c r="CO241" i="1"/>
  <c r="BF239" i="1"/>
  <c r="BF234" i="1"/>
  <c r="BF237" i="1"/>
  <c r="BF241" i="1"/>
  <c r="CK237" i="1"/>
  <c r="CK238" i="1"/>
  <c r="CK239" i="1"/>
  <c r="CK236" i="1"/>
  <c r="CK240" i="1"/>
  <c r="CK234" i="1"/>
  <c r="CK235" i="1"/>
  <c r="CK241" i="1"/>
  <c r="CL234" i="1"/>
  <c r="CL240" i="1"/>
  <c r="CL238" i="1"/>
  <c r="CL236" i="1"/>
  <c r="CL235" i="1"/>
  <c r="CL239" i="1"/>
  <c r="CL241" i="1"/>
  <c r="CL237" i="1"/>
  <c r="BG238" i="1"/>
  <c r="BG240" i="1"/>
  <c r="BG235" i="1"/>
  <c r="BG236" i="1"/>
  <c r="CP238" i="1"/>
  <c r="CP239" i="1"/>
  <c r="CP236" i="1"/>
  <c r="CP240" i="1"/>
  <c r="CP234" i="1"/>
  <c r="CP235" i="1"/>
  <c r="CP241" i="1"/>
  <c r="CP237" i="1"/>
  <c r="BF243" i="1"/>
  <c r="BF244" i="1"/>
  <c r="BI243" i="1"/>
  <c r="BI244" i="1"/>
  <c r="BI242" i="1"/>
  <c r="BI245" i="1"/>
  <c r="BG245" i="1"/>
  <c r="BG242" i="1"/>
  <c r="CO242" i="1"/>
  <c r="CO243" i="1"/>
  <c r="CO245" i="1"/>
  <c r="CO244" i="1"/>
  <c r="BF245" i="1"/>
  <c r="BF242" i="1"/>
  <c r="CK244" i="1"/>
  <c r="CK242" i="1"/>
  <c r="CK243" i="1"/>
  <c r="CK245" i="1"/>
  <c r="CL243" i="1"/>
  <c r="CL245" i="1"/>
  <c r="CL242" i="1"/>
  <c r="CL244" i="1"/>
  <c r="BG243" i="1"/>
  <c r="BG244" i="1"/>
  <c r="CP242" i="1"/>
  <c r="CP243" i="1"/>
  <c r="CP245" i="1"/>
  <c r="CP244" i="1"/>
  <c r="BG256" i="1"/>
  <c r="BG252" i="1"/>
  <c r="BG248" i="1"/>
  <c r="BG261" i="1"/>
  <c r="BG254" i="1"/>
  <c r="BG250" i="1"/>
  <c r="BG259" i="1"/>
  <c r="BG247" i="1"/>
  <c r="CP260" i="1"/>
  <c r="CP256" i="1"/>
  <c r="CP252" i="1"/>
  <c r="CP261" i="1"/>
  <c r="CP257" i="1"/>
  <c r="CP253" i="1"/>
  <c r="CP249" i="1"/>
  <c r="CP262" i="1"/>
  <c r="CP258" i="1"/>
  <c r="CP254" i="1"/>
  <c r="CP250" i="1"/>
  <c r="CP248" i="1"/>
  <c r="CP246" i="1"/>
  <c r="CP259" i="1"/>
  <c r="CP255" i="1"/>
  <c r="CP251" i="1"/>
  <c r="CP247" i="1"/>
  <c r="BF259" i="1"/>
  <c r="BF247" i="1"/>
  <c r="BF256" i="1"/>
  <c r="BF252" i="1"/>
  <c r="BF248" i="1"/>
  <c r="BF261" i="1"/>
  <c r="BF254" i="1"/>
  <c r="BF250" i="1"/>
  <c r="BI261" i="1"/>
  <c r="BI257" i="1"/>
  <c r="BI253" i="1"/>
  <c r="BI262" i="1"/>
  <c r="BI258" i="1"/>
  <c r="BI254" i="1"/>
  <c r="BI250" i="1"/>
  <c r="BI246" i="1"/>
  <c r="BI259" i="1"/>
  <c r="BI255" i="1"/>
  <c r="BI251" i="1"/>
  <c r="BI249" i="1"/>
  <c r="BI247" i="1"/>
  <c r="BI260" i="1"/>
  <c r="BI256" i="1"/>
  <c r="BI252" i="1"/>
  <c r="BI248" i="1"/>
  <c r="CL248" i="1"/>
  <c r="CL259" i="1"/>
  <c r="CL261" i="1"/>
  <c r="CL252" i="1"/>
  <c r="CL246" i="1"/>
  <c r="CL256" i="1"/>
  <c r="CL250" i="1"/>
  <c r="CL260" i="1"/>
  <c r="CL254" i="1"/>
  <c r="CL247" i="1"/>
  <c r="CL258" i="1"/>
  <c r="CL249" i="1"/>
  <c r="CL262" i="1"/>
  <c r="CL257" i="1"/>
  <c r="CL251" i="1"/>
  <c r="CL253" i="1"/>
  <c r="CL255" i="1"/>
  <c r="BG260" i="1"/>
  <c r="BG257" i="1"/>
  <c r="BG253" i="1"/>
  <c r="BG262" i="1"/>
  <c r="BG258" i="1"/>
  <c r="BG246" i="1"/>
  <c r="BG255" i="1"/>
  <c r="BG251" i="1"/>
  <c r="BG249" i="1"/>
  <c r="CO259" i="1"/>
  <c r="CO255" i="1"/>
  <c r="CO251" i="1"/>
  <c r="CO247" i="1"/>
  <c r="CO260" i="1"/>
  <c r="CO256" i="1"/>
  <c r="CO252" i="1"/>
  <c r="CO261" i="1"/>
  <c r="CO257" i="1"/>
  <c r="CO253" i="1"/>
  <c r="CO249" i="1"/>
  <c r="CO262" i="1"/>
  <c r="CO258" i="1"/>
  <c r="CO254" i="1"/>
  <c r="CO250" i="1"/>
  <c r="CO248" i="1"/>
  <c r="CO246" i="1"/>
  <c r="BF255" i="1"/>
  <c r="BF251" i="1"/>
  <c r="BF249" i="1"/>
  <c r="BF260" i="1"/>
  <c r="BF257" i="1"/>
  <c r="BF253" i="1"/>
  <c r="BF262" i="1"/>
  <c r="BF258" i="1"/>
  <c r="BF246" i="1"/>
  <c r="CK258" i="1"/>
  <c r="CK254" i="1"/>
  <c r="CK250" i="1"/>
  <c r="CK248" i="1"/>
  <c r="CK246" i="1"/>
  <c r="CK259" i="1"/>
  <c r="CK255" i="1"/>
  <c r="CK251" i="1"/>
  <c r="CK247" i="1"/>
  <c r="CK260" i="1"/>
  <c r="CK256" i="1"/>
  <c r="CK252" i="1"/>
  <c r="CK261" i="1"/>
  <c r="CK257" i="1"/>
  <c r="CK253" i="1"/>
  <c r="CK249" i="1"/>
  <c r="CK262" i="1"/>
  <c r="BG271" i="1"/>
  <c r="BG267" i="1"/>
  <c r="BG264" i="1"/>
  <c r="BG269" i="1"/>
  <c r="BG265" i="1"/>
  <c r="CP270" i="1"/>
  <c r="CP266" i="1"/>
  <c r="CP271" i="1"/>
  <c r="CP267" i="1"/>
  <c r="CP265" i="1"/>
  <c r="CP263" i="1"/>
  <c r="CP272" i="1"/>
  <c r="CP268" i="1"/>
  <c r="CP264" i="1"/>
  <c r="CP269" i="1"/>
  <c r="BF269" i="1"/>
  <c r="BF265" i="1"/>
  <c r="BF271" i="1"/>
  <c r="BF267" i="1"/>
  <c r="BF264" i="1"/>
  <c r="BI271" i="1"/>
  <c r="BI267" i="1"/>
  <c r="BI263" i="1"/>
  <c r="BI272" i="1"/>
  <c r="BI268" i="1"/>
  <c r="BI266" i="1"/>
  <c r="BI264" i="1"/>
  <c r="BI269" i="1"/>
  <c r="BI265" i="1"/>
  <c r="BI270" i="1"/>
  <c r="CL270" i="1"/>
  <c r="CL267" i="1"/>
  <c r="CL265" i="1"/>
  <c r="CL271" i="1"/>
  <c r="CL269" i="1"/>
  <c r="CL264" i="1"/>
  <c r="CL266" i="1"/>
  <c r="CL268" i="1"/>
  <c r="CL272" i="1"/>
  <c r="CL263" i="1"/>
  <c r="BG273" i="1"/>
  <c r="BG270" i="1"/>
  <c r="BG263" i="1"/>
  <c r="BG272" i="1"/>
  <c r="BG268" i="1"/>
  <c r="BG266" i="1"/>
  <c r="CO269" i="1"/>
  <c r="CO270" i="1"/>
  <c r="CO266" i="1"/>
  <c r="CO271" i="1"/>
  <c r="CO267" i="1"/>
  <c r="CO265" i="1"/>
  <c r="CO263" i="1"/>
  <c r="CO272" i="1"/>
  <c r="CO268" i="1"/>
  <c r="CO264" i="1"/>
  <c r="BF273" i="1"/>
  <c r="BF270" i="1"/>
  <c r="BF263" i="1"/>
  <c r="BF272" i="1"/>
  <c r="BF268" i="1"/>
  <c r="BF266" i="1"/>
  <c r="CK268" i="1"/>
  <c r="CK264" i="1"/>
  <c r="CK269" i="1"/>
  <c r="CK270" i="1"/>
  <c r="CK266" i="1"/>
  <c r="CK271" i="1"/>
  <c r="CK267" i="1"/>
  <c r="CK265" i="1"/>
  <c r="CK263" i="1"/>
  <c r="CK272" i="1"/>
  <c r="BG275" i="1"/>
  <c r="BG274" i="1"/>
  <c r="BF275" i="1"/>
  <c r="BF274" i="1"/>
  <c r="BI275" i="1"/>
  <c r="BI274" i="1"/>
  <c r="BI273" i="1"/>
  <c r="CP275" i="1"/>
  <c r="CP274" i="1"/>
  <c r="CP273" i="1"/>
  <c r="CO274" i="1"/>
  <c r="CO273" i="1"/>
  <c r="CO275" i="1"/>
  <c r="CK274" i="1"/>
  <c r="CK273" i="1"/>
  <c r="CK275" i="1"/>
  <c r="CL273" i="1"/>
  <c r="CL274" i="1"/>
  <c r="CL275" i="1"/>
  <c r="BG279" i="1"/>
  <c r="BG277" i="1"/>
  <c r="CP276" i="1"/>
  <c r="CP277" i="1"/>
  <c r="BF279" i="1"/>
  <c r="BF277" i="1"/>
  <c r="BI277" i="1"/>
  <c r="BI276" i="1"/>
  <c r="BG278" i="1"/>
  <c r="BG276" i="1"/>
  <c r="CO276" i="1"/>
  <c r="CO277" i="1"/>
  <c r="BF278" i="1"/>
  <c r="BF276" i="1"/>
  <c r="CK276" i="1"/>
  <c r="CK277" i="1"/>
  <c r="CL276" i="1"/>
  <c r="CL277" i="1"/>
  <c r="CP278" i="1"/>
  <c r="CP279" i="1"/>
  <c r="BI278" i="1"/>
  <c r="BI279" i="1"/>
  <c r="CO278" i="1"/>
  <c r="CO279" i="1"/>
  <c r="CK278" i="1"/>
  <c r="CK279" i="1"/>
  <c r="CL279" i="1"/>
  <c r="CL278" i="1"/>
  <c r="BF281" i="1"/>
  <c r="BF282" i="1"/>
  <c r="BF286" i="1"/>
  <c r="BF284" i="1"/>
  <c r="BG282" i="1"/>
  <c r="BG286" i="1"/>
  <c r="BG284" i="1"/>
  <c r="BG281" i="1"/>
  <c r="BI286" i="1"/>
  <c r="BI285" i="1"/>
  <c r="BI287" i="1"/>
  <c r="BI284" i="1"/>
  <c r="BI280" i="1"/>
  <c r="BI283" i="1"/>
  <c r="BI281" i="1"/>
  <c r="BI282" i="1"/>
  <c r="CP285" i="1"/>
  <c r="CP284" i="1"/>
  <c r="CP286" i="1"/>
  <c r="CP283" i="1"/>
  <c r="CP287" i="1"/>
  <c r="CP282" i="1"/>
  <c r="CP280" i="1"/>
  <c r="CP281" i="1"/>
  <c r="BG285" i="1"/>
  <c r="BG287" i="1"/>
  <c r="BG280" i="1"/>
  <c r="BG283" i="1"/>
  <c r="CO285" i="1"/>
  <c r="CO284" i="1"/>
  <c r="CO286" i="1"/>
  <c r="CO283" i="1"/>
  <c r="CO287" i="1"/>
  <c r="CO282" i="1"/>
  <c r="CO280" i="1"/>
  <c r="CO281" i="1"/>
  <c r="BF285" i="1"/>
  <c r="BF287" i="1"/>
  <c r="BF280" i="1"/>
  <c r="BF283" i="1"/>
  <c r="CK280" i="1"/>
  <c r="CK281" i="1"/>
  <c r="CK285" i="1"/>
  <c r="CK284" i="1"/>
  <c r="CK286" i="1"/>
  <c r="CK283" i="1"/>
  <c r="CK287" i="1"/>
  <c r="CK282" i="1"/>
  <c r="CL282" i="1"/>
  <c r="CL281" i="1"/>
  <c r="CL283" i="1"/>
  <c r="CL280" i="1"/>
  <c r="CL284" i="1"/>
  <c r="CL287" i="1"/>
  <c r="CL285" i="1"/>
  <c r="CL286" i="1"/>
  <c r="BG292" i="1"/>
  <c r="BG289" i="1"/>
  <c r="BG290" i="1"/>
  <c r="CP294" i="1"/>
  <c r="CP291" i="1"/>
  <c r="CP292" i="1"/>
  <c r="CP290" i="1"/>
  <c r="CP288" i="1"/>
  <c r="CP293" i="1"/>
  <c r="CP289" i="1"/>
  <c r="BF290" i="1"/>
  <c r="BF292" i="1"/>
  <c r="BF289" i="1"/>
  <c r="BI294" i="1"/>
  <c r="BI292" i="1"/>
  <c r="BI288" i="1"/>
  <c r="BI293" i="1"/>
  <c r="BI291" i="1"/>
  <c r="BI289" i="1"/>
  <c r="BI290" i="1"/>
  <c r="BG294" i="1"/>
  <c r="BG288" i="1"/>
  <c r="BG293" i="1"/>
  <c r="BG291" i="1"/>
  <c r="CO294" i="1"/>
  <c r="CO291" i="1"/>
  <c r="CO292" i="1"/>
  <c r="CO290" i="1"/>
  <c r="CO288" i="1"/>
  <c r="CO293" i="1"/>
  <c r="CO289" i="1"/>
  <c r="BF294" i="1"/>
  <c r="BF288" i="1"/>
  <c r="BF293" i="1"/>
  <c r="BF291" i="1"/>
  <c r="CK294" i="1"/>
  <c r="CK289" i="1"/>
  <c r="CK291" i="1"/>
  <c r="CK292" i="1"/>
  <c r="CK290" i="1"/>
  <c r="CK288" i="1"/>
  <c r="CK293" i="1"/>
  <c r="CL294" i="1"/>
  <c r="CL290" i="1"/>
  <c r="CL289" i="1"/>
  <c r="CL291" i="1"/>
  <c r="CL293" i="1"/>
  <c r="CL288" i="1"/>
  <c r="CL292" i="1"/>
  <c r="BF314" i="1"/>
  <c r="BF303" i="1"/>
  <c r="BF297" i="1"/>
  <c r="BF305" i="1"/>
  <c r="BF310" i="1"/>
  <c r="BF308" i="1"/>
  <c r="BF299" i="1"/>
  <c r="BF312" i="1"/>
  <c r="BF301" i="1"/>
  <c r="BF296" i="1"/>
  <c r="BG314" i="1"/>
  <c r="BG303" i="1"/>
  <c r="BG297" i="1"/>
  <c r="BG305" i="1"/>
  <c r="BG310" i="1"/>
  <c r="BG308" i="1"/>
  <c r="BG299" i="1"/>
  <c r="BG312" i="1"/>
  <c r="BG301" i="1"/>
  <c r="BG296" i="1"/>
  <c r="BI305" i="1"/>
  <c r="BI311" i="1"/>
  <c r="BI306" i="1"/>
  <c r="BI310" i="1"/>
  <c r="BI308" i="1"/>
  <c r="BI307" i="1"/>
  <c r="BI299" i="1"/>
  <c r="BI312" i="1"/>
  <c r="BI309" i="1"/>
  <c r="BI302" i="1"/>
  <c r="BI301" i="1"/>
  <c r="BI300" i="1"/>
  <c r="BI298" i="1"/>
  <c r="BI296" i="1"/>
  <c r="BI295" i="1"/>
  <c r="BI304" i="1"/>
  <c r="BI303" i="1"/>
  <c r="BI297" i="1"/>
  <c r="CP304" i="1"/>
  <c r="CP310" i="1"/>
  <c r="CP305" i="1"/>
  <c r="CP309" i="1"/>
  <c r="CP307" i="1"/>
  <c r="CP298" i="1"/>
  <c r="CP311" i="1"/>
  <c r="CP308" i="1"/>
  <c r="CP306" i="1"/>
  <c r="CP312" i="1"/>
  <c r="CP301" i="1"/>
  <c r="CP300" i="1"/>
  <c r="CP299" i="1"/>
  <c r="CP297" i="1"/>
  <c r="CP295" i="1"/>
  <c r="CP303" i="1"/>
  <c r="CP302" i="1"/>
  <c r="CP296" i="1"/>
  <c r="BG313" i="1"/>
  <c r="BG304" i="1"/>
  <c r="BG311" i="1"/>
  <c r="BG306" i="1"/>
  <c r="BG307" i="1"/>
  <c r="BG309" i="1"/>
  <c r="BG302" i="1"/>
  <c r="BG300" i="1"/>
  <c r="BG298" i="1"/>
  <c r="BG295" i="1"/>
  <c r="CO304" i="1"/>
  <c r="CO310" i="1"/>
  <c r="CO305" i="1"/>
  <c r="CO309" i="1"/>
  <c r="CO307" i="1"/>
  <c r="CO298" i="1"/>
  <c r="CO311" i="1"/>
  <c r="CO308" i="1"/>
  <c r="CO306" i="1"/>
  <c r="CO312" i="1"/>
  <c r="CO301" i="1"/>
  <c r="CO300" i="1"/>
  <c r="CO299" i="1"/>
  <c r="CO297" i="1"/>
  <c r="CO295" i="1"/>
  <c r="CO303" i="1"/>
  <c r="CO302" i="1"/>
  <c r="CO296" i="1"/>
  <c r="BF313" i="1"/>
  <c r="BF304" i="1"/>
  <c r="BF311" i="1"/>
  <c r="BF306" i="1"/>
  <c r="BF307" i="1"/>
  <c r="BF309" i="1"/>
  <c r="BF302" i="1"/>
  <c r="BF300" i="1"/>
  <c r="BF298" i="1"/>
  <c r="BF295" i="1"/>
  <c r="CK300" i="1"/>
  <c r="CK295" i="1"/>
  <c r="CK303" i="1"/>
  <c r="CK302" i="1"/>
  <c r="CK296" i="1"/>
  <c r="CK304" i="1"/>
  <c r="CK310" i="1"/>
  <c r="CK305" i="1"/>
  <c r="CK309" i="1"/>
  <c r="CK307" i="1"/>
  <c r="CK298" i="1"/>
  <c r="CK311" i="1"/>
  <c r="CK306" i="1"/>
  <c r="CK312" i="1"/>
  <c r="CK308" i="1"/>
  <c r="CK301" i="1"/>
  <c r="CK299" i="1"/>
  <c r="CK297" i="1"/>
  <c r="CL308" i="1"/>
  <c r="CL300" i="1"/>
  <c r="CL305" i="1"/>
  <c r="CL301" i="1"/>
  <c r="CL306" i="1"/>
  <c r="CL297" i="1"/>
  <c r="CL302" i="1"/>
  <c r="CL311" i="1"/>
  <c r="CL303" i="1"/>
  <c r="CL304" i="1"/>
  <c r="CL309" i="1"/>
  <c r="CL312" i="1"/>
  <c r="CL295" i="1"/>
  <c r="CL299" i="1"/>
  <c r="CL310" i="1"/>
  <c r="CL296" i="1"/>
  <c r="CL307" i="1"/>
  <c r="CL298" i="1"/>
  <c r="CP313" i="1"/>
  <c r="CP314" i="1"/>
  <c r="BI313" i="1"/>
  <c r="BI314" i="1"/>
  <c r="CO313" i="1"/>
  <c r="CO314" i="1"/>
  <c r="CK313" i="1"/>
  <c r="CK314" i="1"/>
  <c r="CL313" i="1"/>
  <c r="CL314" i="1"/>
  <c r="BG317" i="1"/>
  <c r="BG321" i="1"/>
  <c r="BG319" i="1"/>
  <c r="BG323" i="1"/>
  <c r="BG316" i="1"/>
  <c r="BG325" i="1"/>
  <c r="CP321" i="1"/>
  <c r="CP318" i="1"/>
  <c r="CP322" i="1"/>
  <c r="CP315" i="1"/>
  <c r="CP323" i="1"/>
  <c r="CP325" i="1"/>
  <c r="CP324" i="1"/>
  <c r="CP317" i="1"/>
  <c r="CP319" i="1"/>
  <c r="CP316" i="1"/>
  <c r="CP320" i="1"/>
  <c r="BF317" i="1"/>
  <c r="BF321" i="1"/>
  <c r="BF319" i="1"/>
  <c r="BF323" i="1"/>
  <c r="BF316" i="1"/>
  <c r="BF325" i="1"/>
  <c r="BI322" i="1"/>
  <c r="BI319" i="1"/>
  <c r="BI315" i="1"/>
  <c r="BI323" i="1"/>
  <c r="BI316" i="1"/>
  <c r="BI324" i="1"/>
  <c r="BI318" i="1"/>
  <c r="BI325" i="1"/>
  <c r="BI320" i="1"/>
  <c r="BI317" i="1"/>
  <c r="BI321" i="1"/>
  <c r="BG320" i="1"/>
  <c r="BG322" i="1"/>
  <c r="BG315" i="1"/>
  <c r="BG324" i="1"/>
  <c r="BG318" i="1"/>
  <c r="CO320" i="1"/>
  <c r="CO321" i="1"/>
  <c r="CO318" i="1"/>
  <c r="CO322" i="1"/>
  <c r="CO315" i="1"/>
  <c r="CO323" i="1"/>
  <c r="CO325" i="1"/>
  <c r="CO324" i="1"/>
  <c r="CO317" i="1"/>
  <c r="CO319" i="1"/>
  <c r="CO316" i="1"/>
  <c r="BF320" i="1"/>
  <c r="BF322" i="1"/>
  <c r="BF315" i="1"/>
  <c r="BF324" i="1"/>
  <c r="BF318" i="1"/>
  <c r="CK319" i="1"/>
  <c r="CK316" i="1"/>
  <c r="CK320" i="1"/>
  <c r="CK318" i="1"/>
  <c r="CK322" i="1"/>
  <c r="CK321" i="1"/>
  <c r="CK315" i="1"/>
  <c r="CK323" i="1"/>
  <c r="CK325" i="1"/>
  <c r="CK324" i="1"/>
  <c r="CK317" i="1"/>
  <c r="CL321" i="1"/>
  <c r="CL315" i="1"/>
  <c r="CL319" i="1"/>
  <c r="CL322" i="1"/>
  <c r="CL325" i="1"/>
  <c r="CL317" i="1"/>
  <c r="CL318" i="1"/>
  <c r="CL320" i="1"/>
  <c r="CL324" i="1"/>
  <c r="CL316" i="1"/>
  <c r="CL323" i="1"/>
  <c r="BG330" i="1"/>
  <c r="BG328" i="1"/>
  <c r="BG327" i="1"/>
  <c r="CP328" i="1"/>
  <c r="CP326" i="1"/>
  <c r="CP327" i="1"/>
  <c r="BF330" i="1"/>
  <c r="BF327" i="1"/>
  <c r="BF328" i="1"/>
  <c r="BI326" i="1"/>
  <c r="BI327" i="1"/>
  <c r="BI328" i="1"/>
  <c r="BG329" i="1"/>
  <c r="BG326" i="1"/>
  <c r="CO327" i="1"/>
  <c r="CO328" i="1"/>
  <c r="CO326" i="1"/>
  <c r="BF329" i="1"/>
  <c r="BF326" i="1"/>
  <c r="CK326" i="1"/>
  <c r="CK327" i="1"/>
  <c r="CK328" i="1"/>
  <c r="CL328" i="1"/>
  <c r="CL327" i="1"/>
  <c r="CL326" i="1"/>
  <c r="CP329" i="1"/>
  <c r="CP330" i="1"/>
  <c r="BI329" i="1"/>
  <c r="BI330" i="1"/>
  <c r="CO329" i="1"/>
  <c r="CO330" i="1"/>
  <c r="CK329" i="1"/>
  <c r="CK330" i="1"/>
  <c r="CL330" i="1"/>
  <c r="CL329" i="1"/>
  <c r="BF336" i="1"/>
  <c r="BF332" i="1"/>
  <c r="BF333" i="1"/>
  <c r="BG336" i="1"/>
  <c r="BG332" i="1"/>
  <c r="BG333" i="1"/>
  <c r="BI333" i="1"/>
  <c r="BI331" i="1"/>
  <c r="BI334" i="1"/>
  <c r="BI332" i="1"/>
  <c r="CP332" i="1"/>
  <c r="CP334" i="1"/>
  <c r="CP333" i="1"/>
  <c r="CP331" i="1"/>
  <c r="BG335" i="1"/>
  <c r="BG334" i="1"/>
  <c r="BG331" i="1"/>
  <c r="CO332" i="1"/>
  <c r="CO334" i="1"/>
  <c r="CO333" i="1"/>
  <c r="CO331" i="1"/>
  <c r="BF335" i="1"/>
  <c r="BF331" i="1"/>
  <c r="BF334" i="1"/>
  <c r="CK333" i="1"/>
  <c r="CK331" i="1"/>
  <c r="CK332" i="1"/>
  <c r="CK334" i="1"/>
  <c r="CL333" i="1"/>
  <c r="CL332" i="1"/>
  <c r="CL334" i="1"/>
  <c r="CL331" i="1"/>
  <c r="CP336" i="1"/>
  <c r="CP335" i="1"/>
  <c r="BI335" i="1"/>
  <c r="BI336" i="1"/>
  <c r="CL335" i="1"/>
  <c r="CL336" i="1"/>
  <c r="CK336" i="1"/>
  <c r="CK335" i="1"/>
  <c r="CO336" i="1"/>
  <c r="CO335" i="1"/>
  <c r="BG345" i="1"/>
  <c r="BG338" i="1"/>
  <c r="BG343" i="1"/>
  <c r="BG341" i="1"/>
  <c r="BG339" i="1"/>
  <c r="CP342" i="1"/>
  <c r="CP343" i="1"/>
  <c r="CP340" i="1"/>
  <c r="CP339" i="1"/>
  <c r="CP338" i="1"/>
  <c r="CP341" i="1"/>
  <c r="CP337" i="1"/>
  <c r="BF345" i="1"/>
  <c r="BF338" i="1"/>
  <c r="BF343" i="1"/>
  <c r="BF341" i="1"/>
  <c r="BF339" i="1"/>
  <c r="BI338" i="1"/>
  <c r="BI343" i="1"/>
  <c r="BI341" i="1"/>
  <c r="BI340" i="1"/>
  <c r="BI339" i="1"/>
  <c r="BI337" i="1"/>
  <c r="BI342" i="1"/>
  <c r="BG342" i="1"/>
  <c r="BG340" i="1"/>
  <c r="BG337" i="1"/>
  <c r="CO337" i="1"/>
  <c r="CO342" i="1"/>
  <c r="CO343" i="1"/>
  <c r="CO340" i="1"/>
  <c r="CO339" i="1"/>
  <c r="CO338" i="1"/>
  <c r="CO341" i="1"/>
  <c r="BF342" i="1"/>
  <c r="BF340" i="1"/>
  <c r="BF337" i="1"/>
  <c r="CK341" i="1"/>
  <c r="CK337" i="1"/>
  <c r="CK342" i="1"/>
  <c r="CK343" i="1"/>
  <c r="CK340" i="1"/>
  <c r="CK339" i="1"/>
  <c r="CK338" i="1"/>
  <c r="CL338" i="1"/>
  <c r="CL342" i="1"/>
  <c r="CL337" i="1"/>
  <c r="CL339" i="1"/>
  <c r="CL340" i="1"/>
  <c r="CL341" i="1"/>
  <c r="CL343" i="1"/>
  <c r="BG346" i="1"/>
  <c r="BG344" i="1"/>
  <c r="CO345" i="1"/>
  <c r="CO344" i="1"/>
  <c r="BF346" i="1"/>
  <c r="BF344" i="1"/>
  <c r="CK344" i="1"/>
  <c r="CK345" i="1"/>
  <c r="CL345" i="1"/>
  <c r="CL344" i="1"/>
  <c r="CP345" i="1"/>
  <c r="CP344" i="1"/>
  <c r="BI344" i="1"/>
  <c r="BI345" i="1"/>
  <c r="BF349" i="1"/>
  <c r="BF347" i="1"/>
  <c r="BI347" i="1"/>
  <c r="BI346" i="1"/>
  <c r="BG349" i="1"/>
  <c r="BG347" i="1"/>
  <c r="CP347" i="1"/>
  <c r="CP346" i="1"/>
  <c r="CO346" i="1"/>
  <c r="CO347" i="1"/>
  <c r="CK346" i="1"/>
  <c r="CK347" i="1"/>
  <c r="CL347" i="1"/>
  <c r="CL346" i="1"/>
  <c r="BI350" i="1"/>
  <c r="BI348" i="1"/>
  <c r="BI349" i="1"/>
  <c r="BG350" i="1"/>
  <c r="BG348" i="1"/>
  <c r="CO350" i="1"/>
  <c r="CO348" i="1"/>
  <c r="CO349" i="1"/>
  <c r="BF350" i="1"/>
  <c r="BF348" i="1"/>
  <c r="CK350" i="1"/>
  <c r="CK348" i="1"/>
  <c r="CK349" i="1"/>
  <c r="CL350" i="1"/>
  <c r="CL349" i="1"/>
  <c r="CL348" i="1"/>
  <c r="CP350" i="1"/>
  <c r="CP348" i="1"/>
  <c r="CP349" i="1"/>
  <c r="BF352" i="1"/>
  <c r="BF357" i="1"/>
  <c r="BF353" i="1"/>
  <c r="BF355" i="1"/>
  <c r="BI355" i="1"/>
  <c r="BI351" i="1"/>
  <c r="BI356" i="1"/>
  <c r="BI354" i="1"/>
  <c r="BI352" i="1"/>
  <c r="BI357" i="1"/>
  <c r="BI353" i="1"/>
  <c r="BG351" i="1"/>
  <c r="BG356" i="1"/>
  <c r="BG354" i="1"/>
  <c r="CO356" i="1"/>
  <c r="CO352" i="1"/>
  <c r="CO357" i="1"/>
  <c r="CO354" i="1"/>
  <c r="CO355" i="1"/>
  <c r="CO353" i="1"/>
  <c r="CO351" i="1"/>
  <c r="BF356" i="1"/>
  <c r="BF354" i="1"/>
  <c r="BF351" i="1"/>
  <c r="CK355" i="1"/>
  <c r="CK353" i="1"/>
  <c r="CK351" i="1"/>
  <c r="CK356" i="1"/>
  <c r="CK352" i="1"/>
  <c r="CK357" i="1"/>
  <c r="CK354" i="1"/>
  <c r="CL353" i="1"/>
  <c r="CL357" i="1"/>
  <c r="CL352" i="1"/>
  <c r="CL354" i="1"/>
  <c r="CL356" i="1"/>
  <c r="CL351" i="1"/>
  <c r="CL355" i="1"/>
  <c r="BG357" i="1"/>
  <c r="BG353" i="1"/>
  <c r="BG355" i="1"/>
  <c r="BG352" i="1"/>
  <c r="CP357" i="1"/>
  <c r="CP354" i="1"/>
  <c r="CP355" i="1"/>
  <c r="CP353" i="1"/>
  <c r="CP351" i="1"/>
  <c r="CP356" i="1"/>
  <c r="CP352" i="1"/>
  <c r="CP9" i="1"/>
  <c r="CO9" i="1"/>
  <c r="CK9" i="1"/>
  <c r="CL9" i="1"/>
  <c r="E1" i="33"/>
  <c r="CK8" i="1"/>
  <c r="CL8" i="1"/>
  <c r="B3529" i="31"/>
  <c r="B3521" i="31"/>
  <c r="BH16" i="10"/>
  <c r="BJ16" i="10" s="1"/>
  <c r="CD16" i="10" s="1"/>
  <c r="B3528" i="31"/>
  <c r="B3520" i="31"/>
  <c r="BH15" i="10"/>
  <c r="BJ15" i="10" s="1"/>
  <c r="CD15" i="10" s="1"/>
  <c r="B3527" i="31"/>
  <c r="B3519" i="31"/>
  <c r="BH14" i="10"/>
  <c r="BJ14" i="10" s="1"/>
  <c r="CD14" i="10" s="1"/>
  <c r="B3534" i="31"/>
  <c r="B3526" i="31"/>
  <c r="BH21" i="10"/>
  <c r="BJ21" i="10" s="1"/>
  <c r="CD21" i="10" s="1"/>
  <c r="BH13" i="10"/>
  <c r="BJ13" i="10" s="1"/>
  <c r="CD13" i="10" s="1"/>
  <c r="B3533" i="31"/>
  <c r="B3525" i="31"/>
  <c r="BH20" i="10"/>
  <c r="BJ20" i="10" s="1"/>
  <c r="CD20" i="10" s="1"/>
  <c r="BH12" i="10"/>
  <c r="BJ12" i="10" s="1"/>
  <c r="CD12" i="10" s="1"/>
  <c r="B3532" i="31"/>
  <c r="B3524" i="31"/>
  <c r="BH19" i="10"/>
  <c r="BJ19" i="10" s="1"/>
  <c r="CD19" i="10" s="1"/>
  <c r="BH11" i="10"/>
  <c r="BJ11" i="10" s="1"/>
  <c r="CD11" i="10" s="1"/>
  <c r="B3531" i="31"/>
  <c r="B3523" i="31"/>
  <c r="BH18" i="10"/>
  <c r="BJ18" i="10" s="1"/>
  <c r="CD18" i="10" s="1"/>
  <c r="BH10" i="10"/>
  <c r="BJ10" i="10" s="1"/>
  <c r="CD10" i="10" s="1"/>
  <c r="B3530" i="31"/>
  <c r="B352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BM20" i="1" l="1"/>
  <c r="D6" i="21"/>
  <c r="BL22" i="1"/>
  <c r="BK22" i="1"/>
  <c r="BM22" i="1"/>
  <c r="BN22" i="1"/>
  <c r="BK21" i="1"/>
  <c r="BN21" i="1"/>
  <c r="BM21" i="1"/>
  <c r="BL21" i="1"/>
  <c r="BN35" i="1"/>
  <c r="BM35" i="1"/>
  <c r="BL35" i="1"/>
  <c r="BN26" i="1"/>
  <c r="BM26" i="1"/>
  <c r="BK26" i="1"/>
  <c r="BL26" i="1"/>
  <c r="BN31" i="1"/>
  <c r="BL31" i="1"/>
  <c r="BK31" i="1"/>
  <c r="BM23" i="1"/>
  <c r="BK23" i="1"/>
  <c r="BL23" i="1"/>
  <c r="BL25" i="1"/>
  <c r="BK25" i="1"/>
  <c r="BM25" i="1"/>
  <c r="BL27" i="1"/>
  <c r="BM27" i="1"/>
  <c r="BK27" i="1"/>
  <c r="BN27" i="1"/>
  <c r="BM17" i="1"/>
  <c r="BN17" i="1"/>
  <c r="BL17" i="1"/>
  <c r="BK17" i="1"/>
  <c r="BK32" i="1"/>
  <c r="BL32" i="1"/>
  <c r="BM32" i="1"/>
  <c r="BN32" i="1"/>
  <c r="BN33" i="1"/>
  <c r="BM33" i="1"/>
  <c r="BK33" i="1"/>
  <c r="BL33" i="1"/>
  <c r="BM28" i="1"/>
  <c r="BN28" i="1"/>
  <c r="BK28" i="1"/>
  <c r="BL28" i="1"/>
  <c r="BN23" i="1"/>
  <c r="BK18" i="1"/>
  <c r="BM18" i="1"/>
  <c r="BL18" i="1"/>
  <c r="BN24" i="1"/>
  <c r="BK24" i="1"/>
  <c r="BL24" i="1"/>
  <c r="BM24" i="1"/>
  <c r="BN25" i="1"/>
  <c r="BN30" i="1"/>
  <c r="BM30" i="1"/>
  <c r="BK30" i="1"/>
  <c r="BL30" i="1"/>
  <c r="BN29" i="1"/>
  <c r="BM29" i="1"/>
  <c r="BK29" i="1"/>
  <c r="BL29" i="1"/>
  <c r="BN19" i="1"/>
  <c r="BM19" i="1"/>
  <c r="BK19" i="1"/>
  <c r="BL19" i="1"/>
  <c r="BK35" i="1"/>
  <c r="BL34" i="1"/>
  <c r="BM34" i="1"/>
  <c r="BN34" i="1"/>
  <c r="BK34" i="1"/>
  <c r="BN20" i="1"/>
  <c r="BL20" i="1"/>
  <c r="BK20" i="1"/>
  <c r="F6" i="21"/>
  <c r="H6" i="21"/>
  <c r="I6" i="21"/>
  <c r="CM11" i="10" s="1"/>
  <c r="BN36" i="1"/>
  <c r="BN40" i="1"/>
  <c r="BM40" i="1"/>
  <c r="BK40" i="1"/>
  <c r="BL40" i="1"/>
  <c r="BN37" i="1"/>
  <c r="BM37" i="1"/>
  <c r="BL37" i="1"/>
  <c r="BK37" i="1"/>
  <c r="BM42" i="1"/>
  <c r="BN42" i="1"/>
  <c r="BL42" i="1"/>
  <c r="BK42" i="1"/>
  <c r="BM44" i="1"/>
  <c r="BN44" i="1"/>
  <c r="BL44" i="1"/>
  <c r="BK44" i="1"/>
  <c r="BL38" i="1"/>
  <c r="BM38" i="1"/>
  <c r="BK38" i="1"/>
  <c r="BN45" i="1"/>
  <c r="BK45" i="1"/>
  <c r="BM45" i="1"/>
  <c r="BL45" i="1"/>
  <c r="BN43" i="1"/>
  <c r="BM43" i="1"/>
  <c r="BL43" i="1"/>
  <c r="BK43" i="1"/>
  <c r="BN38" i="1"/>
  <c r="BN46" i="1"/>
  <c r="BL46" i="1"/>
  <c r="BM46" i="1"/>
  <c r="BK46" i="1"/>
  <c r="BN41" i="1"/>
  <c r="BM41" i="1"/>
  <c r="BK41" i="1"/>
  <c r="BL41" i="1"/>
  <c r="BL36" i="1"/>
  <c r="BM36" i="1"/>
  <c r="BK36" i="1"/>
  <c r="BN39" i="1"/>
  <c r="BL39" i="1"/>
  <c r="BK39" i="1"/>
  <c r="BM39" i="1"/>
  <c r="AV3481" i="31"/>
  <c r="AU3481" i="31"/>
  <c r="AT3481" i="31" s="1"/>
  <c r="B3483" i="31"/>
  <c r="AS3482" i="31"/>
  <c r="AM3482" i="31"/>
  <c r="AL3482" i="31"/>
  <c r="BN49" i="1"/>
  <c r="BM48" i="1"/>
  <c r="BL48" i="1"/>
  <c r="BK48" i="1"/>
  <c r="BN48" i="1"/>
  <c r="BN53" i="1"/>
  <c r="BK49" i="1"/>
  <c r="BL49" i="1"/>
  <c r="BM49" i="1"/>
  <c r="BN47" i="1"/>
  <c r="BL47" i="1"/>
  <c r="BK47" i="1"/>
  <c r="BM47" i="1"/>
  <c r="BN52" i="1"/>
  <c r="BK53" i="1"/>
  <c r="BM53" i="1"/>
  <c r="BM52" i="1"/>
  <c r="BL53" i="1"/>
  <c r="BK51" i="1"/>
  <c r="BL51" i="1"/>
  <c r="BM51" i="1"/>
  <c r="BN51" i="1"/>
  <c r="BN50" i="1"/>
  <c r="BM50" i="1"/>
  <c r="BL50" i="1"/>
  <c r="BK50" i="1"/>
  <c r="BK52" i="1"/>
  <c r="BL52" i="1"/>
  <c r="BK55" i="1"/>
  <c r="BN54" i="1"/>
  <c r="BM54" i="1"/>
  <c r="BL54" i="1"/>
  <c r="BK54" i="1"/>
  <c r="BK64" i="1"/>
  <c r="BM64" i="1"/>
  <c r="BL64" i="1"/>
  <c r="BN56" i="1"/>
  <c r="BM56" i="1"/>
  <c r="BL56" i="1"/>
  <c r="BK56" i="1"/>
  <c r="BM57" i="1"/>
  <c r="BN57" i="1"/>
  <c r="BL57" i="1"/>
  <c r="BK57" i="1"/>
  <c r="BN64" i="1"/>
  <c r="BK59" i="1"/>
  <c r="BN59" i="1"/>
  <c r="BM59" i="1"/>
  <c r="BL59" i="1"/>
  <c r="BN63" i="1"/>
  <c r="BK63" i="1"/>
  <c r="BL63" i="1"/>
  <c r="BM63" i="1"/>
  <c r="BM61" i="1"/>
  <c r="BL61" i="1"/>
  <c r="BK61" i="1"/>
  <c r="BN62" i="1"/>
  <c r="BL62" i="1"/>
  <c r="BM62" i="1"/>
  <c r="BK62" i="1"/>
  <c r="BL58" i="1"/>
  <c r="BN58" i="1"/>
  <c r="BM58" i="1"/>
  <c r="BK58" i="1"/>
  <c r="BL55" i="1"/>
  <c r="BN55" i="1"/>
  <c r="BM55" i="1"/>
  <c r="BN61" i="1"/>
  <c r="BN60" i="1"/>
  <c r="BM60" i="1"/>
  <c r="BL60" i="1"/>
  <c r="BK60" i="1"/>
  <c r="BN69" i="1"/>
  <c r="BL69" i="1"/>
  <c r="BK69" i="1"/>
  <c r="BM69" i="1"/>
  <c r="BK68" i="1"/>
  <c r="BL68" i="1"/>
  <c r="BM68" i="1"/>
  <c r="BN68" i="1"/>
  <c r="BL88" i="1"/>
  <c r="BK88" i="1"/>
  <c r="BM88" i="1"/>
  <c r="BN88" i="1"/>
  <c r="BN87" i="1"/>
  <c r="BM87" i="1"/>
  <c r="BK87" i="1"/>
  <c r="BL87" i="1"/>
  <c r="BK75" i="1"/>
  <c r="BN75" i="1"/>
  <c r="BM75" i="1"/>
  <c r="BL75" i="1"/>
  <c r="BM85" i="1"/>
  <c r="BL85" i="1"/>
  <c r="BK85" i="1"/>
  <c r="BN85" i="1"/>
  <c r="BM91" i="1"/>
  <c r="BK91" i="1"/>
  <c r="BL91" i="1"/>
  <c r="BN91" i="1"/>
  <c r="BL95" i="1"/>
  <c r="BM95" i="1"/>
  <c r="BK95" i="1"/>
  <c r="BN95" i="1"/>
  <c r="BN82" i="1"/>
  <c r="BL82" i="1"/>
  <c r="BK82" i="1"/>
  <c r="BM82" i="1"/>
  <c r="BN78" i="1"/>
  <c r="BM78" i="1"/>
  <c r="BK78" i="1"/>
  <c r="BL78" i="1"/>
  <c r="BN98" i="1"/>
  <c r="BK98" i="1"/>
  <c r="BL98" i="1"/>
  <c r="BM98" i="1"/>
  <c r="BL65" i="1"/>
  <c r="BM65" i="1"/>
  <c r="BK65" i="1"/>
  <c r="BN65" i="1"/>
  <c r="BN66" i="1"/>
  <c r="BK66" i="1"/>
  <c r="BL66" i="1"/>
  <c r="BM66" i="1"/>
  <c r="BL92" i="1"/>
  <c r="BN92" i="1"/>
  <c r="BK92" i="1"/>
  <c r="BM92" i="1"/>
  <c r="BL94" i="1"/>
  <c r="BK94" i="1"/>
  <c r="BM94" i="1"/>
  <c r="BN94" i="1"/>
  <c r="BM77" i="1"/>
  <c r="BK77" i="1"/>
  <c r="BN77" i="1"/>
  <c r="BL77" i="1"/>
  <c r="BK73" i="1"/>
  <c r="BM73" i="1"/>
  <c r="BL73" i="1"/>
  <c r="BN73" i="1"/>
  <c r="BK71" i="1"/>
  <c r="BL71" i="1"/>
  <c r="BN71" i="1"/>
  <c r="BM71" i="1"/>
  <c r="BN80" i="1"/>
  <c r="BK80" i="1"/>
  <c r="BM80" i="1"/>
  <c r="BL80" i="1"/>
  <c r="BM83" i="1"/>
  <c r="BL83" i="1"/>
  <c r="BN83" i="1"/>
  <c r="BK83" i="1"/>
  <c r="BL97" i="1"/>
  <c r="BK97" i="1"/>
  <c r="BM97" i="1"/>
  <c r="BN97" i="1"/>
  <c r="BM96" i="1"/>
  <c r="BL96" i="1"/>
  <c r="BN96" i="1"/>
  <c r="BK96" i="1"/>
  <c r="BM74" i="1"/>
  <c r="BL74" i="1"/>
  <c r="BN74" i="1"/>
  <c r="BK74" i="1"/>
  <c r="BM90" i="1"/>
  <c r="BL90" i="1"/>
  <c r="BK90" i="1"/>
  <c r="BN90" i="1"/>
  <c r="BN67" i="1"/>
  <c r="BL67" i="1"/>
  <c r="BM67" i="1"/>
  <c r="BK67" i="1"/>
  <c r="BL86" i="1"/>
  <c r="BN86" i="1"/>
  <c r="BK86" i="1"/>
  <c r="BM86" i="1"/>
  <c r="BN81" i="1"/>
  <c r="BK81" i="1"/>
  <c r="BM81" i="1"/>
  <c r="BL81" i="1"/>
  <c r="BN79" i="1"/>
  <c r="BK79" i="1"/>
  <c r="BM79" i="1"/>
  <c r="BL79" i="1"/>
  <c r="BK76" i="1"/>
  <c r="BM76" i="1"/>
  <c r="BL76" i="1"/>
  <c r="BN76" i="1"/>
  <c r="BM99" i="1"/>
  <c r="BN99" i="1"/>
  <c r="BL99" i="1"/>
  <c r="BK99" i="1"/>
  <c r="BL93" i="1"/>
  <c r="BK93" i="1"/>
  <c r="BM93" i="1"/>
  <c r="BN93" i="1"/>
  <c r="BM70" i="1"/>
  <c r="BN70" i="1"/>
  <c r="BL70" i="1"/>
  <c r="BK70" i="1"/>
  <c r="BM72" i="1"/>
  <c r="BL72" i="1"/>
  <c r="BK72" i="1"/>
  <c r="BN72" i="1"/>
  <c r="BM84" i="1"/>
  <c r="BL84" i="1"/>
  <c r="BN84" i="1"/>
  <c r="BK84" i="1"/>
  <c r="BN89" i="1"/>
  <c r="BL89" i="1"/>
  <c r="BK89" i="1"/>
  <c r="BM89" i="1"/>
  <c r="BL154" i="1"/>
  <c r="BN154" i="1"/>
  <c r="BM154" i="1"/>
  <c r="BK154" i="1"/>
  <c r="BN113" i="1"/>
  <c r="BK113" i="1"/>
  <c r="BM113" i="1"/>
  <c r="BL113" i="1"/>
  <c r="BK112" i="1"/>
  <c r="BL112" i="1"/>
  <c r="BM112" i="1"/>
  <c r="BN112" i="1"/>
  <c r="BM155" i="1"/>
  <c r="BL155" i="1"/>
  <c r="BN155" i="1"/>
  <c r="BK155" i="1"/>
  <c r="BN135" i="1"/>
  <c r="BL135" i="1"/>
  <c r="BM135" i="1"/>
  <c r="BK135" i="1"/>
  <c r="BL124" i="1"/>
  <c r="BM124" i="1"/>
  <c r="BK124" i="1"/>
  <c r="BN124" i="1"/>
  <c r="BL102" i="1"/>
  <c r="BK102" i="1"/>
  <c r="BM102" i="1"/>
  <c r="BN102" i="1"/>
  <c r="BK110" i="1"/>
  <c r="BN110" i="1"/>
  <c r="BM110" i="1"/>
  <c r="BL110" i="1"/>
  <c r="BN119" i="1"/>
  <c r="BK119" i="1"/>
  <c r="BL119" i="1"/>
  <c r="BM119" i="1"/>
  <c r="BM158" i="1"/>
  <c r="BL158" i="1"/>
  <c r="BN158" i="1"/>
  <c r="BK158" i="1"/>
  <c r="BN121" i="1"/>
  <c r="BM121" i="1"/>
  <c r="BL121" i="1"/>
  <c r="BK121" i="1"/>
  <c r="BM115" i="1"/>
  <c r="BN115" i="1"/>
  <c r="BK115" i="1"/>
  <c r="BL115" i="1"/>
  <c r="BM104" i="1"/>
  <c r="BN104" i="1"/>
  <c r="BK104" i="1"/>
  <c r="BL104" i="1"/>
  <c r="BL109" i="1"/>
  <c r="BK109" i="1"/>
  <c r="BM109" i="1"/>
  <c r="BN109" i="1"/>
  <c r="BM131" i="1"/>
  <c r="BN131" i="1"/>
  <c r="BL131" i="1"/>
  <c r="BK131" i="1"/>
  <c r="BM132" i="1"/>
  <c r="BN132" i="1"/>
  <c r="BL132" i="1"/>
  <c r="BK132" i="1"/>
  <c r="BN142" i="1"/>
  <c r="BM142" i="1"/>
  <c r="BK142" i="1"/>
  <c r="BL142" i="1"/>
  <c r="BM144" i="1"/>
  <c r="BL144" i="1"/>
  <c r="BN144" i="1"/>
  <c r="BK144" i="1"/>
  <c r="BL122" i="1"/>
  <c r="BK122" i="1"/>
  <c r="BM122" i="1"/>
  <c r="BN122" i="1"/>
  <c r="BM107" i="1"/>
  <c r="BL107" i="1"/>
  <c r="BK107" i="1"/>
  <c r="BN107" i="1"/>
  <c r="BM117" i="1"/>
  <c r="BN117" i="1"/>
  <c r="BK117" i="1"/>
  <c r="BL117" i="1"/>
  <c r="BL139" i="1"/>
  <c r="BK139" i="1"/>
  <c r="BM139" i="1"/>
  <c r="BN139" i="1"/>
  <c r="BM157" i="1"/>
  <c r="BN157" i="1"/>
  <c r="BL157" i="1"/>
  <c r="BK157" i="1"/>
  <c r="BN138" i="1"/>
  <c r="BM138" i="1"/>
  <c r="BL138" i="1"/>
  <c r="BK138" i="1"/>
  <c r="BL145" i="1"/>
  <c r="BK145" i="1"/>
  <c r="BN145" i="1"/>
  <c r="BM145" i="1"/>
  <c r="BL153" i="1"/>
  <c r="BK153" i="1"/>
  <c r="BN153" i="1"/>
  <c r="BM153" i="1"/>
  <c r="BL129" i="1"/>
  <c r="BM129" i="1"/>
  <c r="BN129" i="1"/>
  <c r="BK129" i="1"/>
  <c r="BM100" i="1"/>
  <c r="BN100" i="1"/>
  <c r="BL100" i="1"/>
  <c r="BK100" i="1"/>
  <c r="BM146" i="1"/>
  <c r="BN146" i="1"/>
  <c r="BL146" i="1"/>
  <c r="BK146" i="1"/>
  <c r="BL136" i="1"/>
  <c r="BN136" i="1"/>
  <c r="BM136" i="1"/>
  <c r="BK136" i="1"/>
  <c r="BL147" i="1"/>
  <c r="BM147" i="1"/>
  <c r="BN147" i="1"/>
  <c r="BK147" i="1"/>
  <c r="BN126" i="1"/>
  <c r="BL126" i="1"/>
  <c r="BK126" i="1"/>
  <c r="BM126" i="1"/>
  <c r="BN103" i="1"/>
  <c r="BL103" i="1"/>
  <c r="BM103" i="1"/>
  <c r="BK103" i="1"/>
  <c r="BM114" i="1"/>
  <c r="BL114" i="1"/>
  <c r="BK114" i="1"/>
  <c r="BN114" i="1"/>
  <c r="BL148" i="1"/>
  <c r="BN148" i="1"/>
  <c r="BK148" i="1"/>
  <c r="BM148" i="1"/>
  <c r="BM128" i="1"/>
  <c r="BL128" i="1"/>
  <c r="BN128" i="1"/>
  <c r="BK128" i="1"/>
  <c r="BN101" i="1"/>
  <c r="BL101" i="1"/>
  <c r="BK101" i="1"/>
  <c r="BM101" i="1"/>
  <c r="BN130" i="1"/>
  <c r="BL130" i="1"/>
  <c r="BK130" i="1"/>
  <c r="BM130" i="1"/>
  <c r="BN127" i="1"/>
  <c r="BM127" i="1"/>
  <c r="BL127" i="1"/>
  <c r="BK127" i="1"/>
  <c r="BL106" i="1"/>
  <c r="BK106" i="1"/>
  <c r="BM106" i="1"/>
  <c r="BN106" i="1"/>
  <c r="BK123" i="1"/>
  <c r="BN123" i="1"/>
  <c r="BM123" i="1"/>
  <c r="BL123" i="1"/>
  <c r="BM105" i="1"/>
  <c r="BN105" i="1"/>
  <c r="BK105" i="1"/>
  <c r="BL105" i="1"/>
  <c r="BN140" i="1"/>
  <c r="BL140" i="1"/>
  <c r="BM140" i="1"/>
  <c r="BK140" i="1"/>
  <c r="BM133" i="1"/>
  <c r="BL133" i="1"/>
  <c r="BK133" i="1"/>
  <c r="BN133" i="1"/>
  <c r="BM137" i="1"/>
  <c r="BL137" i="1"/>
  <c r="BN137" i="1"/>
  <c r="BK137" i="1"/>
  <c r="BM120" i="1"/>
  <c r="BN120" i="1"/>
  <c r="BL120" i="1"/>
  <c r="BK120" i="1"/>
  <c r="BK108" i="1"/>
  <c r="BN108" i="1"/>
  <c r="BL108" i="1"/>
  <c r="BM108" i="1"/>
  <c r="BN111" i="1"/>
  <c r="BM111" i="1"/>
  <c r="BL111" i="1"/>
  <c r="BK111" i="1"/>
  <c r="BM151" i="1"/>
  <c r="BL151" i="1"/>
  <c r="BK151" i="1"/>
  <c r="BN151" i="1"/>
  <c r="BM141" i="1"/>
  <c r="BN141" i="1"/>
  <c r="BL141" i="1"/>
  <c r="BK141" i="1"/>
  <c r="BL150" i="1"/>
  <c r="BM150" i="1"/>
  <c r="BK150" i="1"/>
  <c r="BN150" i="1"/>
  <c r="BM159" i="1"/>
  <c r="BL159" i="1"/>
  <c r="BN159" i="1"/>
  <c r="BK159" i="1"/>
  <c r="BL125" i="1"/>
  <c r="BN125" i="1"/>
  <c r="BK125" i="1"/>
  <c r="BM125" i="1"/>
  <c r="BM143" i="1"/>
  <c r="BL143" i="1"/>
  <c r="BN143" i="1"/>
  <c r="BK143" i="1"/>
  <c r="BN134" i="1"/>
  <c r="BL134" i="1"/>
  <c r="BM134" i="1"/>
  <c r="BK134" i="1"/>
  <c r="BK156" i="1"/>
  <c r="BL156" i="1"/>
  <c r="BM156" i="1"/>
  <c r="BN156" i="1"/>
  <c r="BL118" i="1"/>
  <c r="BM118" i="1"/>
  <c r="BK118" i="1"/>
  <c r="BN118" i="1"/>
  <c r="BL116" i="1"/>
  <c r="BM116" i="1"/>
  <c r="BK116" i="1"/>
  <c r="BN116" i="1"/>
  <c r="BM149" i="1"/>
  <c r="BL149" i="1"/>
  <c r="BN149" i="1"/>
  <c r="BK149" i="1"/>
  <c r="BL152" i="1"/>
  <c r="BM152" i="1"/>
  <c r="BK152" i="1"/>
  <c r="BN152" i="1"/>
  <c r="C31" i="34"/>
  <c r="C44" i="34"/>
  <c r="C10" i="34"/>
  <c r="C17" i="34"/>
  <c r="BK166" i="1"/>
  <c r="BN161" i="1"/>
  <c r="BK161" i="1"/>
  <c r="BM161" i="1"/>
  <c r="BL161" i="1"/>
  <c r="BM162" i="1"/>
  <c r="BN162" i="1"/>
  <c r="BL162" i="1"/>
  <c r="BK162" i="1"/>
  <c r="BN166" i="1"/>
  <c r="BL166" i="1"/>
  <c r="BM166" i="1"/>
  <c r="BN160" i="1"/>
  <c r="BM160" i="1"/>
  <c r="BK160" i="1"/>
  <c r="BL160" i="1"/>
  <c r="BN167" i="1"/>
  <c r="BL167" i="1"/>
  <c r="BK167" i="1"/>
  <c r="BM167" i="1"/>
  <c r="BN164" i="1"/>
  <c r="BM164" i="1"/>
  <c r="BL164" i="1"/>
  <c r="BK164" i="1"/>
  <c r="BN165" i="1"/>
  <c r="BM165" i="1"/>
  <c r="BL165" i="1"/>
  <c r="BK165" i="1"/>
  <c r="BN192" i="1"/>
  <c r="BN163" i="1"/>
  <c r="BM163" i="1"/>
  <c r="BL163" i="1"/>
  <c r="BK163" i="1"/>
  <c r="BL171" i="1"/>
  <c r="BK171" i="1"/>
  <c r="BM171" i="1"/>
  <c r="BN171" i="1"/>
  <c r="BN199" i="1"/>
  <c r="BM182" i="1"/>
  <c r="BN177" i="1"/>
  <c r="BM177" i="1"/>
  <c r="BK177" i="1"/>
  <c r="BN168" i="1"/>
  <c r="BL168" i="1"/>
  <c r="BM168" i="1"/>
  <c r="BK168" i="1"/>
  <c r="BL170" i="1"/>
  <c r="BM170" i="1"/>
  <c r="BK170" i="1"/>
  <c r="BN170" i="1"/>
  <c r="BN175" i="1"/>
  <c r="BL175" i="1"/>
  <c r="BM175" i="1"/>
  <c r="BK175" i="1"/>
  <c r="BL177" i="1"/>
  <c r="BK178" i="1"/>
  <c r="BM178" i="1"/>
  <c r="BN178" i="1"/>
  <c r="BL178" i="1"/>
  <c r="BN176" i="1"/>
  <c r="BM176" i="1"/>
  <c r="BK176" i="1"/>
  <c r="BL176" i="1"/>
  <c r="BN193" i="1"/>
  <c r="BM173" i="1"/>
  <c r="BL173" i="1"/>
  <c r="BK173" i="1"/>
  <c r="BN173" i="1"/>
  <c r="BN179" i="1"/>
  <c r="BM179" i="1"/>
  <c r="BK179" i="1"/>
  <c r="BL179" i="1"/>
  <c r="BM169" i="1"/>
  <c r="BL169" i="1"/>
  <c r="BN169" i="1"/>
  <c r="BK169" i="1"/>
  <c r="BM172" i="1"/>
  <c r="BN172" i="1"/>
  <c r="BK172" i="1"/>
  <c r="BL172" i="1"/>
  <c r="BN174" i="1"/>
  <c r="BK174" i="1"/>
  <c r="BM174" i="1"/>
  <c r="BL174" i="1"/>
  <c r="BM192" i="1"/>
  <c r="BL193" i="1"/>
  <c r="BK193" i="1"/>
  <c r="BK192" i="1"/>
  <c r="BM193" i="1"/>
  <c r="BL199" i="1"/>
  <c r="BN185" i="1"/>
  <c r="BK185" i="1"/>
  <c r="BL185" i="1"/>
  <c r="BM185" i="1"/>
  <c r="BM180" i="1"/>
  <c r="BN180" i="1"/>
  <c r="BL180" i="1"/>
  <c r="BK180" i="1"/>
  <c r="BK183" i="1"/>
  <c r="BN183" i="1"/>
  <c r="BM183" i="1"/>
  <c r="BL183" i="1"/>
  <c r="BL182" i="1"/>
  <c r="BK182" i="1"/>
  <c r="BN182" i="1"/>
  <c r="BM181" i="1"/>
  <c r="BN181" i="1"/>
  <c r="BK181" i="1"/>
  <c r="BL181" i="1"/>
  <c r="BK184" i="1"/>
  <c r="BL184" i="1"/>
  <c r="BN184" i="1"/>
  <c r="BM184" i="1"/>
  <c r="BL192" i="1"/>
  <c r="BK199" i="1"/>
  <c r="BL189" i="1"/>
  <c r="BK189" i="1"/>
  <c r="BM189" i="1"/>
  <c r="BN189" i="1"/>
  <c r="BN188" i="1"/>
  <c r="BM188" i="1"/>
  <c r="BL188" i="1"/>
  <c r="BK188" i="1"/>
  <c r="BN191" i="1"/>
  <c r="BK191" i="1"/>
  <c r="BM191" i="1"/>
  <c r="BL191" i="1"/>
  <c r="BM186" i="1"/>
  <c r="BN186" i="1"/>
  <c r="BK186" i="1"/>
  <c r="BL186" i="1"/>
  <c r="BN187" i="1"/>
  <c r="BL187" i="1"/>
  <c r="BM187" i="1"/>
  <c r="BK187" i="1"/>
  <c r="BN190" i="1"/>
  <c r="BK190" i="1"/>
  <c r="BL190" i="1"/>
  <c r="BM190" i="1"/>
  <c r="BK198" i="1"/>
  <c r="BN273" i="1"/>
  <c r="BM199" i="1"/>
  <c r="BM198" i="1"/>
  <c r="BL196" i="1"/>
  <c r="BK196" i="1"/>
  <c r="BM196" i="1"/>
  <c r="BN196" i="1"/>
  <c r="BN197" i="1"/>
  <c r="BM197" i="1"/>
  <c r="BK197" i="1"/>
  <c r="BL197" i="1"/>
  <c r="BK224" i="1"/>
  <c r="BN198" i="1"/>
  <c r="BL198" i="1"/>
  <c r="BK195" i="1"/>
  <c r="BL195" i="1"/>
  <c r="BM195" i="1"/>
  <c r="BN195" i="1"/>
  <c r="BN194" i="1"/>
  <c r="BM194" i="1"/>
  <c r="BL194" i="1"/>
  <c r="BK194" i="1"/>
  <c r="BM206" i="1"/>
  <c r="BM214" i="1"/>
  <c r="BN224" i="1"/>
  <c r="BN203" i="1"/>
  <c r="BM203" i="1"/>
  <c r="BL203" i="1"/>
  <c r="BK203" i="1"/>
  <c r="BN202" i="1"/>
  <c r="BM202" i="1"/>
  <c r="BL202" i="1"/>
  <c r="BK202" i="1"/>
  <c r="BN205" i="1"/>
  <c r="BM205" i="1"/>
  <c r="BK205" i="1"/>
  <c r="BL205" i="1"/>
  <c r="BM204" i="1"/>
  <c r="BN204" i="1"/>
  <c r="BK204" i="1"/>
  <c r="BL204" i="1"/>
  <c r="BN216" i="1"/>
  <c r="BM216" i="1"/>
  <c r="BK216" i="1"/>
  <c r="BL216" i="1"/>
  <c r="BM215" i="1"/>
  <c r="BN215" i="1"/>
  <c r="BK215" i="1"/>
  <c r="BL215" i="1"/>
  <c r="BN209" i="1"/>
  <c r="BL209" i="1"/>
  <c r="BM209" i="1"/>
  <c r="BK209" i="1"/>
  <c r="BN213" i="1"/>
  <c r="BL213" i="1"/>
  <c r="BK213" i="1"/>
  <c r="BM213" i="1"/>
  <c r="BN211" i="1"/>
  <c r="BM211" i="1"/>
  <c r="BL211" i="1"/>
  <c r="BK211" i="1"/>
  <c r="BN206" i="1"/>
  <c r="BK206" i="1"/>
  <c r="BL206" i="1"/>
  <c r="BN214" i="1"/>
  <c r="BL214" i="1"/>
  <c r="BK214" i="1"/>
  <c r="BM208" i="1"/>
  <c r="BN208" i="1"/>
  <c r="BK208" i="1"/>
  <c r="BL208" i="1"/>
  <c r="BK207" i="1"/>
  <c r="BL207" i="1"/>
  <c r="BN207" i="1"/>
  <c r="BM207" i="1"/>
  <c r="BN210" i="1"/>
  <c r="BM210" i="1"/>
  <c r="BL210" i="1"/>
  <c r="BK210" i="1"/>
  <c r="BK200" i="1"/>
  <c r="BL200" i="1"/>
  <c r="BM200" i="1"/>
  <c r="BN200" i="1"/>
  <c r="BN212" i="1"/>
  <c r="BM212" i="1"/>
  <c r="BL212" i="1"/>
  <c r="BK212" i="1"/>
  <c r="BN201" i="1"/>
  <c r="BM201" i="1"/>
  <c r="BL201" i="1"/>
  <c r="BK201" i="1"/>
  <c r="BN220" i="1"/>
  <c r="BM220" i="1"/>
  <c r="BL220" i="1"/>
  <c r="BK220" i="1"/>
  <c r="BN219" i="1"/>
  <c r="BM219" i="1"/>
  <c r="BL219" i="1"/>
  <c r="BK219" i="1"/>
  <c r="BM224" i="1"/>
  <c r="BN227" i="1"/>
  <c r="BK217" i="1"/>
  <c r="BN217" i="1"/>
  <c r="BL217" i="1"/>
  <c r="BM218" i="1"/>
  <c r="BK218" i="1"/>
  <c r="BN218" i="1"/>
  <c r="BL218" i="1"/>
  <c r="BN221" i="1"/>
  <c r="BK221" i="1"/>
  <c r="BL221" i="1"/>
  <c r="BM221" i="1"/>
  <c r="BL224" i="1"/>
  <c r="BM217" i="1"/>
  <c r="BL226" i="1"/>
  <c r="BK222" i="1"/>
  <c r="BM222" i="1"/>
  <c r="BL222" i="1"/>
  <c r="BN222" i="1"/>
  <c r="BN223" i="1"/>
  <c r="BK223" i="1"/>
  <c r="BL223" i="1"/>
  <c r="BM223" i="1"/>
  <c r="BL227" i="1"/>
  <c r="BN226" i="1"/>
  <c r="BK227" i="1"/>
  <c r="BM226" i="1"/>
  <c r="BM227" i="1"/>
  <c r="BK226" i="1"/>
  <c r="BN229" i="1"/>
  <c r="BL238" i="1"/>
  <c r="BK229" i="1"/>
  <c r="BN233" i="1"/>
  <c r="BL229" i="1"/>
  <c r="BM229" i="1"/>
  <c r="BL230" i="1"/>
  <c r="BM225" i="1"/>
  <c r="BN225" i="1"/>
  <c r="BK225" i="1"/>
  <c r="BL225" i="1"/>
  <c r="BM233" i="1"/>
  <c r="BN228" i="1"/>
  <c r="BK228" i="1"/>
  <c r="BL228" i="1"/>
  <c r="BM228" i="1"/>
  <c r="BL233" i="1"/>
  <c r="BK232" i="1"/>
  <c r="BN232" i="1"/>
  <c r="BM232" i="1"/>
  <c r="BL232" i="1"/>
  <c r="BK233" i="1"/>
  <c r="BM230" i="1"/>
  <c r="BK230" i="1"/>
  <c r="BN230" i="1"/>
  <c r="BM231" i="1"/>
  <c r="BL231" i="1"/>
  <c r="BN231" i="1"/>
  <c r="BK231" i="1"/>
  <c r="BM234" i="1"/>
  <c r="BN236" i="1"/>
  <c r="BM236" i="1"/>
  <c r="BL236" i="1"/>
  <c r="BK236" i="1"/>
  <c r="BM237" i="1"/>
  <c r="BL237" i="1"/>
  <c r="BK237" i="1"/>
  <c r="BN237" i="1"/>
  <c r="BN241" i="1"/>
  <c r="BK241" i="1"/>
  <c r="BL241" i="1"/>
  <c r="BM241" i="1"/>
  <c r="BM235" i="1"/>
  <c r="BN235" i="1"/>
  <c r="BK235" i="1"/>
  <c r="BL235" i="1"/>
  <c r="BN234" i="1"/>
  <c r="BK234" i="1"/>
  <c r="BL234" i="1"/>
  <c r="BL240" i="1"/>
  <c r="BM240" i="1"/>
  <c r="BK240" i="1"/>
  <c r="BN240" i="1"/>
  <c r="BN239" i="1"/>
  <c r="BL239" i="1"/>
  <c r="BM239" i="1"/>
  <c r="BK239" i="1"/>
  <c r="BN238" i="1"/>
  <c r="BK238" i="1"/>
  <c r="BM238" i="1"/>
  <c r="BL243" i="1"/>
  <c r="BL252" i="1"/>
  <c r="BK245" i="1"/>
  <c r="BL245" i="1"/>
  <c r="BN245" i="1"/>
  <c r="BM245" i="1"/>
  <c r="BM244" i="1"/>
  <c r="BL244" i="1"/>
  <c r="BN244" i="1"/>
  <c r="BK244" i="1"/>
  <c r="BN242" i="1"/>
  <c r="BM242" i="1"/>
  <c r="BL242" i="1"/>
  <c r="BK242" i="1"/>
  <c r="BM250" i="1"/>
  <c r="BN243" i="1"/>
  <c r="BM243" i="1"/>
  <c r="BK243" i="1"/>
  <c r="BK248" i="1"/>
  <c r="BN248" i="1"/>
  <c r="BM248" i="1"/>
  <c r="BL248" i="1"/>
  <c r="BN249" i="1"/>
  <c r="BM249" i="1"/>
  <c r="BL249" i="1"/>
  <c r="BK249" i="1"/>
  <c r="BM273" i="1"/>
  <c r="BN279" i="1"/>
  <c r="BM259" i="1"/>
  <c r="BK273" i="1"/>
  <c r="BM251" i="1"/>
  <c r="BN251" i="1"/>
  <c r="BL251" i="1"/>
  <c r="BK251" i="1"/>
  <c r="BK261" i="1"/>
  <c r="BL261" i="1"/>
  <c r="BM261" i="1"/>
  <c r="BN261" i="1"/>
  <c r="BL273" i="1"/>
  <c r="BK246" i="1"/>
  <c r="BN246" i="1"/>
  <c r="BM246" i="1"/>
  <c r="BL246" i="1"/>
  <c r="BN255" i="1"/>
  <c r="BM255" i="1"/>
  <c r="BL255" i="1"/>
  <c r="BK255" i="1"/>
  <c r="BM258" i="1"/>
  <c r="BL258" i="1"/>
  <c r="BK258" i="1"/>
  <c r="BN258" i="1"/>
  <c r="BM252" i="1"/>
  <c r="BK252" i="1"/>
  <c r="BN252" i="1"/>
  <c r="BN254" i="1"/>
  <c r="BL254" i="1"/>
  <c r="BM254" i="1"/>
  <c r="BK254" i="1"/>
  <c r="BN262" i="1"/>
  <c r="BM262" i="1"/>
  <c r="BK262" i="1"/>
  <c r="BL262" i="1"/>
  <c r="BL256" i="1"/>
  <c r="BK256" i="1"/>
  <c r="BN256" i="1"/>
  <c r="BM256" i="1"/>
  <c r="BM253" i="1"/>
  <c r="BK253" i="1"/>
  <c r="BN253" i="1"/>
  <c r="BL253" i="1"/>
  <c r="BL247" i="1"/>
  <c r="BK247" i="1"/>
  <c r="BN247" i="1"/>
  <c r="BM247" i="1"/>
  <c r="BK257" i="1"/>
  <c r="BM257" i="1"/>
  <c r="BN257" i="1"/>
  <c r="BL257" i="1"/>
  <c r="BK259" i="1"/>
  <c r="BL259" i="1"/>
  <c r="BN259" i="1"/>
  <c r="BN260" i="1"/>
  <c r="BM260" i="1"/>
  <c r="BK260" i="1"/>
  <c r="BL260" i="1"/>
  <c r="BK250" i="1"/>
  <c r="BN250" i="1"/>
  <c r="BL250" i="1"/>
  <c r="BL266" i="1"/>
  <c r="BK266" i="1"/>
  <c r="BM266" i="1"/>
  <c r="BN266" i="1"/>
  <c r="BN265" i="1"/>
  <c r="BM265" i="1"/>
  <c r="BL265" i="1"/>
  <c r="BK265" i="1"/>
  <c r="BM269" i="1"/>
  <c r="BN269" i="1"/>
  <c r="BK269" i="1"/>
  <c r="BL268" i="1"/>
  <c r="BN268" i="1"/>
  <c r="BK268" i="1"/>
  <c r="BM268" i="1"/>
  <c r="BN272" i="1"/>
  <c r="BL272" i="1"/>
  <c r="BM272" i="1"/>
  <c r="BK272" i="1"/>
  <c r="BN264" i="1"/>
  <c r="BK264" i="1"/>
  <c r="BM264" i="1"/>
  <c r="BL264" i="1"/>
  <c r="BL269" i="1"/>
  <c r="BN263" i="1"/>
  <c r="BL263" i="1"/>
  <c r="BK263" i="1"/>
  <c r="BM263" i="1"/>
  <c r="BM267" i="1"/>
  <c r="BL267" i="1"/>
  <c r="BN267" i="1"/>
  <c r="BK267" i="1"/>
  <c r="BK270" i="1"/>
  <c r="BN270" i="1"/>
  <c r="BL270" i="1"/>
  <c r="BM270" i="1"/>
  <c r="BK271" i="1"/>
  <c r="BM271" i="1"/>
  <c r="BL271" i="1"/>
  <c r="BN271" i="1"/>
  <c r="BM313" i="1"/>
  <c r="BN275" i="1"/>
  <c r="BM275" i="1"/>
  <c r="BL275" i="1"/>
  <c r="BK275" i="1"/>
  <c r="BN314" i="1"/>
  <c r="BK289" i="1"/>
  <c r="BK279" i="1"/>
  <c r="BL314" i="1"/>
  <c r="BN278" i="1"/>
  <c r="BL279" i="1"/>
  <c r="BL274" i="1"/>
  <c r="BM274" i="1"/>
  <c r="BN274" i="1"/>
  <c r="BK274" i="1"/>
  <c r="BL278" i="1"/>
  <c r="BK278" i="1"/>
  <c r="BM279" i="1"/>
  <c r="BM314" i="1"/>
  <c r="BM278" i="1"/>
  <c r="BL276" i="1"/>
  <c r="BM276" i="1"/>
  <c r="BK276" i="1"/>
  <c r="BN276" i="1"/>
  <c r="BN277" i="1"/>
  <c r="BM277" i="1"/>
  <c r="BK277" i="1"/>
  <c r="BL277" i="1"/>
  <c r="BN313" i="1"/>
  <c r="BM296" i="1"/>
  <c r="BM294" i="1"/>
  <c r="BK283" i="1"/>
  <c r="BL283" i="1"/>
  <c r="BN283" i="1"/>
  <c r="BM283" i="1"/>
  <c r="BL313" i="1"/>
  <c r="BM282" i="1"/>
  <c r="BL282" i="1"/>
  <c r="BK282" i="1"/>
  <c r="BN282" i="1"/>
  <c r="BL316" i="1"/>
  <c r="BM280" i="1"/>
  <c r="BK280" i="1"/>
  <c r="BN280" i="1"/>
  <c r="BL280" i="1"/>
  <c r="BN287" i="1"/>
  <c r="BK287" i="1"/>
  <c r="BL287" i="1"/>
  <c r="BM287" i="1"/>
  <c r="BN285" i="1"/>
  <c r="BM285" i="1"/>
  <c r="BK285" i="1"/>
  <c r="BL285" i="1"/>
  <c r="BN284" i="1"/>
  <c r="BK284" i="1"/>
  <c r="BM284" i="1"/>
  <c r="BL284" i="1"/>
  <c r="BM286" i="1"/>
  <c r="BN286" i="1"/>
  <c r="BK286" i="1"/>
  <c r="BL286" i="1"/>
  <c r="BN281" i="1"/>
  <c r="BK281" i="1"/>
  <c r="BM281" i="1"/>
  <c r="BL281" i="1"/>
  <c r="BL294" i="1"/>
  <c r="BK294" i="1"/>
  <c r="BM291" i="1"/>
  <c r="BL291" i="1"/>
  <c r="BK291" i="1"/>
  <c r="BN291" i="1"/>
  <c r="BN290" i="1"/>
  <c r="BM290" i="1"/>
  <c r="BL290" i="1"/>
  <c r="BK290" i="1"/>
  <c r="BN294" i="1"/>
  <c r="BL308" i="1"/>
  <c r="BN289" i="1"/>
  <c r="BM289" i="1"/>
  <c r="BL289" i="1"/>
  <c r="BL292" i="1"/>
  <c r="BM292" i="1"/>
  <c r="BN292" i="1"/>
  <c r="BK292" i="1"/>
  <c r="BN293" i="1"/>
  <c r="BK293" i="1"/>
  <c r="BL293" i="1"/>
  <c r="BM293" i="1"/>
  <c r="BN288" i="1"/>
  <c r="BL288" i="1"/>
  <c r="BM288" i="1"/>
  <c r="BK288" i="1"/>
  <c r="BN297" i="1"/>
  <c r="BM297" i="1"/>
  <c r="BL297" i="1"/>
  <c r="BK297" i="1"/>
  <c r="BM299" i="1"/>
  <c r="BK313" i="1"/>
  <c r="BN298" i="1"/>
  <c r="BM298" i="1"/>
  <c r="BL298" i="1"/>
  <c r="BK298" i="1"/>
  <c r="BK314" i="1"/>
  <c r="BN306" i="1"/>
  <c r="BL306" i="1"/>
  <c r="BK306" i="1"/>
  <c r="BM306" i="1"/>
  <c r="BN312" i="1"/>
  <c r="BK312" i="1"/>
  <c r="BM312" i="1"/>
  <c r="BL312" i="1"/>
  <c r="BN311" i="1"/>
  <c r="BK311" i="1"/>
  <c r="BL311" i="1"/>
  <c r="BM302" i="1"/>
  <c r="BN299" i="1"/>
  <c r="BL299" i="1"/>
  <c r="BK299" i="1"/>
  <c r="BN308" i="1"/>
  <c r="BK308" i="1"/>
  <c r="BM308" i="1"/>
  <c r="BN295" i="1"/>
  <c r="BK295" i="1"/>
  <c r="BL295" i="1"/>
  <c r="BM295" i="1"/>
  <c r="BN310" i="1"/>
  <c r="BK310" i="1"/>
  <c r="BM310" i="1"/>
  <c r="BL310" i="1"/>
  <c r="BN304" i="1"/>
  <c r="BL304" i="1"/>
  <c r="BK304" i="1"/>
  <c r="BM304" i="1"/>
  <c r="BM300" i="1"/>
  <c r="BN300" i="1"/>
  <c r="BK300" i="1"/>
  <c r="BL300" i="1"/>
  <c r="BK305" i="1"/>
  <c r="BL305" i="1"/>
  <c r="BM305" i="1"/>
  <c r="BN305" i="1"/>
  <c r="BN302" i="1"/>
  <c r="BL302" i="1"/>
  <c r="BK302" i="1"/>
  <c r="BM311" i="1"/>
  <c r="BN309" i="1"/>
  <c r="BL309" i="1"/>
  <c r="BK309" i="1"/>
  <c r="BM309" i="1"/>
  <c r="BN296" i="1"/>
  <c r="BK296" i="1"/>
  <c r="BL296" i="1"/>
  <c r="BK303" i="1"/>
  <c r="BL303" i="1"/>
  <c r="BM303" i="1"/>
  <c r="BN303" i="1"/>
  <c r="BN307" i="1"/>
  <c r="BK307" i="1"/>
  <c r="BL307" i="1"/>
  <c r="BM307" i="1"/>
  <c r="BN301" i="1"/>
  <c r="BM301" i="1"/>
  <c r="BL301" i="1"/>
  <c r="BK301" i="1"/>
  <c r="BM329" i="1"/>
  <c r="BM331" i="1"/>
  <c r="BN329" i="1"/>
  <c r="BK329" i="1"/>
  <c r="BN330" i="1"/>
  <c r="BL329" i="1"/>
  <c r="BM332" i="1"/>
  <c r="BK330" i="1"/>
  <c r="BL330" i="1"/>
  <c r="BM330" i="1"/>
  <c r="BM318" i="1"/>
  <c r="BN318" i="1"/>
  <c r="BL318" i="1"/>
  <c r="BK318" i="1"/>
  <c r="BM317" i="1"/>
  <c r="BL317" i="1"/>
  <c r="BK317" i="1"/>
  <c r="BN317" i="1"/>
  <c r="BN325" i="1"/>
  <c r="BL325" i="1"/>
  <c r="BK325" i="1"/>
  <c r="BM325" i="1"/>
  <c r="BN324" i="1"/>
  <c r="BM324" i="1"/>
  <c r="BK324" i="1"/>
  <c r="BL324" i="1"/>
  <c r="BN316" i="1"/>
  <c r="BM316" i="1"/>
  <c r="BK316" i="1"/>
  <c r="BN315" i="1"/>
  <c r="BK315" i="1"/>
  <c r="BL315" i="1"/>
  <c r="BM315" i="1"/>
  <c r="BN323" i="1"/>
  <c r="BK323" i="1"/>
  <c r="BL323" i="1"/>
  <c r="BL322" i="1"/>
  <c r="BM322" i="1"/>
  <c r="BN322" i="1"/>
  <c r="BK322" i="1"/>
  <c r="BN319" i="1"/>
  <c r="BK319" i="1"/>
  <c r="BL319" i="1"/>
  <c r="BM323" i="1"/>
  <c r="BL320" i="1"/>
  <c r="BM320" i="1"/>
  <c r="BN320" i="1"/>
  <c r="BK320" i="1"/>
  <c r="BN321" i="1"/>
  <c r="BK321" i="1"/>
  <c r="BM321" i="1"/>
  <c r="BL321" i="1"/>
  <c r="BM319" i="1"/>
  <c r="BN328" i="1"/>
  <c r="BM328" i="1"/>
  <c r="BL328" i="1"/>
  <c r="BK328" i="1"/>
  <c r="BK327" i="1"/>
  <c r="BL327" i="1"/>
  <c r="BM327" i="1"/>
  <c r="BN327" i="1"/>
  <c r="BL326" i="1"/>
  <c r="BN326" i="1"/>
  <c r="BK326" i="1"/>
  <c r="BM326" i="1"/>
  <c r="BM345" i="1"/>
  <c r="BN336" i="1"/>
  <c r="BN335" i="1"/>
  <c r="BL335" i="1"/>
  <c r="BM336" i="1"/>
  <c r="BK336" i="1"/>
  <c r="BM335" i="1"/>
  <c r="BK335" i="1"/>
  <c r="BN334" i="1"/>
  <c r="BM334" i="1"/>
  <c r="BL334" i="1"/>
  <c r="BK334" i="1"/>
  <c r="BK333" i="1"/>
  <c r="BN333" i="1"/>
  <c r="BM333" i="1"/>
  <c r="BL333" i="1"/>
  <c r="BN331" i="1"/>
  <c r="BK331" i="1"/>
  <c r="BL331" i="1"/>
  <c r="BN349" i="1"/>
  <c r="BM344" i="1"/>
  <c r="BL345" i="1"/>
  <c r="BL336" i="1"/>
  <c r="BN332" i="1"/>
  <c r="BK332" i="1"/>
  <c r="BL332" i="1"/>
  <c r="BN345" i="1"/>
  <c r="BK357" i="1"/>
  <c r="BK345" i="1"/>
  <c r="BN346" i="1"/>
  <c r="BM346" i="1"/>
  <c r="BL349" i="1"/>
  <c r="BK346" i="1"/>
  <c r="BK349" i="1"/>
  <c r="BL346" i="1"/>
  <c r="BM349" i="1"/>
  <c r="BN340" i="1"/>
  <c r="BM340" i="1"/>
  <c r="BL340" i="1"/>
  <c r="BK340" i="1"/>
  <c r="BL339" i="1"/>
  <c r="BK339" i="1"/>
  <c r="BN339" i="1"/>
  <c r="BM339" i="1"/>
  <c r="BK341" i="1"/>
  <c r="BM341" i="1"/>
  <c r="BL341" i="1"/>
  <c r="BN341" i="1"/>
  <c r="BN343" i="1"/>
  <c r="BK343" i="1"/>
  <c r="BL343" i="1"/>
  <c r="BM343" i="1"/>
  <c r="BM338" i="1"/>
  <c r="BN338" i="1"/>
  <c r="BK338" i="1"/>
  <c r="BL338" i="1"/>
  <c r="BN337" i="1"/>
  <c r="BK337" i="1"/>
  <c r="BM337" i="1"/>
  <c r="BL337" i="1"/>
  <c r="BN342" i="1"/>
  <c r="BL342" i="1"/>
  <c r="BM342" i="1"/>
  <c r="BK342" i="1"/>
  <c r="BN344" i="1"/>
  <c r="BK344" i="1"/>
  <c r="BL344" i="1"/>
  <c r="BN350" i="1"/>
  <c r="BN347" i="1"/>
  <c r="BK347" i="1"/>
  <c r="BM347" i="1"/>
  <c r="BL347" i="1"/>
  <c r="BK350" i="1"/>
  <c r="BM350" i="1"/>
  <c r="BL350" i="1"/>
  <c r="BL348" i="1"/>
  <c r="BM348" i="1"/>
  <c r="BN348" i="1"/>
  <c r="BK348" i="1"/>
  <c r="BN353" i="1"/>
  <c r="BM353" i="1"/>
  <c r="BL353" i="1"/>
  <c r="BK353" i="1"/>
  <c r="BN354" i="1"/>
  <c r="BM354" i="1"/>
  <c r="BL354" i="1"/>
  <c r="BK354" i="1"/>
  <c r="BN356" i="1"/>
  <c r="BK356" i="1"/>
  <c r="BM356" i="1"/>
  <c r="BL356" i="1"/>
  <c r="BL355" i="1"/>
  <c r="BN355" i="1"/>
  <c r="BK355" i="1"/>
  <c r="BM355" i="1"/>
  <c r="BK351" i="1"/>
  <c r="BL351" i="1"/>
  <c r="BM351" i="1"/>
  <c r="BN351" i="1"/>
  <c r="BM357" i="1"/>
  <c r="BL357" i="1"/>
  <c r="BN357" i="1"/>
  <c r="BK352" i="1"/>
  <c r="BM352" i="1"/>
  <c r="BN352" i="1"/>
  <c r="BL352"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BM17" i="10"/>
  <c r="BM22" i="10"/>
  <c r="BM14" i="10"/>
  <c r="BM11" i="10"/>
  <c r="BM23" i="10"/>
  <c r="BM12" i="10"/>
  <c r="BM19" i="10"/>
  <c r="BM15" i="10"/>
  <c r="EC22" i="10" a="1"/>
  <c r="BS4" i="1" a="1"/>
  <c r="CD4" i="1" s="1"/>
  <c r="BJ4" i="10"/>
  <c r="GW7" i="10"/>
  <c r="AV3482" i="31" l="1"/>
  <c r="AU3482" i="31" s="1"/>
  <c r="AT3482" i="31" s="1"/>
  <c r="B3484" i="31"/>
  <c r="AS3483" i="31"/>
  <c r="AM3483" i="31"/>
  <c r="AL3483" i="3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4" i="1" l="1"/>
  <c r="CQ15" i="1"/>
  <c r="CQ10" i="1"/>
  <c r="CQ16" i="1"/>
  <c r="CQ11" i="1"/>
  <c r="CQ12" i="1"/>
  <c r="CQ13" i="1"/>
  <c r="CQ22" i="1"/>
  <c r="CQ33" i="1"/>
  <c r="CQ17" i="1"/>
  <c r="CQ28" i="1"/>
  <c r="CQ23" i="1"/>
  <c r="CQ34" i="1"/>
  <c r="CQ18" i="1"/>
  <c r="CQ29" i="1"/>
  <c r="CQ24" i="1"/>
  <c r="CQ35" i="1"/>
  <c r="CQ19" i="1"/>
  <c r="CQ30" i="1"/>
  <c r="CQ25" i="1"/>
  <c r="CQ20" i="1"/>
  <c r="CQ31" i="1"/>
  <c r="CQ26" i="1"/>
  <c r="CQ21" i="1"/>
  <c r="CQ32" i="1"/>
  <c r="CQ27" i="1"/>
  <c r="CQ42" i="1"/>
  <c r="CQ44" i="1"/>
  <c r="CQ39" i="1"/>
  <c r="CQ45" i="1"/>
  <c r="CQ40" i="1"/>
  <c r="CQ46" i="1"/>
  <c r="CQ41" i="1"/>
  <c r="CQ36" i="1"/>
  <c r="CQ37" i="1"/>
  <c r="CQ43" i="1"/>
  <c r="CQ38" i="1"/>
  <c r="AV3483" i="31"/>
  <c r="AU3483" i="31"/>
  <c r="AT3483" i="31" s="1"/>
  <c r="AS3484" i="31"/>
  <c r="AM3484" i="31"/>
  <c r="B3485" i="31"/>
  <c r="AL3484" i="31"/>
  <c r="CQ47" i="1"/>
  <c r="CQ48" i="1"/>
  <c r="CQ49" i="1"/>
  <c r="CQ50" i="1"/>
  <c r="CQ51" i="1"/>
  <c r="CQ52" i="1"/>
  <c r="CQ53" i="1"/>
  <c r="CQ62" i="1"/>
  <c r="CQ58" i="1"/>
  <c r="CQ54" i="1"/>
  <c r="CQ63" i="1"/>
  <c r="CQ59" i="1"/>
  <c r="CQ55" i="1"/>
  <c r="CQ64" i="1"/>
  <c r="CQ60" i="1"/>
  <c r="CQ56" i="1"/>
  <c r="CQ61" i="1"/>
  <c r="CQ57" i="1"/>
  <c r="CQ92" i="1"/>
  <c r="CQ87" i="1"/>
  <c r="CQ86" i="1"/>
  <c r="CQ70" i="1"/>
  <c r="CQ98" i="1"/>
  <c r="CQ85" i="1"/>
  <c r="CQ95" i="1"/>
  <c r="CQ84" i="1"/>
  <c r="CQ82" i="1"/>
  <c r="CQ81" i="1"/>
  <c r="CQ80" i="1"/>
  <c r="CQ77" i="1"/>
  <c r="CQ76" i="1"/>
  <c r="CQ68" i="1"/>
  <c r="CQ66" i="1"/>
  <c r="CQ99" i="1"/>
  <c r="CQ90" i="1"/>
  <c r="CQ78" i="1"/>
  <c r="CQ73" i="1"/>
  <c r="CQ65" i="1"/>
  <c r="CQ97" i="1"/>
  <c r="CQ96" i="1"/>
  <c r="CQ89" i="1"/>
  <c r="CQ74" i="1"/>
  <c r="CQ94" i="1"/>
  <c r="CQ93" i="1"/>
  <c r="CQ75" i="1"/>
  <c r="CQ72" i="1"/>
  <c r="CQ79" i="1"/>
  <c r="CQ69" i="1"/>
  <c r="CQ67" i="1"/>
  <c r="CQ83" i="1"/>
  <c r="CQ91" i="1"/>
  <c r="CQ88" i="1"/>
  <c r="CQ71" i="1"/>
  <c r="CQ147" i="1"/>
  <c r="CQ136" i="1"/>
  <c r="CQ134" i="1"/>
  <c r="CQ131" i="1"/>
  <c r="CQ119" i="1"/>
  <c r="CQ104" i="1"/>
  <c r="CQ130" i="1"/>
  <c r="CQ129" i="1"/>
  <c r="CQ128" i="1"/>
  <c r="CQ127" i="1"/>
  <c r="CQ126" i="1"/>
  <c r="CQ125" i="1"/>
  <c r="CQ124" i="1"/>
  <c r="CQ123" i="1"/>
  <c r="CQ121" i="1"/>
  <c r="CQ118" i="1"/>
  <c r="CQ116" i="1"/>
  <c r="CQ107" i="1"/>
  <c r="CQ102" i="1"/>
  <c r="CQ100" i="1"/>
  <c r="CQ150" i="1"/>
  <c r="CQ115" i="1"/>
  <c r="CQ105" i="1"/>
  <c r="CQ101" i="1"/>
  <c r="CQ159" i="1"/>
  <c r="CQ152" i="1"/>
  <c r="CQ140" i="1"/>
  <c r="CQ157" i="1"/>
  <c r="CQ156" i="1"/>
  <c r="CQ151" i="1"/>
  <c r="CQ148" i="1"/>
  <c r="CQ145" i="1"/>
  <c r="CQ143" i="1"/>
  <c r="CQ117" i="1"/>
  <c r="CQ111" i="1"/>
  <c r="CQ155" i="1"/>
  <c r="CQ144" i="1"/>
  <c r="CQ142" i="1"/>
  <c r="CQ141" i="1"/>
  <c r="CQ138" i="1"/>
  <c r="CQ137" i="1"/>
  <c r="CQ132" i="1"/>
  <c r="CQ122" i="1"/>
  <c r="CQ120" i="1"/>
  <c r="CQ109" i="1"/>
  <c r="CQ149" i="1"/>
  <c r="CQ146" i="1"/>
  <c r="CQ139" i="1"/>
  <c r="CQ135" i="1"/>
  <c r="CQ133" i="1"/>
  <c r="CQ114" i="1"/>
  <c r="CQ106" i="1"/>
  <c r="CQ158" i="1"/>
  <c r="CQ108" i="1"/>
  <c r="CQ103" i="1"/>
  <c r="CQ154" i="1"/>
  <c r="CQ153" i="1"/>
  <c r="CQ113" i="1"/>
  <c r="CQ112" i="1"/>
  <c r="CQ110" i="1"/>
  <c r="CQ164" i="1"/>
  <c r="CQ167" i="1"/>
  <c r="CQ166" i="1"/>
  <c r="CQ165" i="1"/>
  <c r="CQ161" i="1"/>
  <c r="CQ162" i="1"/>
  <c r="CQ163" i="1"/>
  <c r="CQ160" i="1"/>
  <c r="CQ177" i="1"/>
  <c r="CQ171" i="1"/>
  <c r="CQ169" i="1"/>
  <c r="CQ168" i="1"/>
  <c r="CQ178" i="1"/>
  <c r="CQ172" i="1"/>
  <c r="CQ170" i="1"/>
  <c r="CQ179" i="1"/>
  <c r="CQ173" i="1"/>
  <c r="CQ174" i="1"/>
  <c r="CQ176" i="1"/>
  <c r="CQ175" i="1"/>
  <c r="CQ184" i="1"/>
  <c r="CQ180" i="1"/>
  <c r="CQ185" i="1"/>
  <c r="CQ181" i="1"/>
  <c r="CQ182" i="1"/>
  <c r="CQ183" i="1"/>
  <c r="CQ189" i="1"/>
  <c r="CQ190" i="1"/>
  <c r="CQ188" i="1"/>
  <c r="CQ191" i="1"/>
  <c r="CQ186" i="1"/>
  <c r="CQ187" i="1"/>
  <c r="CQ192" i="1"/>
  <c r="CQ193" i="1"/>
  <c r="CQ195" i="1"/>
  <c r="CQ197" i="1"/>
  <c r="CQ196" i="1"/>
  <c r="CQ194" i="1"/>
  <c r="CQ198" i="1"/>
  <c r="CQ199" i="1"/>
  <c r="CQ213" i="1"/>
  <c r="CQ211" i="1"/>
  <c r="CQ209" i="1"/>
  <c r="CQ207" i="1"/>
  <c r="CQ205" i="1"/>
  <c r="CQ203" i="1"/>
  <c r="CQ202" i="1"/>
  <c r="CQ201" i="1"/>
  <c r="CQ216" i="1"/>
  <c r="CQ214" i="1"/>
  <c r="CQ212" i="1"/>
  <c r="CQ210" i="1"/>
  <c r="CQ208" i="1"/>
  <c r="CQ206" i="1"/>
  <c r="CQ204" i="1"/>
  <c r="CQ200" i="1"/>
  <c r="CQ215" i="1"/>
  <c r="CQ220" i="1"/>
  <c r="CQ221" i="1"/>
  <c r="CQ219" i="1"/>
  <c r="CQ217" i="1"/>
  <c r="CQ218" i="1"/>
  <c r="CQ222" i="1"/>
  <c r="CQ223" i="1"/>
  <c r="CQ225" i="1"/>
  <c r="CQ224" i="1"/>
  <c r="CQ226" i="1"/>
  <c r="CQ227" i="1"/>
  <c r="CQ229" i="1"/>
  <c r="CQ228" i="1"/>
  <c r="CQ233" i="1"/>
  <c r="CQ232" i="1"/>
  <c r="CQ230" i="1"/>
  <c r="CQ231" i="1"/>
  <c r="CQ239" i="1"/>
  <c r="CQ236" i="1"/>
  <c r="CQ240" i="1"/>
  <c r="CQ234" i="1"/>
  <c r="CQ235" i="1"/>
  <c r="CQ241" i="1"/>
  <c r="CQ237" i="1"/>
  <c r="CQ238" i="1"/>
  <c r="CQ243" i="1"/>
  <c r="CQ245" i="1"/>
  <c r="CQ244" i="1"/>
  <c r="CQ242" i="1"/>
  <c r="CQ260" i="1"/>
  <c r="CQ256" i="1"/>
  <c r="CQ252" i="1"/>
  <c r="CQ261" i="1"/>
  <c r="CQ257" i="1"/>
  <c r="CQ253" i="1"/>
  <c r="CQ249" i="1"/>
  <c r="CQ262" i="1"/>
  <c r="CQ258" i="1"/>
  <c r="CQ254" i="1"/>
  <c r="CQ250" i="1"/>
  <c r="CQ248" i="1"/>
  <c r="CQ246" i="1"/>
  <c r="CQ259" i="1"/>
  <c r="CQ255" i="1"/>
  <c r="CQ251" i="1"/>
  <c r="CQ247" i="1"/>
  <c r="CQ270" i="1"/>
  <c r="CQ266" i="1"/>
  <c r="CQ271" i="1"/>
  <c r="CQ267" i="1"/>
  <c r="CQ265" i="1"/>
  <c r="CQ263" i="1"/>
  <c r="CQ272" i="1"/>
  <c r="CQ268" i="1"/>
  <c r="CQ264" i="1"/>
  <c r="CQ269" i="1"/>
  <c r="CQ275" i="1"/>
  <c r="CQ274" i="1"/>
  <c r="CQ273" i="1"/>
  <c r="CQ276" i="1"/>
  <c r="CQ277" i="1"/>
  <c r="CQ278" i="1"/>
  <c r="CQ279" i="1"/>
  <c r="CQ285" i="1"/>
  <c r="CQ284" i="1"/>
  <c r="CQ286" i="1"/>
  <c r="CQ283" i="1"/>
  <c r="CQ287" i="1"/>
  <c r="CQ282" i="1"/>
  <c r="CQ280" i="1"/>
  <c r="CQ281" i="1"/>
  <c r="CQ294" i="1"/>
  <c r="CQ291" i="1"/>
  <c r="CQ292" i="1"/>
  <c r="CQ290" i="1"/>
  <c r="CQ288" i="1"/>
  <c r="CQ293" i="1"/>
  <c r="CQ289" i="1"/>
  <c r="CQ310" i="1"/>
  <c r="CQ305" i="1"/>
  <c r="CQ309" i="1"/>
  <c r="CQ307" i="1"/>
  <c r="CQ298" i="1"/>
  <c r="CQ311" i="1"/>
  <c r="CQ308" i="1"/>
  <c r="CQ306" i="1"/>
  <c r="CQ312" i="1"/>
  <c r="CQ301" i="1"/>
  <c r="CQ300" i="1"/>
  <c r="CQ299" i="1"/>
  <c r="CQ297" i="1"/>
  <c r="CQ295" i="1"/>
  <c r="CQ303" i="1"/>
  <c r="CQ302" i="1"/>
  <c r="CQ296" i="1"/>
  <c r="CQ304" i="1"/>
  <c r="CQ313" i="1"/>
  <c r="CQ314" i="1"/>
  <c r="CQ322" i="1"/>
  <c r="CQ315" i="1"/>
  <c r="CQ323" i="1"/>
  <c r="CQ325" i="1"/>
  <c r="CQ324" i="1"/>
  <c r="CQ317" i="1"/>
  <c r="CQ319" i="1"/>
  <c r="CQ316" i="1"/>
  <c r="CQ320" i="1"/>
  <c r="CQ321" i="1"/>
  <c r="CQ318" i="1"/>
  <c r="CQ328" i="1"/>
  <c r="CQ326" i="1"/>
  <c r="CQ327" i="1"/>
  <c r="CQ329" i="1"/>
  <c r="CQ330" i="1"/>
  <c r="CQ334" i="1"/>
  <c r="CQ333" i="1"/>
  <c r="CQ331" i="1"/>
  <c r="CQ332" i="1"/>
  <c r="CQ336" i="1"/>
  <c r="CQ335" i="1"/>
  <c r="CQ339" i="1"/>
  <c r="CQ338" i="1"/>
  <c r="CQ342" i="1"/>
  <c r="CQ343" i="1"/>
  <c r="CQ337" i="1"/>
  <c r="CQ341" i="1"/>
  <c r="CQ340" i="1"/>
  <c r="CQ344" i="1"/>
  <c r="CQ345" i="1"/>
  <c r="CQ346" i="1"/>
  <c r="CQ347" i="1"/>
  <c r="CQ350" i="1"/>
  <c r="CQ348" i="1"/>
  <c r="CQ349" i="1"/>
  <c r="CQ357" i="1"/>
  <c r="CQ354" i="1"/>
  <c r="CQ355" i="1"/>
  <c r="CQ353" i="1"/>
  <c r="CQ351" i="1"/>
  <c r="CQ356" i="1"/>
  <c r="CQ352"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AV3484" i="31"/>
  <c r="AU3484" i="31"/>
  <c r="AT3484" i="31" s="1"/>
  <c r="AS3485" i="31"/>
  <c r="AM3485" i="31"/>
  <c r="AL3485" i="31"/>
  <c r="B3486" i="3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12" i="1" l="1"/>
  <c r="CI12" i="1" s="1"/>
  <c r="CJ13" i="1"/>
  <c r="CI13" i="1" s="1"/>
  <c r="CJ14" i="1"/>
  <c r="CI14" i="1" s="1"/>
  <c r="CJ15" i="1"/>
  <c r="CI15" i="1" s="1"/>
  <c r="CJ11" i="1"/>
  <c r="CI11" i="1" s="1"/>
  <c r="CJ10" i="1"/>
  <c r="CI10" i="1" s="1"/>
  <c r="CJ16" i="1"/>
  <c r="CI16" i="1" s="1"/>
  <c r="CJ25" i="1"/>
  <c r="CJ20" i="1"/>
  <c r="CJ31" i="1"/>
  <c r="CJ26" i="1"/>
  <c r="CJ21" i="1"/>
  <c r="CJ32" i="1"/>
  <c r="CJ27" i="1"/>
  <c r="CJ22" i="1"/>
  <c r="CJ33" i="1"/>
  <c r="CJ17" i="1"/>
  <c r="CJ28" i="1"/>
  <c r="CJ23" i="1"/>
  <c r="CJ34" i="1"/>
  <c r="CJ18" i="1"/>
  <c r="CJ29" i="1"/>
  <c r="CJ24" i="1"/>
  <c r="CJ35" i="1"/>
  <c r="CJ19" i="1"/>
  <c r="CJ30" i="1"/>
  <c r="CJ56" i="1"/>
  <c r="CJ92" i="1"/>
  <c r="CJ68" i="1"/>
  <c r="CJ140" i="1"/>
  <c r="CJ100" i="1"/>
  <c r="CJ116" i="1"/>
  <c r="CJ119" i="1"/>
  <c r="CJ179" i="1"/>
  <c r="CJ184" i="1"/>
  <c r="CJ216" i="1"/>
  <c r="CJ201" i="1"/>
  <c r="CJ230" i="1"/>
  <c r="CJ254" i="1"/>
  <c r="CJ268" i="1"/>
  <c r="CJ287" i="1"/>
  <c r="CJ308" i="1"/>
  <c r="CJ306" i="1"/>
  <c r="CJ327" i="1"/>
  <c r="CJ344" i="1"/>
  <c r="CJ224" i="1"/>
  <c r="CJ143" i="1"/>
  <c r="CJ69" i="1"/>
  <c r="CJ170" i="1"/>
  <c r="CJ291" i="1"/>
  <c r="CJ352" i="1"/>
  <c r="CJ323" i="1"/>
  <c r="CJ87" i="1"/>
  <c r="CJ183" i="1"/>
  <c r="CJ272" i="1"/>
  <c r="CJ38" i="1"/>
  <c r="CJ61" i="1"/>
  <c r="CJ81" i="1"/>
  <c r="CJ65" i="1"/>
  <c r="CJ136" i="1"/>
  <c r="CJ115" i="1"/>
  <c r="CJ112" i="1"/>
  <c r="CJ113" i="1"/>
  <c r="CJ173" i="1"/>
  <c r="CJ180" i="1"/>
  <c r="CJ214" i="1"/>
  <c r="CJ221" i="1"/>
  <c r="CJ231" i="1"/>
  <c r="CJ250" i="1"/>
  <c r="CJ264" i="1"/>
  <c r="CJ282" i="1"/>
  <c r="CJ301" i="1"/>
  <c r="CJ314" i="1"/>
  <c r="CJ330" i="1"/>
  <c r="CJ345" i="1"/>
  <c r="CJ293" i="1"/>
  <c r="CJ42" i="1"/>
  <c r="CJ197" i="1"/>
  <c r="CJ289" i="1"/>
  <c r="CJ226" i="1"/>
  <c r="CJ57" i="1"/>
  <c r="CJ99" i="1"/>
  <c r="CJ79" i="1"/>
  <c r="CJ118" i="1"/>
  <c r="CJ157" i="1"/>
  <c r="CJ111" i="1"/>
  <c r="CJ110" i="1"/>
  <c r="CJ178" i="1"/>
  <c r="CJ191" i="1"/>
  <c r="CJ212" i="1"/>
  <c r="CJ219" i="1"/>
  <c r="CJ241" i="1"/>
  <c r="CJ248" i="1"/>
  <c r="CJ269" i="1"/>
  <c r="CJ280" i="1"/>
  <c r="CJ299" i="1"/>
  <c r="CJ313" i="1"/>
  <c r="CJ329" i="1"/>
  <c r="CJ347" i="1"/>
  <c r="CJ8" i="1"/>
  <c r="CJ213" i="1"/>
  <c r="CJ93" i="1"/>
  <c r="CJ165" i="1"/>
  <c r="CJ211" i="1"/>
  <c r="CJ252" i="1"/>
  <c r="CJ305" i="1"/>
  <c r="CJ354" i="1"/>
  <c r="CJ60" i="1"/>
  <c r="CJ278" i="1"/>
  <c r="CJ62" i="1"/>
  <c r="CJ95" i="1"/>
  <c r="CJ91" i="1"/>
  <c r="CJ106" i="1"/>
  <c r="CJ145" i="1"/>
  <c r="CJ102" i="1"/>
  <c r="CJ109" i="1"/>
  <c r="CJ174" i="1"/>
  <c r="CJ186" i="1"/>
  <c r="CJ210" i="1"/>
  <c r="CJ217" i="1"/>
  <c r="CJ237" i="1"/>
  <c r="CJ246" i="1"/>
  <c r="CJ270" i="1"/>
  <c r="CJ281" i="1"/>
  <c r="CJ297" i="1"/>
  <c r="CJ325" i="1"/>
  <c r="CJ334" i="1"/>
  <c r="CJ346" i="1"/>
  <c r="CJ275" i="1"/>
  <c r="CJ51" i="1"/>
  <c r="CJ172" i="1"/>
  <c r="CJ245" i="1"/>
  <c r="CJ322" i="1"/>
  <c r="CJ40" i="1"/>
  <c r="CJ161" i="1"/>
  <c r="CJ321" i="1"/>
  <c r="CJ43" i="1"/>
  <c r="CJ101" i="1"/>
  <c r="CJ202" i="1"/>
  <c r="CJ311" i="1"/>
  <c r="CJ58" i="1"/>
  <c r="CJ86" i="1"/>
  <c r="CJ83" i="1"/>
  <c r="CJ130" i="1"/>
  <c r="CJ141" i="1"/>
  <c r="CJ155" i="1"/>
  <c r="CJ103" i="1"/>
  <c r="CJ168" i="1"/>
  <c r="CJ187" i="1"/>
  <c r="CJ208" i="1"/>
  <c r="CJ218" i="1"/>
  <c r="CJ238" i="1"/>
  <c r="CJ259" i="1"/>
  <c r="CJ266" i="1"/>
  <c r="CJ285" i="1"/>
  <c r="CJ300" i="1"/>
  <c r="CJ324" i="1"/>
  <c r="CJ333" i="1"/>
  <c r="CJ350" i="1"/>
  <c r="CJ318" i="1"/>
  <c r="CJ274" i="1"/>
  <c r="CJ84" i="1"/>
  <c r="CJ142" i="1"/>
  <c r="CJ261" i="1"/>
  <c r="CJ44" i="1"/>
  <c r="CJ54" i="1"/>
  <c r="CJ78" i="1"/>
  <c r="CJ88" i="1"/>
  <c r="CJ129" i="1"/>
  <c r="CJ138" i="1"/>
  <c r="CJ154" i="1"/>
  <c r="CJ105" i="1"/>
  <c r="CJ176" i="1"/>
  <c r="CJ189" i="1"/>
  <c r="CJ206" i="1"/>
  <c r="CJ220" i="1"/>
  <c r="CJ239" i="1"/>
  <c r="CJ255" i="1"/>
  <c r="CJ271" i="1"/>
  <c r="CJ284" i="1"/>
  <c r="CJ295" i="1"/>
  <c r="CJ317" i="1"/>
  <c r="CJ331" i="1"/>
  <c r="CJ349" i="1"/>
  <c r="CJ343" i="1"/>
  <c r="CJ96" i="1"/>
  <c r="CJ356" i="1"/>
  <c r="CJ94" i="1"/>
  <c r="CJ150" i="1"/>
  <c r="CJ273" i="1"/>
  <c r="CJ121" i="1"/>
  <c r="CJ63" i="1"/>
  <c r="CJ74" i="1"/>
  <c r="CJ85" i="1"/>
  <c r="CJ128" i="1"/>
  <c r="CJ135" i="1"/>
  <c r="CJ153" i="1"/>
  <c r="CJ104" i="1"/>
  <c r="CJ175" i="1"/>
  <c r="CJ190" i="1"/>
  <c r="CJ204" i="1"/>
  <c r="CJ223" i="1"/>
  <c r="CJ236" i="1"/>
  <c r="CJ251" i="1"/>
  <c r="CJ267" i="1"/>
  <c r="CJ286" i="1"/>
  <c r="CJ303" i="1"/>
  <c r="CJ319" i="1"/>
  <c r="CJ332" i="1"/>
  <c r="CJ348" i="1"/>
  <c r="CJ235" i="1"/>
  <c r="CJ75" i="1"/>
  <c r="CJ342" i="1"/>
  <c r="CJ50" i="1"/>
  <c r="CJ244" i="1"/>
  <c r="CJ131" i="1"/>
  <c r="CJ41" i="1"/>
  <c r="CJ49" i="1"/>
  <c r="CJ59" i="1"/>
  <c r="CJ73" i="1"/>
  <c r="CJ82" i="1"/>
  <c r="CJ127" i="1"/>
  <c r="CJ134" i="1"/>
  <c r="CJ152" i="1"/>
  <c r="CJ117" i="1"/>
  <c r="CJ177" i="1"/>
  <c r="CJ188" i="1"/>
  <c r="CJ200" i="1"/>
  <c r="CJ222" i="1"/>
  <c r="CJ240" i="1"/>
  <c r="CJ247" i="1"/>
  <c r="CJ265" i="1"/>
  <c r="CJ283" i="1"/>
  <c r="CJ302" i="1"/>
  <c r="CJ316" i="1"/>
  <c r="CJ335" i="1"/>
  <c r="CJ355" i="1"/>
  <c r="CJ256" i="1"/>
  <c r="CJ124" i="1"/>
  <c r="CJ227" i="1"/>
  <c r="CJ310" i="1"/>
  <c r="CJ209" i="1"/>
  <c r="CJ341" i="1"/>
  <c r="CJ36" i="1"/>
  <c r="CJ39" i="1"/>
  <c r="CJ47" i="1"/>
  <c r="CJ55" i="1"/>
  <c r="CJ71" i="1"/>
  <c r="CJ80" i="1"/>
  <c r="CJ126" i="1"/>
  <c r="CJ132" i="1"/>
  <c r="CJ147" i="1"/>
  <c r="CJ167" i="1"/>
  <c r="CJ171" i="1"/>
  <c r="CJ193" i="1"/>
  <c r="CJ215" i="1"/>
  <c r="CJ225" i="1"/>
  <c r="CJ234" i="1"/>
  <c r="CJ260" i="1"/>
  <c r="CJ263" i="1"/>
  <c r="CJ294" i="1"/>
  <c r="CJ296" i="1"/>
  <c r="CJ320" i="1"/>
  <c r="CJ336" i="1"/>
  <c r="CJ353" i="1"/>
  <c r="CJ192" i="1"/>
  <c r="CJ304" i="1"/>
  <c r="CJ351" i="1"/>
  <c r="CJ158" i="1"/>
  <c r="CJ122" i="1"/>
  <c r="CJ196" i="1"/>
  <c r="CJ340" i="1"/>
  <c r="CJ307" i="1"/>
  <c r="CJ46" i="1"/>
  <c r="CJ258" i="1"/>
  <c r="CJ48" i="1"/>
  <c r="CJ98" i="1"/>
  <c r="CJ97" i="1"/>
  <c r="CJ77" i="1"/>
  <c r="CJ125" i="1"/>
  <c r="CJ108" i="1"/>
  <c r="CJ144" i="1"/>
  <c r="CJ166" i="1"/>
  <c r="CJ169" i="1"/>
  <c r="CJ37" i="1"/>
  <c r="CJ53" i="1"/>
  <c r="CJ67" i="1"/>
  <c r="CJ90" i="1"/>
  <c r="CJ159" i="1"/>
  <c r="CJ120" i="1"/>
  <c r="CJ148" i="1"/>
  <c r="CJ137" i="1"/>
  <c r="CJ162" i="1"/>
  <c r="CJ185" i="1"/>
  <c r="CJ194" i="1"/>
  <c r="CJ207" i="1"/>
  <c r="CJ229" i="1"/>
  <c r="CJ242" i="1"/>
  <c r="CJ257" i="1"/>
  <c r="CJ277" i="1"/>
  <c r="CJ292" i="1"/>
  <c r="CJ309" i="1"/>
  <c r="CJ315" i="1"/>
  <c r="CJ339" i="1"/>
  <c r="CJ357" i="1"/>
  <c r="CJ52" i="1"/>
  <c r="CJ66" i="1"/>
  <c r="CJ76" i="1"/>
  <c r="CJ156" i="1"/>
  <c r="CJ114" i="1"/>
  <c r="CJ146" i="1"/>
  <c r="CJ133" i="1"/>
  <c r="CJ163" i="1"/>
  <c r="CJ181" i="1"/>
  <c r="CJ195" i="1"/>
  <c r="CJ205" i="1"/>
  <c r="CJ228" i="1"/>
  <c r="CJ243" i="1"/>
  <c r="CJ253" i="1"/>
  <c r="CJ276" i="1"/>
  <c r="CJ290" i="1"/>
  <c r="CJ337" i="1"/>
  <c r="CJ70" i="1"/>
  <c r="CJ164" i="1"/>
  <c r="CJ198" i="1"/>
  <c r="CJ232" i="1"/>
  <c r="CJ312" i="1"/>
  <c r="CJ45" i="1"/>
  <c r="CJ64" i="1"/>
  <c r="CJ89" i="1"/>
  <c r="CJ72" i="1"/>
  <c r="CJ151" i="1"/>
  <c r="CJ107" i="1"/>
  <c r="CJ139" i="1"/>
  <c r="CJ123" i="1"/>
  <c r="CJ160" i="1"/>
  <c r="CJ182" i="1"/>
  <c r="CJ199" i="1"/>
  <c r="CJ203" i="1"/>
  <c r="CJ233" i="1"/>
  <c r="CJ262" i="1"/>
  <c r="CJ249" i="1"/>
  <c r="CJ279" i="1"/>
  <c r="CJ288" i="1"/>
  <c r="CJ298" i="1"/>
  <c r="CJ328" i="1"/>
  <c r="CJ338" i="1"/>
  <c r="CJ9" i="1"/>
  <c r="CJ149" i="1"/>
  <c r="CJ326" i="1"/>
  <c r="T3455" i="31" a="1"/>
  <c r="T3455" i="31" s="1"/>
  <c r="T3456" i="31" a="1"/>
  <c r="T3456" i="31" s="1"/>
  <c r="T3457" i="31" a="1"/>
  <c r="T3457" i="31" s="1"/>
  <c r="T3458" i="31" a="1"/>
  <c r="T3458" i="31" s="1"/>
  <c r="T3459" i="31" a="1"/>
  <c r="T3459" i="31" s="1"/>
  <c r="T3460" i="31" a="1"/>
  <c r="T3460" i="31" s="1"/>
  <c r="T3461" i="31" a="1"/>
  <c r="T3461" i="31" s="1"/>
  <c r="T3462" i="31" a="1"/>
  <c r="T3462" i="31" s="1"/>
  <c r="T3463" i="31" a="1"/>
  <c r="T3463" i="31" s="1"/>
  <c r="T3464" i="31" a="1"/>
  <c r="T3464" i="31" s="1"/>
  <c r="T3465" i="31" a="1"/>
  <c r="T3465" i="31" s="1"/>
  <c r="T3466" i="31" a="1"/>
  <c r="T3466" i="31" s="1"/>
  <c r="T3467" i="31" a="1"/>
  <c r="T3467" i="31" s="1"/>
  <c r="T3468" i="31" a="1"/>
  <c r="T3468" i="31" s="1"/>
  <c r="T3469" i="31" a="1"/>
  <c r="T3469" i="31" s="1"/>
  <c r="T3470" i="31" a="1"/>
  <c r="T3470" i="31" s="1"/>
  <c r="T3471" i="31" a="1"/>
  <c r="T3471" i="31" s="1"/>
  <c r="T3472" i="31" a="1"/>
  <c r="T3472" i="31" s="1"/>
  <c r="T3473" i="31" a="1"/>
  <c r="T3473" i="31" s="1"/>
  <c r="T3474" i="31" a="1"/>
  <c r="T3474" i="31" s="1"/>
  <c r="T3475" i="31" a="1"/>
  <c r="T3475" i="31" s="1"/>
  <c r="T3476" i="31" a="1"/>
  <c r="T3476" i="31" s="1"/>
  <c r="T3477" i="31" a="1"/>
  <c r="T3477" i="31" s="1"/>
  <c r="T3478" i="31" a="1"/>
  <c r="T3478" i="31" s="1"/>
  <c r="T3479" i="31" a="1"/>
  <c r="T3479" i="31" s="1"/>
  <c r="T3480" i="31" a="1"/>
  <c r="T3480" i="31" s="1"/>
  <c r="T3481" i="31" a="1"/>
  <c r="T3481" i="31" s="1"/>
  <c r="T3482" i="31" a="1"/>
  <c r="T3482" i="31" s="1"/>
  <c r="T3483" i="31" a="1"/>
  <c r="T3483" i="31" s="1"/>
  <c r="T3484" i="31" a="1"/>
  <c r="T3484" i="31" s="1"/>
  <c r="T3485" i="31" a="1"/>
  <c r="T3485" i="31" s="1"/>
  <c r="AS3486" i="31"/>
  <c r="AM3486" i="31"/>
  <c r="AL3486" i="31"/>
  <c r="T3486" i="31" a="1"/>
  <c r="T3486" i="31" s="1"/>
  <c r="B3487" i="31"/>
  <c r="AV3485" i="31"/>
  <c r="AU3485" i="31" s="1"/>
  <c r="AT3485" i="31" s="1"/>
  <c r="BF36" i="10"/>
  <c r="I24" i="10" s="1"/>
  <c r="B24" i="31"/>
  <c r="AS24" i="31" s="1"/>
  <c r="AU24" i="31" s="1"/>
  <c r="AL23" i="31"/>
  <c r="AM23" i="31"/>
  <c r="AV23" i="31"/>
  <c r="AT23" i="31" s="1"/>
  <c r="T11" i="31"/>
  <c r="BJ41" i="10"/>
  <c r="T3526" i="31" a="1"/>
  <c r="T3526" i="31" s="1"/>
  <c r="J21" i="10"/>
  <c r="T3533" i="31" a="1"/>
  <c r="T3533" i="31" s="1"/>
  <c r="CL3" i="10"/>
  <c r="T3" i="31"/>
  <c r="BJ40" i="10"/>
  <c r="T20" i="31" a="1"/>
  <c r="T20" i="31" s="1"/>
  <c r="T3519" i="31" a="1"/>
  <c r="T3519" i="31" s="1"/>
  <c r="T22" i="31" a="1"/>
  <c r="T22" i="31" s="1"/>
  <c r="Y10" i="31"/>
  <c r="T3528" i="31" a="1"/>
  <c r="T3528" i="31" s="1"/>
  <c r="T19" i="31" a="1"/>
  <c r="T19" i="31" s="1"/>
  <c r="BJ29" i="10"/>
  <c r="A6" i="10" s="1"/>
  <c r="T3522" i="31" a="1"/>
  <c r="T3522" i="31" s="1"/>
  <c r="T3534" i="31" a="1"/>
  <c r="T3534" i="31" s="1"/>
  <c r="T3529" i="31" a="1"/>
  <c r="T3529" i="31" s="1"/>
  <c r="T3523" i="31" a="1"/>
  <c r="T3523" i="31" s="1"/>
  <c r="BV5" i="1"/>
  <c r="CA5" i="1"/>
  <c r="BZ5" i="1"/>
  <c r="BY5" i="1"/>
  <c r="BW5" i="1"/>
  <c r="T17" i="31" a="1"/>
  <c r="T17" i="31" s="1"/>
  <c r="T3520" i="31" a="1"/>
  <c r="T3520" i="31" s="1"/>
  <c r="T23" i="31" a="1"/>
  <c r="T23" i="31" s="1"/>
  <c r="T18" i="31" a="1"/>
  <c r="T18" i="31" s="1"/>
  <c r="T7" i="31"/>
  <c r="T3527" i="31" a="1"/>
  <c r="T3527" i="31" s="1"/>
  <c r="T3524" i="31" a="1"/>
  <c r="T3524" i="31" s="1"/>
  <c r="T3525" i="31" a="1"/>
  <c r="T3525" i="31" s="1"/>
  <c r="Y9" i="31"/>
  <c r="T21" i="31" a="1"/>
  <c r="T21" i="31" s="1"/>
  <c r="T3521" i="31" a="1"/>
  <c r="T3521" i="31" s="1"/>
  <c r="CC5" i="1"/>
  <c r="BJ33" i="10"/>
  <c r="BF28" i="10"/>
  <c r="BE27" i="10" s="1"/>
  <c r="BF10" i="10"/>
  <c r="BH39" i="10" s="1"/>
  <c r="BH28" i="10"/>
  <c r="BS5" i="1"/>
  <c r="CB5" i="1"/>
  <c r="BX5" i="1"/>
  <c r="BT5" i="1"/>
  <c r="CD5" i="1"/>
  <c r="T5" i="31"/>
  <c r="T3530" i="31" a="1"/>
  <c r="T3530" i="31" s="1"/>
  <c r="T3532" i="31" a="1"/>
  <c r="T3532" i="31" s="1"/>
  <c r="T3531" i="31" a="1"/>
  <c r="T353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BY13" i="1" l="1"/>
  <c r="BX13" i="1"/>
  <c r="BW13" i="1"/>
  <c r="BV13" i="1"/>
  <c r="BU13" i="1"/>
  <c r="BT13" i="1"/>
  <c r="BS13" i="1"/>
  <c r="CH13" i="1"/>
  <c r="CF13" i="1"/>
  <c r="CE13" i="1" s="1"/>
  <c r="CD13" i="1"/>
  <c r="CC13" i="1"/>
  <c r="CB13" i="1"/>
  <c r="CA13" i="1"/>
  <c r="BZ13" i="1"/>
  <c r="BV12" i="1"/>
  <c r="BU12" i="1"/>
  <c r="BT12" i="1"/>
  <c r="BS12" i="1"/>
  <c r="CH12" i="1"/>
  <c r="CF12" i="1"/>
  <c r="CE12" i="1" s="1"/>
  <c r="CD12" i="1"/>
  <c r="CC12" i="1"/>
  <c r="BW12" i="1"/>
  <c r="CB12" i="1"/>
  <c r="CA12" i="1"/>
  <c r="BZ12" i="1"/>
  <c r="BY12" i="1"/>
  <c r="BX12" i="1"/>
  <c r="CH16" i="1"/>
  <c r="CF16" i="1"/>
  <c r="CE16" i="1" s="1"/>
  <c r="CD16" i="1"/>
  <c r="CC16" i="1"/>
  <c r="CB16" i="1"/>
  <c r="CA16" i="1"/>
  <c r="BZ16" i="1"/>
  <c r="BY16" i="1"/>
  <c r="BX16" i="1"/>
  <c r="BW16" i="1"/>
  <c r="BV16" i="1"/>
  <c r="BU16" i="1"/>
  <c r="BS16" i="1"/>
  <c r="BT16" i="1"/>
  <c r="CF10" i="1"/>
  <c r="CE10" i="1" s="1"/>
  <c r="CD10" i="1"/>
  <c r="CC10" i="1"/>
  <c r="CB10" i="1"/>
  <c r="CA10" i="1"/>
  <c r="BZ10" i="1"/>
  <c r="BY10" i="1"/>
  <c r="BX10" i="1"/>
  <c r="BW10" i="1"/>
  <c r="BV10" i="1"/>
  <c r="BU10" i="1"/>
  <c r="BT10" i="1"/>
  <c r="BS10" i="1"/>
  <c r="CH10" i="1"/>
  <c r="BS11" i="1"/>
  <c r="CH11" i="1"/>
  <c r="CF11" i="1"/>
  <c r="CE11" i="1" s="1"/>
  <c r="CD11" i="1"/>
  <c r="CC11" i="1"/>
  <c r="CB11" i="1"/>
  <c r="CA11" i="1"/>
  <c r="BZ11" i="1"/>
  <c r="BY11" i="1"/>
  <c r="BX11" i="1"/>
  <c r="BW11" i="1"/>
  <c r="BT11" i="1"/>
  <c r="BV11" i="1"/>
  <c r="BU11" i="1"/>
  <c r="CD15" i="1"/>
  <c r="CC15" i="1"/>
  <c r="CB15" i="1"/>
  <c r="CA15" i="1"/>
  <c r="BZ15" i="1"/>
  <c r="BY15" i="1"/>
  <c r="BX15" i="1"/>
  <c r="CF15" i="1"/>
  <c r="CE15" i="1" s="1"/>
  <c r="BW15" i="1"/>
  <c r="BV15" i="1"/>
  <c r="BU15" i="1"/>
  <c r="BT15" i="1"/>
  <c r="BS15" i="1"/>
  <c r="CH15" i="1"/>
  <c r="CB14" i="1"/>
  <c r="CA14" i="1"/>
  <c r="BZ14" i="1"/>
  <c r="BY14" i="1"/>
  <c r="BX14" i="1"/>
  <c r="BW14" i="1"/>
  <c r="CC14" i="1"/>
  <c r="BV14" i="1"/>
  <c r="BU14" i="1"/>
  <c r="BT14" i="1"/>
  <c r="BS14" i="1"/>
  <c r="CH14" i="1"/>
  <c r="CF14" i="1"/>
  <c r="CE14" i="1" s="1"/>
  <c r="CD14" i="1"/>
  <c r="U3455" i="31"/>
  <c r="U3456" i="31"/>
  <c r="U3457" i="31"/>
  <c r="U3458" i="31"/>
  <c r="U3459" i="31"/>
  <c r="U3460" i="31"/>
  <c r="U3461" i="31"/>
  <c r="U3462" i="31"/>
  <c r="U3463" i="31"/>
  <c r="U3464" i="31"/>
  <c r="U3465" i="31"/>
  <c r="U3466" i="31"/>
  <c r="U3467" i="31"/>
  <c r="U3468" i="31"/>
  <c r="U3469" i="31"/>
  <c r="U3470" i="31"/>
  <c r="U3471" i="31"/>
  <c r="U3472" i="31"/>
  <c r="U3473" i="31"/>
  <c r="U3474" i="31"/>
  <c r="U3475" i="31"/>
  <c r="U3476" i="31"/>
  <c r="U3477" i="31"/>
  <c r="U3478" i="31"/>
  <c r="U3479" i="31"/>
  <c r="U3480" i="31"/>
  <c r="U3481" i="31"/>
  <c r="U3482" i="31"/>
  <c r="U3483" i="31"/>
  <c r="U3484" i="31"/>
  <c r="U3485" i="31"/>
  <c r="U3486" i="31"/>
  <c r="AM3487" i="31"/>
  <c r="AL3487" i="31"/>
  <c r="T3487" i="31" a="1"/>
  <c r="T3487" i="31" s="1"/>
  <c r="U3487" i="31" s="1"/>
  <c r="B3488" i="31"/>
  <c r="AS3487" i="31"/>
  <c r="AV3486" i="31"/>
  <c r="AU3486" i="31"/>
  <c r="AT3486" i="31" s="1"/>
  <c r="AV24" i="31"/>
  <c r="AT24" i="31" s="1"/>
  <c r="T24" i="31" a="1"/>
  <c r="T24" i="31" s="1"/>
  <c r="U24" i="31" s="1"/>
  <c r="AL24" i="31"/>
  <c r="AM24" i="31"/>
  <c r="B25" i="31"/>
  <c r="AS25" i="31" s="1"/>
  <c r="AU25" i="31" s="1"/>
  <c r="Y7" i="31"/>
  <c r="U3531" i="31"/>
  <c r="U3533" i="31"/>
  <c r="U3532" i="31"/>
  <c r="U3530" i="31"/>
  <c r="BF15" i="10"/>
  <c r="B33" i="10" s="1"/>
  <c r="BJ38" i="10"/>
  <c r="BJ39" i="10"/>
  <c r="AD12" i="31"/>
  <c r="J10" i="31" s="1"/>
  <c r="AR351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23" i="31"/>
  <c r="U18" i="31"/>
  <c r="U3529" i="31"/>
  <c r="U3527" i="31"/>
  <c r="U3526" i="31"/>
  <c r="U3534" i="31"/>
  <c r="U21" i="31"/>
  <c r="FG23" i="10"/>
  <c r="EB23" i="10"/>
  <c r="U3524" i="31"/>
  <c r="U20" i="31"/>
  <c r="GE25" i="10"/>
  <c r="T8" i="31"/>
  <c r="U3521" i="31"/>
  <c r="U22" i="31"/>
  <c r="U3519" i="31"/>
  <c r="U17" i="31"/>
  <c r="U19" i="31"/>
  <c r="U3522" i="31"/>
  <c r="Y8" i="31"/>
  <c r="Y6" i="31"/>
  <c r="Y5" i="31"/>
  <c r="U3528" i="31"/>
  <c r="U3520" i="31"/>
  <c r="U352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R14" i="1" l="1"/>
  <c r="CG14" i="1"/>
  <c r="BQ14" i="1"/>
  <c r="BR14" i="1" s="1"/>
  <c r="BO14" i="1"/>
  <c r="BP14" i="1" s="1"/>
  <c r="CG16" i="1"/>
  <c r="CR16" i="1"/>
  <c r="CG11" i="1"/>
  <c r="CR11" i="1"/>
  <c r="BQ11" i="1"/>
  <c r="BR11" i="1" s="1"/>
  <c r="BO11" i="1"/>
  <c r="BP11" i="1" s="1"/>
  <c r="BQ16" i="1"/>
  <c r="BR16" i="1" s="1"/>
  <c r="BO16" i="1"/>
  <c r="BP16" i="1" s="1"/>
  <c r="CR10" i="1"/>
  <c r="CG10" i="1"/>
  <c r="CG13" i="1"/>
  <c r="CR13" i="1"/>
  <c r="BO10" i="1"/>
  <c r="BP10" i="1" s="1"/>
  <c r="BQ10" i="1"/>
  <c r="BR10" i="1" s="1"/>
  <c r="BQ13" i="1"/>
  <c r="BR13" i="1" s="1"/>
  <c r="BO13" i="1"/>
  <c r="BP13" i="1" s="1"/>
  <c r="CR15" i="1"/>
  <c r="CG15" i="1"/>
  <c r="BO15" i="1"/>
  <c r="BP15" i="1" s="1"/>
  <c r="BQ15" i="1"/>
  <c r="BR15" i="1" s="1"/>
  <c r="CG12" i="1"/>
  <c r="CR12" i="1"/>
  <c r="BQ12" i="1"/>
  <c r="BR12" i="1" s="1"/>
  <c r="BO12" i="1"/>
  <c r="BP12" i="1" s="1"/>
  <c r="CN13" i="1"/>
  <c r="CN14" i="1"/>
  <c r="CN15" i="1"/>
  <c r="CN10" i="1"/>
  <c r="CN16" i="1"/>
  <c r="CN11" i="1"/>
  <c r="CN12" i="1"/>
  <c r="CN21" i="1"/>
  <c r="CI21" i="1" s="1"/>
  <c r="CN32" i="1"/>
  <c r="CI32" i="1" s="1"/>
  <c r="CN27" i="1"/>
  <c r="CI27" i="1" s="1"/>
  <c r="CN22" i="1"/>
  <c r="CI22" i="1" s="1"/>
  <c r="CN33" i="1"/>
  <c r="CI33" i="1" s="1"/>
  <c r="CN17" i="1"/>
  <c r="CI17" i="1" s="1"/>
  <c r="CN28" i="1"/>
  <c r="CI28" i="1" s="1"/>
  <c r="CN23" i="1"/>
  <c r="CI23" i="1" s="1"/>
  <c r="CN34" i="1"/>
  <c r="CI34" i="1" s="1"/>
  <c r="CN18" i="1"/>
  <c r="CI18" i="1" s="1"/>
  <c r="CN29" i="1"/>
  <c r="CI29" i="1" s="1"/>
  <c r="CN24" i="1"/>
  <c r="CI24" i="1" s="1"/>
  <c r="CN35" i="1"/>
  <c r="CI35" i="1" s="1"/>
  <c r="CN19" i="1"/>
  <c r="CI19" i="1" s="1"/>
  <c r="CN30" i="1"/>
  <c r="CI30" i="1" s="1"/>
  <c r="CN25" i="1"/>
  <c r="CI25" i="1" s="1"/>
  <c r="CN20" i="1"/>
  <c r="CI20" i="1" s="1"/>
  <c r="CN31" i="1"/>
  <c r="CI31" i="1" s="1"/>
  <c r="CN26" i="1"/>
  <c r="CI26" i="1" s="1"/>
  <c r="CN43" i="1"/>
  <c r="CI43" i="1" s="1"/>
  <c r="CN38" i="1"/>
  <c r="CI38" i="1" s="1"/>
  <c r="CN44" i="1"/>
  <c r="CI44" i="1" s="1"/>
  <c r="CN39" i="1"/>
  <c r="CI39" i="1" s="1"/>
  <c r="CN41" i="1"/>
  <c r="CI41" i="1" s="1"/>
  <c r="CN37" i="1"/>
  <c r="CI37" i="1" s="1"/>
  <c r="CN45" i="1"/>
  <c r="CI45" i="1" s="1"/>
  <c r="CN40" i="1"/>
  <c r="CI40" i="1" s="1"/>
  <c r="CN46" i="1"/>
  <c r="CI46" i="1" s="1"/>
  <c r="CN36" i="1"/>
  <c r="CI36" i="1" s="1"/>
  <c r="CN42" i="1"/>
  <c r="CI42" i="1" s="1"/>
  <c r="AV3487" i="31"/>
  <c r="AU3487" i="31" s="1"/>
  <c r="AT3487" i="31" s="1"/>
  <c r="AM3488" i="31"/>
  <c r="AL3488" i="31"/>
  <c r="T3488" i="31" a="1"/>
  <c r="T3488" i="31" s="1"/>
  <c r="U3488" i="31" s="1"/>
  <c r="B3489" i="31"/>
  <c r="AS3488" i="31"/>
  <c r="CN47" i="1"/>
  <c r="CI47" i="1" s="1"/>
  <c r="CN48" i="1"/>
  <c r="CI48" i="1" s="1"/>
  <c r="CN49" i="1"/>
  <c r="CI49" i="1" s="1"/>
  <c r="CN50" i="1"/>
  <c r="CI50" i="1" s="1"/>
  <c r="CN51" i="1"/>
  <c r="CI51" i="1" s="1"/>
  <c r="CN52" i="1"/>
  <c r="CI52" i="1" s="1"/>
  <c r="CN53" i="1"/>
  <c r="CI53" i="1" s="1"/>
  <c r="CN61" i="1"/>
  <c r="CI61" i="1" s="1"/>
  <c r="CN57" i="1"/>
  <c r="CI57" i="1" s="1"/>
  <c r="CN62" i="1"/>
  <c r="CI62" i="1" s="1"/>
  <c r="CN58" i="1"/>
  <c r="CI58" i="1" s="1"/>
  <c r="CN54" i="1"/>
  <c r="CI54" i="1" s="1"/>
  <c r="CN63" i="1"/>
  <c r="CI63" i="1" s="1"/>
  <c r="CN59" i="1"/>
  <c r="CI59" i="1" s="1"/>
  <c r="CN55" i="1"/>
  <c r="CI55" i="1" s="1"/>
  <c r="CN64" i="1"/>
  <c r="CI64" i="1" s="1"/>
  <c r="CN60" i="1"/>
  <c r="CI60" i="1" s="1"/>
  <c r="CN56" i="1"/>
  <c r="CI56" i="1" s="1"/>
  <c r="CN94" i="1"/>
  <c r="CI94" i="1" s="1"/>
  <c r="CN91" i="1"/>
  <c r="CI91" i="1" s="1"/>
  <c r="CN85" i="1"/>
  <c r="CI85" i="1" s="1"/>
  <c r="CH85" i="1" s="1"/>
  <c r="CN84" i="1"/>
  <c r="CI84" i="1" s="1"/>
  <c r="CN81" i="1"/>
  <c r="CI81" i="1" s="1"/>
  <c r="CN79" i="1"/>
  <c r="CI79" i="1" s="1"/>
  <c r="CN78" i="1"/>
  <c r="CI78" i="1" s="1"/>
  <c r="CN66" i="1"/>
  <c r="CI66" i="1" s="1"/>
  <c r="CH66" i="1" s="1"/>
  <c r="CN95" i="1"/>
  <c r="CI95" i="1" s="1"/>
  <c r="CN93" i="1"/>
  <c r="CI93" i="1" s="1"/>
  <c r="CH93" i="1" s="1"/>
  <c r="CN82" i="1"/>
  <c r="CI82" i="1" s="1"/>
  <c r="CN77" i="1"/>
  <c r="CI77" i="1" s="1"/>
  <c r="CN76" i="1"/>
  <c r="CI76" i="1" s="1"/>
  <c r="CN71" i="1"/>
  <c r="CI71" i="1" s="1"/>
  <c r="CN68" i="1"/>
  <c r="CI68" i="1" s="1"/>
  <c r="CN65" i="1"/>
  <c r="CI65" i="1" s="1"/>
  <c r="CN97" i="1"/>
  <c r="CI97" i="1" s="1"/>
  <c r="CN90" i="1"/>
  <c r="CI90" i="1" s="1"/>
  <c r="CN88" i="1"/>
  <c r="CI88" i="1" s="1"/>
  <c r="CN87" i="1"/>
  <c r="CI87" i="1" s="1"/>
  <c r="CN73" i="1"/>
  <c r="CI73" i="1" s="1"/>
  <c r="CN96" i="1"/>
  <c r="CI96" i="1" s="1"/>
  <c r="CN92" i="1"/>
  <c r="CI92" i="1" s="1"/>
  <c r="CN89" i="1"/>
  <c r="CI89" i="1" s="1"/>
  <c r="CN72" i="1"/>
  <c r="CI72" i="1" s="1"/>
  <c r="CH72" i="1" s="1"/>
  <c r="CN67" i="1"/>
  <c r="CI67" i="1" s="1"/>
  <c r="CN99" i="1"/>
  <c r="CI99" i="1" s="1"/>
  <c r="CN69" i="1"/>
  <c r="CI69" i="1" s="1"/>
  <c r="CN98" i="1"/>
  <c r="CI98" i="1" s="1"/>
  <c r="CN83" i="1"/>
  <c r="CI83" i="1" s="1"/>
  <c r="CN70" i="1"/>
  <c r="CI70" i="1" s="1"/>
  <c r="CN86" i="1"/>
  <c r="CI86" i="1" s="1"/>
  <c r="CH86" i="1" s="1"/>
  <c r="CN80" i="1"/>
  <c r="CI80" i="1" s="1"/>
  <c r="CN75" i="1"/>
  <c r="CI75" i="1" s="1"/>
  <c r="CN74" i="1"/>
  <c r="CI74" i="1" s="1"/>
  <c r="CN159" i="1"/>
  <c r="CI159" i="1" s="1"/>
  <c r="CN136" i="1"/>
  <c r="CI136" i="1" s="1"/>
  <c r="CN134" i="1"/>
  <c r="CI134" i="1" s="1"/>
  <c r="CN131" i="1"/>
  <c r="CI131" i="1" s="1"/>
  <c r="CN119" i="1"/>
  <c r="CI119" i="1" s="1"/>
  <c r="CN118" i="1"/>
  <c r="CI118" i="1" s="1"/>
  <c r="CN117" i="1"/>
  <c r="CI117" i="1" s="1"/>
  <c r="CN114" i="1"/>
  <c r="CI114" i="1" s="1"/>
  <c r="CH114" i="1" s="1"/>
  <c r="CN108" i="1"/>
  <c r="CI108" i="1" s="1"/>
  <c r="CN106" i="1"/>
  <c r="CI106" i="1" s="1"/>
  <c r="CN130" i="1"/>
  <c r="CI130" i="1" s="1"/>
  <c r="CN129" i="1"/>
  <c r="CI129" i="1" s="1"/>
  <c r="CN128" i="1"/>
  <c r="CI128" i="1" s="1"/>
  <c r="CN127" i="1"/>
  <c r="CI127" i="1" s="1"/>
  <c r="CH127" i="1" s="1"/>
  <c r="CN126" i="1"/>
  <c r="CI126" i="1" s="1"/>
  <c r="CN125" i="1"/>
  <c r="CI125" i="1" s="1"/>
  <c r="CH125" i="1" s="1"/>
  <c r="CN124" i="1"/>
  <c r="CI124" i="1" s="1"/>
  <c r="CN123" i="1"/>
  <c r="CI123" i="1" s="1"/>
  <c r="CN121" i="1"/>
  <c r="CI121" i="1" s="1"/>
  <c r="CN116" i="1"/>
  <c r="CI116" i="1" s="1"/>
  <c r="CN100" i="1"/>
  <c r="CI100" i="1" s="1"/>
  <c r="CN107" i="1"/>
  <c r="CI107" i="1" s="1"/>
  <c r="CN157" i="1"/>
  <c r="CI157" i="1" s="1"/>
  <c r="CN151" i="1"/>
  <c r="CI151" i="1" s="1"/>
  <c r="CN140" i="1"/>
  <c r="CI140" i="1" s="1"/>
  <c r="CN138" i="1"/>
  <c r="CI138" i="1" s="1"/>
  <c r="CN158" i="1"/>
  <c r="CI158" i="1" s="1"/>
  <c r="CN156" i="1"/>
  <c r="CI156" i="1" s="1"/>
  <c r="CN150" i="1"/>
  <c r="CI150" i="1" s="1"/>
  <c r="CN149" i="1"/>
  <c r="CI149" i="1" s="1"/>
  <c r="CN148" i="1"/>
  <c r="CI148" i="1" s="1"/>
  <c r="CH148" i="1" s="1"/>
  <c r="CN139" i="1"/>
  <c r="CI139" i="1" s="1"/>
  <c r="CN120" i="1"/>
  <c r="CI120" i="1" s="1"/>
  <c r="CN111" i="1"/>
  <c r="CI111" i="1" s="1"/>
  <c r="CN155" i="1"/>
  <c r="CI155" i="1" s="1"/>
  <c r="CN154" i="1"/>
  <c r="CI154" i="1" s="1"/>
  <c r="CN152" i="1"/>
  <c r="CI152" i="1" s="1"/>
  <c r="CH152" i="1" s="1"/>
  <c r="CN146" i="1"/>
  <c r="CI146" i="1" s="1"/>
  <c r="CN144" i="1"/>
  <c r="CI144" i="1" s="1"/>
  <c r="CN143" i="1"/>
  <c r="CI143" i="1" s="1"/>
  <c r="CN142" i="1"/>
  <c r="CI142" i="1" s="1"/>
  <c r="CN141" i="1"/>
  <c r="CI141" i="1" s="1"/>
  <c r="CN137" i="1"/>
  <c r="CI137" i="1" s="1"/>
  <c r="CN135" i="1"/>
  <c r="CI135" i="1" s="1"/>
  <c r="CN133" i="1"/>
  <c r="CI133" i="1" s="1"/>
  <c r="CN132" i="1"/>
  <c r="CI132" i="1" s="1"/>
  <c r="CN122" i="1"/>
  <c r="CI122" i="1" s="1"/>
  <c r="CN113" i="1"/>
  <c r="CI113" i="1" s="1"/>
  <c r="CH113" i="1" s="1"/>
  <c r="CN110" i="1"/>
  <c r="CI110" i="1" s="1"/>
  <c r="CH110" i="1" s="1"/>
  <c r="CN109" i="1"/>
  <c r="CI109" i="1" s="1"/>
  <c r="CN103" i="1"/>
  <c r="CI103" i="1" s="1"/>
  <c r="CN153" i="1"/>
  <c r="CI153" i="1" s="1"/>
  <c r="CN105" i="1"/>
  <c r="CI105" i="1" s="1"/>
  <c r="CN102" i="1"/>
  <c r="CI102" i="1" s="1"/>
  <c r="CN101" i="1"/>
  <c r="CI101" i="1" s="1"/>
  <c r="CN147" i="1"/>
  <c r="CI147" i="1" s="1"/>
  <c r="CN145" i="1"/>
  <c r="CI145" i="1" s="1"/>
  <c r="CN112" i="1"/>
  <c r="CI112" i="1" s="1"/>
  <c r="CN115" i="1"/>
  <c r="CI115" i="1" s="1"/>
  <c r="CN104" i="1"/>
  <c r="CI104" i="1" s="1"/>
  <c r="CN162" i="1"/>
  <c r="CI162" i="1" s="1"/>
  <c r="CN161" i="1"/>
  <c r="CI161" i="1" s="1"/>
  <c r="CN164" i="1"/>
  <c r="CI164" i="1" s="1"/>
  <c r="CN163" i="1"/>
  <c r="CI163" i="1" s="1"/>
  <c r="CN160" i="1"/>
  <c r="CI160" i="1" s="1"/>
  <c r="CN165" i="1"/>
  <c r="CI165" i="1" s="1"/>
  <c r="CN167" i="1"/>
  <c r="CI167" i="1" s="1"/>
  <c r="CN166" i="1"/>
  <c r="CI166" i="1" s="1"/>
  <c r="CN176" i="1"/>
  <c r="CI176" i="1" s="1"/>
  <c r="CN177" i="1"/>
  <c r="CI177" i="1" s="1"/>
  <c r="CN178" i="1"/>
  <c r="CI178" i="1" s="1"/>
  <c r="CN171" i="1"/>
  <c r="CI171" i="1" s="1"/>
  <c r="CN173" i="1"/>
  <c r="CI173" i="1" s="1"/>
  <c r="CN179" i="1"/>
  <c r="CI179" i="1" s="1"/>
  <c r="CN168" i="1"/>
  <c r="CI168" i="1" s="1"/>
  <c r="CN170" i="1"/>
  <c r="CI170" i="1" s="1"/>
  <c r="CN169" i="1"/>
  <c r="CI169" i="1" s="1"/>
  <c r="CN172" i="1"/>
  <c r="CI172" i="1" s="1"/>
  <c r="CN175" i="1"/>
  <c r="CI175" i="1" s="1"/>
  <c r="CN174" i="1"/>
  <c r="CI174" i="1" s="1"/>
  <c r="CN183" i="1"/>
  <c r="CI183" i="1" s="1"/>
  <c r="CN184" i="1"/>
  <c r="CI184" i="1" s="1"/>
  <c r="CN182" i="1"/>
  <c r="CI182" i="1" s="1"/>
  <c r="CN180" i="1"/>
  <c r="CI180" i="1" s="1"/>
  <c r="CN185" i="1"/>
  <c r="CI185" i="1" s="1"/>
  <c r="CN181" i="1"/>
  <c r="CI181" i="1" s="1"/>
  <c r="CN188" i="1"/>
  <c r="CI188" i="1" s="1"/>
  <c r="CN187" i="1"/>
  <c r="CI187" i="1" s="1"/>
  <c r="CN186" i="1"/>
  <c r="CI186" i="1" s="1"/>
  <c r="CN190" i="1"/>
  <c r="CI190" i="1" s="1"/>
  <c r="CN189" i="1"/>
  <c r="CI189" i="1" s="1"/>
  <c r="CN191" i="1"/>
  <c r="CI191" i="1" s="1"/>
  <c r="CN192" i="1"/>
  <c r="CI192" i="1" s="1"/>
  <c r="CN193" i="1"/>
  <c r="CI193" i="1" s="1"/>
  <c r="CN196" i="1"/>
  <c r="CI196" i="1" s="1"/>
  <c r="CN195" i="1"/>
  <c r="CI195" i="1" s="1"/>
  <c r="CN194" i="1"/>
  <c r="CI194" i="1" s="1"/>
  <c r="CN197" i="1"/>
  <c r="CI197" i="1" s="1"/>
  <c r="CN198" i="1"/>
  <c r="CI198" i="1" s="1"/>
  <c r="CN199" i="1"/>
  <c r="CI199" i="1" s="1"/>
  <c r="CN209" i="1"/>
  <c r="CI209" i="1" s="1"/>
  <c r="CN202" i="1"/>
  <c r="CI202" i="1" s="1"/>
  <c r="CN207" i="1"/>
  <c r="CI207" i="1" s="1"/>
  <c r="CN203" i="1"/>
  <c r="CI203" i="1" s="1"/>
  <c r="CN210" i="1"/>
  <c r="CI210" i="1" s="1"/>
  <c r="CN208" i="1"/>
  <c r="CI208" i="1" s="1"/>
  <c r="CN204" i="1"/>
  <c r="CI204" i="1" s="1"/>
  <c r="CN215" i="1"/>
  <c r="CI215" i="1" s="1"/>
  <c r="CN201" i="1"/>
  <c r="CI201" i="1" s="1"/>
  <c r="CN213" i="1"/>
  <c r="CI213" i="1" s="1"/>
  <c r="CN216" i="1"/>
  <c r="CI216" i="1" s="1"/>
  <c r="CN214" i="1"/>
  <c r="CI214" i="1" s="1"/>
  <c r="CN212" i="1"/>
  <c r="CI212" i="1" s="1"/>
  <c r="CN211" i="1"/>
  <c r="CI211" i="1" s="1"/>
  <c r="CN205" i="1"/>
  <c r="CI205" i="1" s="1"/>
  <c r="CN200" i="1"/>
  <c r="CI200" i="1" s="1"/>
  <c r="CN206" i="1"/>
  <c r="CI206" i="1" s="1"/>
  <c r="CN219" i="1"/>
  <c r="CI219" i="1" s="1"/>
  <c r="CN217" i="1"/>
  <c r="CI217" i="1" s="1"/>
  <c r="CN218" i="1"/>
  <c r="CI218" i="1" s="1"/>
  <c r="CN220" i="1"/>
  <c r="CI220" i="1" s="1"/>
  <c r="CN221" i="1"/>
  <c r="CI221" i="1" s="1"/>
  <c r="CN222" i="1"/>
  <c r="CI222" i="1" s="1"/>
  <c r="CN223" i="1"/>
  <c r="CI223" i="1" s="1"/>
  <c r="CN225" i="1"/>
  <c r="CI225" i="1" s="1"/>
  <c r="CN224" i="1"/>
  <c r="CI224" i="1" s="1"/>
  <c r="CN227" i="1"/>
  <c r="CI227" i="1" s="1"/>
  <c r="CN226" i="1"/>
  <c r="CI226" i="1" s="1"/>
  <c r="CN229" i="1"/>
  <c r="CI229" i="1" s="1"/>
  <c r="CN228" i="1"/>
  <c r="CI228" i="1" s="1"/>
  <c r="CN233" i="1"/>
  <c r="CI233" i="1" s="1"/>
  <c r="CN230" i="1"/>
  <c r="CI230" i="1" s="1"/>
  <c r="CN231" i="1"/>
  <c r="CI231" i="1" s="1"/>
  <c r="CN232" i="1"/>
  <c r="CI232" i="1" s="1"/>
  <c r="CN236" i="1"/>
  <c r="CI236" i="1" s="1"/>
  <c r="CN235" i="1"/>
  <c r="CI235" i="1" s="1"/>
  <c r="CN234" i="1"/>
  <c r="CI234" i="1" s="1"/>
  <c r="CN240" i="1"/>
  <c r="CI240" i="1" s="1"/>
  <c r="CN239" i="1"/>
  <c r="CI239" i="1" s="1"/>
  <c r="CN238" i="1"/>
  <c r="CI238" i="1" s="1"/>
  <c r="CN237" i="1"/>
  <c r="CI237" i="1" s="1"/>
  <c r="CN241" i="1"/>
  <c r="CI241" i="1" s="1"/>
  <c r="CN244" i="1"/>
  <c r="CI244" i="1" s="1"/>
  <c r="CN243" i="1"/>
  <c r="CI243" i="1" s="1"/>
  <c r="CN242" i="1"/>
  <c r="CI242" i="1" s="1"/>
  <c r="CN245" i="1"/>
  <c r="CI245" i="1" s="1"/>
  <c r="CN247" i="1"/>
  <c r="CI247" i="1" s="1"/>
  <c r="CN260" i="1"/>
  <c r="CI260" i="1" s="1"/>
  <c r="CN261" i="1"/>
  <c r="CI261" i="1" s="1"/>
  <c r="CN253" i="1"/>
  <c r="CI253" i="1" s="1"/>
  <c r="CN252" i="1"/>
  <c r="CI252" i="1" s="1"/>
  <c r="CN251" i="1"/>
  <c r="CI251" i="1" s="1"/>
  <c r="CN250" i="1"/>
  <c r="CI250" i="1" s="1"/>
  <c r="CN249" i="1"/>
  <c r="CI249" i="1" s="1"/>
  <c r="CN248" i="1"/>
  <c r="CI248" i="1" s="1"/>
  <c r="CN258" i="1"/>
  <c r="CI258" i="1" s="1"/>
  <c r="CN257" i="1"/>
  <c r="CI257" i="1" s="1"/>
  <c r="CN254" i="1"/>
  <c r="CI254" i="1" s="1"/>
  <c r="CN259" i="1"/>
  <c r="CI259" i="1" s="1"/>
  <c r="CN256" i="1"/>
  <c r="CI256" i="1" s="1"/>
  <c r="CN255" i="1"/>
  <c r="CI255" i="1" s="1"/>
  <c r="CN262" i="1"/>
  <c r="CI262" i="1" s="1"/>
  <c r="CN246" i="1"/>
  <c r="CI246" i="1" s="1"/>
  <c r="CN265" i="1"/>
  <c r="CI265" i="1" s="1"/>
  <c r="CN268" i="1"/>
  <c r="CI268" i="1" s="1"/>
  <c r="CN263" i="1"/>
  <c r="CI263" i="1" s="1"/>
  <c r="CN264" i="1"/>
  <c r="CI264" i="1" s="1"/>
  <c r="CN271" i="1"/>
  <c r="CI271" i="1" s="1"/>
  <c r="CN270" i="1"/>
  <c r="CI270" i="1" s="1"/>
  <c r="CN269" i="1"/>
  <c r="CI269" i="1" s="1"/>
  <c r="CN267" i="1"/>
  <c r="CI267" i="1" s="1"/>
  <c r="CN266" i="1"/>
  <c r="CI266" i="1" s="1"/>
  <c r="CN272" i="1"/>
  <c r="CI272" i="1" s="1"/>
  <c r="CN274" i="1"/>
  <c r="CI274" i="1" s="1"/>
  <c r="CN273" i="1"/>
  <c r="CI273" i="1" s="1"/>
  <c r="CN275" i="1"/>
  <c r="CI275" i="1" s="1"/>
  <c r="CN276" i="1"/>
  <c r="CI276" i="1" s="1"/>
  <c r="CN277" i="1"/>
  <c r="CI277" i="1" s="1"/>
  <c r="CN279" i="1"/>
  <c r="CI279" i="1" s="1"/>
  <c r="CN278" i="1"/>
  <c r="CI278" i="1" s="1"/>
  <c r="CN283" i="1"/>
  <c r="CI283" i="1" s="1"/>
  <c r="CN280" i="1"/>
  <c r="CI280" i="1" s="1"/>
  <c r="CN285" i="1"/>
  <c r="CI285" i="1" s="1"/>
  <c r="CN286" i="1"/>
  <c r="CI286" i="1" s="1"/>
  <c r="CN282" i="1"/>
  <c r="CI282" i="1" s="1"/>
  <c r="CN287" i="1"/>
  <c r="CI287" i="1" s="1"/>
  <c r="CN284" i="1"/>
  <c r="CI284" i="1" s="1"/>
  <c r="CN281" i="1"/>
  <c r="CI281" i="1" s="1"/>
  <c r="CN294" i="1"/>
  <c r="CI294" i="1" s="1"/>
  <c r="CN290" i="1"/>
  <c r="CI290" i="1" s="1"/>
  <c r="CN291" i="1"/>
  <c r="CI291" i="1" s="1"/>
  <c r="CN288" i="1"/>
  <c r="CI288" i="1" s="1"/>
  <c r="CN292" i="1"/>
  <c r="CI292" i="1" s="1"/>
  <c r="CN289" i="1"/>
  <c r="CI289" i="1" s="1"/>
  <c r="CN293" i="1"/>
  <c r="CI293" i="1" s="1"/>
  <c r="CN310" i="1"/>
  <c r="CI310" i="1" s="1"/>
  <c r="CN308" i="1"/>
  <c r="CI308" i="1" s="1"/>
  <c r="CN307" i="1"/>
  <c r="CI307" i="1" s="1"/>
  <c r="CN303" i="1"/>
  <c r="CI303" i="1" s="1"/>
  <c r="CN296" i="1"/>
  <c r="CI296" i="1" s="1"/>
  <c r="CN295" i="1"/>
  <c r="CI295" i="1" s="1"/>
  <c r="CN305" i="1"/>
  <c r="CI305" i="1" s="1"/>
  <c r="CN304" i="1"/>
  <c r="CI304" i="1" s="1"/>
  <c r="CN301" i="1"/>
  <c r="CI301" i="1" s="1"/>
  <c r="CN306" i="1"/>
  <c r="CI306" i="1" s="1"/>
  <c r="CN302" i="1"/>
  <c r="CI302" i="1" s="1"/>
  <c r="CN300" i="1"/>
  <c r="CI300" i="1" s="1"/>
  <c r="CN298" i="1"/>
  <c r="CI298" i="1" s="1"/>
  <c r="CN299" i="1"/>
  <c r="CI299" i="1" s="1"/>
  <c r="CN312" i="1"/>
  <c r="CI312" i="1" s="1"/>
  <c r="CN311" i="1"/>
  <c r="CI311" i="1" s="1"/>
  <c r="CN297" i="1"/>
  <c r="CI297" i="1" s="1"/>
  <c r="CN309" i="1"/>
  <c r="CI309" i="1" s="1"/>
  <c r="CN314" i="1"/>
  <c r="CI314" i="1" s="1"/>
  <c r="CN313" i="1"/>
  <c r="CI313" i="1" s="1"/>
  <c r="CN317" i="1"/>
  <c r="CI317" i="1" s="1"/>
  <c r="CN318" i="1"/>
  <c r="CI318" i="1" s="1"/>
  <c r="CN316" i="1"/>
  <c r="CI316" i="1" s="1"/>
  <c r="CN324" i="1"/>
  <c r="CI324" i="1" s="1"/>
  <c r="CN315" i="1"/>
  <c r="CI315" i="1" s="1"/>
  <c r="CN325" i="1"/>
  <c r="CI325" i="1" s="1"/>
  <c r="CN323" i="1"/>
  <c r="CI323" i="1" s="1"/>
  <c r="CN322" i="1"/>
  <c r="CI322" i="1" s="1"/>
  <c r="CN321" i="1"/>
  <c r="CI321" i="1" s="1"/>
  <c r="CN320" i="1"/>
  <c r="CI320" i="1" s="1"/>
  <c r="CN319" i="1"/>
  <c r="CI319" i="1" s="1"/>
  <c r="CN327" i="1"/>
  <c r="CI327" i="1" s="1"/>
  <c r="CN326" i="1"/>
  <c r="CI326" i="1" s="1"/>
  <c r="CN328" i="1"/>
  <c r="CI328" i="1" s="1"/>
  <c r="CN330" i="1"/>
  <c r="CI330" i="1" s="1"/>
  <c r="CN329" i="1"/>
  <c r="CI329" i="1" s="1"/>
  <c r="CN333" i="1"/>
  <c r="CI333" i="1" s="1"/>
  <c r="CN331" i="1"/>
  <c r="CI331" i="1" s="1"/>
  <c r="CN332" i="1"/>
  <c r="CI332" i="1" s="1"/>
  <c r="CN334" i="1"/>
  <c r="CI334" i="1" s="1"/>
  <c r="CN336" i="1"/>
  <c r="CI336" i="1" s="1"/>
  <c r="CN335" i="1"/>
  <c r="CI335" i="1" s="1"/>
  <c r="CN341" i="1"/>
  <c r="CI341" i="1" s="1"/>
  <c r="CN338" i="1"/>
  <c r="CI338" i="1" s="1"/>
  <c r="CN340" i="1"/>
  <c r="CI340" i="1" s="1"/>
  <c r="CN342" i="1"/>
  <c r="CI342" i="1" s="1"/>
  <c r="CN339" i="1"/>
  <c r="CI339" i="1" s="1"/>
  <c r="CN343" i="1"/>
  <c r="CI343" i="1" s="1"/>
  <c r="CN337" i="1"/>
  <c r="CI337" i="1" s="1"/>
  <c r="CN344" i="1"/>
  <c r="CI344" i="1" s="1"/>
  <c r="CN345" i="1"/>
  <c r="CI345" i="1" s="1"/>
  <c r="CN346" i="1"/>
  <c r="CI346" i="1" s="1"/>
  <c r="CN347" i="1"/>
  <c r="CI347" i="1" s="1"/>
  <c r="CN350" i="1"/>
  <c r="CI350" i="1" s="1"/>
  <c r="CN348" i="1"/>
  <c r="CI348" i="1" s="1"/>
  <c r="CN349" i="1"/>
  <c r="CI349" i="1" s="1"/>
  <c r="CN353" i="1"/>
  <c r="CI353" i="1" s="1"/>
  <c r="CN351" i="1"/>
  <c r="CI351" i="1" s="1"/>
  <c r="CN352" i="1"/>
  <c r="CI352" i="1" s="1"/>
  <c r="CN355" i="1"/>
  <c r="CI355" i="1" s="1"/>
  <c r="CN357" i="1"/>
  <c r="CI357" i="1" s="1"/>
  <c r="CN356" i="1"/>
  <c r="CI356" i="1" s="1"/>
  <c r="CN354" i="1"/>
  <c r="CI354"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BW39" i="1" l="1"/>
  <c r="BS39" i="1"/>
  <c r="BY39" i="1"/>
  <c r="CF39" i="1"/>
  <c r="CE39" i="1" s="1"/>
  <c r="BV39" i="1"/>
  <c r="CD39" i="1"/>
  <c r="CC39" i="1"/>
  <c r="BU39" i="1"/>
  <c r="BZ39" i="1"/>
  <c r="CB39" i="1"/>
  <c r="CA39" i="1"/>
  <c r="BT39" i="1"/>
  <c r="BX39" i="1"/>
  <c r="BT133" i="1"/>
  <c r="CC133" i="1"/>
  <c r="CD133" i="1"/>
  <c r="BU133" i="1"/>
  <c r="CF133" i="1"/>
  <c r="CE133" i="1" s="1"/>
  <c r="CH133" i="1"/>
  <c r="BW133" i="1"/>
  <c r="BV133" i="1"/>
  <c r="CB133" i="1"/>
  <c r="BZ133" i="1"/>
  <c r="CA133" i="1"/>
  <c r="BY133" i="1"/>
  <c r="BX133" i="1"/>
  <c r="BS133" i="1"/>
  <c r="CC150" i="1"/>
  <c r="BZ150" i="1"/>
  <c r="BW150" i="1"/>
  <c r="BV150" i="1"/>
  <c r="BU150" i="1"/>
  <c r="CF150" i="1"/>
  <c r="CE150" i="1" s="1"/>
  <c r="CD150" i="1"/>
  <c r="CB150" i="1"/>
  <c r="BT150" i="1"/>
  <c r="BS150" i="1"/>
  <c r="BY150" i="1"/>
  <c r="CA150" i="1"/>
  <c r="BX150" i="1"/>
  <c r="BS128" i="1"/>
  <c r="BT128" i="1"/>
  <c r="BU128" i="1"/>
  <c r="CB128" i="1"/>
  <c r="BV128" i="1"/>
  <c r="BW128" i="1"/>
  <c r="BX128" i="1"/>
  <c r="BY128" i="1"/>
  <c r="BZ128" i="1"/>
  <c r="CC128" i="1"/>
  <c r="CA128" i="1"/>
  <c r="CD128" i="1"/>
  <c r="CF128" i="1"/>
  <c r="CE128" i="1" s="1"/>
  <c r="CH128" i="1"/>
  <c r="BV86" i="1"/>
  <c r="BU86" i="1"/>
  <c r="CF86" i="1"/>
  <c r="CE86" i="1" s="1"/>
  <c r="CB86" i="1"/>
  <c r="BY86" i="1"/>
  <c r="CD86" i="1"/>
  <c r="BZ86" i="1"/>
  <c r="BW86" i="1"/>
  <c r="CC86" i="1"/>
  <c r="CA86" i="1"/>
  <c r="BS86" i="1"/>
  <c r="BX86" i="1"/>
  <c r="BT86" i="1"/>
  <c r="CF65" i="1"/>
  <c r="CE65" i="1" s="1"/>
  <c r="CC65" i="1"/>
  <c r="BX65" i="1"/>
  <c r="BT65" i="1"/>
  <c r="BS65" i="1"/>
  <c r="CD65" i="1"/>
  <c r="BW65" i="1"/>
  <c r="BZ65" i="1"/>
  <c r="CA65" i="1"/>
  <c r="BY65" i="1"/>
  <c r="CB65" i="1"/>
  <c r="BV65" i="1"/>
  <c r="BU65" i="1"/>
  <c r="CB56" i="1"/>
  <c r="BZ56" i="1"/>
  <c r="BU56" i="1"/>
  <c r="BY56" i="1"/>
  <c r="CF56" i="1"/>
  <c r="CE56" i="1" s="1"/>
  <c r="BV56" i="1"/>
  <c r="BT56" i="1"/>
  <c r="BS56" i="1"/>
  <c r="CC56" i="1"/>
  <c r="CD56" i="1"/>
  <c r="BW56" i="1"/>
  <c r="CA56" i="1"/>
  <c r="BX56" i="1"/>
  <c r="BT48" i="1"/>
  <c r="BX48" i="1"/>
  <c r="CB48" i="1"/>
  <c r="CF48" i="1"/>
  <c r="CE48" i="1" s="1"/>
  <c r="CC48" i="1"/>
  <c r="BU48" i="1"/>
  <c r="BS48" i="1"/>
  <c r="CH48" i="1"/>
  <c r="BZ48" i="1"/>
  <c r="BY48" i="1"/>
  <c r="BW48" i="1"/>
  <c r="CA48" i="1"/>
  <c r="CD48" i="1"/>
  <c r="BV48" i="1"/>
  <c r="BT44" i="1"/>
  <c r="BW44" i="1"/>
  <c r="CF44" i="1"/>
  <c r="CE44" i="1" s="1"/>
  <c r="CC44" i="1"/>
  <c r="BU44" i="1"/>
  <c r="CD44" i="1"/>
  <c r="BV44" i="1"/>
  <c r="BY44" i="1"/>
  <c r="BS44" i="1"/>
  <c r="BX44" i="1"/>
  <c r="CH44" i="1"/>
  <c r="BZ44" i="1"/>
  <c r="CB44" i="1"/>
  <c r="CA44" i="1"/>
  <c r="CF34" i="1"/>
  <c r="CE34" i="1" s="1"/>
  <c r="CD34" i="1"/>
  <c r="CC34" i="1"/>
  <c r="CB34" i="1"/>
  <c r="CA34" i="1"/>
  <c r="BZ34" i="1"/>
  <c r="BY34" i="1"/>
  <c r="BX34" i="1"/>
  <c r="BW34" i="1"/>
  <c r="BU34" i="1"/>
  <c r="BT34" i="1"/>
  <c r="BV34" i="1"/>
  <c r="BS34" i="1"/>
  <c r="CH34" i="1"/>
  <c r="CD132" i="1"/>
  <c r="CA132" i="1"/>
  <c r="BX132" i="1"/>
  <c r="BV132" i="1"/>
  <c r="BT132" i="1"/>
  <c r="BZ132" i="1"/>
  <c r="CF132" i="1"/>
  <c r="CE132" i="1" s="1"/>
  <c r="CH132" i="1"/>
  <c r="BS132" i="1"/>
  <c r="CC132" i="1"/>
  <c r="BW132" i="1"/>
  <c r="CB132" i="1"/>
  <c r="BU132" i="1"/>
  <c r="BY132" i="1"/>
  <c r="CF129" i="1"/>
  <c r="CE129" i="1" s="1"/>
  <c r="BS129" i="1"/>
  <c r="BT129" i="1"/>
  <c r="BY129" i="1"/>
  <c r="BZ129" i="1"/>
  <c r="BU129" i="1"/>
  <c r="BV129" i="1"/>
  <c r="BW129" i="1"/>
  <c r="BX129" i="1"/>
  <c r="CA129" i="1"/>
  <c r="CB129" i="1"/>
  <c r="CC129" i="1"/>
  <c r="CD129" i="1"/>
  <c r="CC71" i="1"/>
  <c r="CD71" i="1"/>
  <c r="CA71" i="1"/>
  <c r="BX71" i="1"/>
  <c r="BZ71" i="1"/>
  <c r="BY71" i="1"/>
  <c r="BV71" i="1"/>
  <c r="CF71" i="1"/>
  <c r="CE71" i="1" s="1"/>
  <c r="BT71" i="1"/>
  <c r="BS71" i="1"/>
  <c r="BW71" i="1"/>
  <c r="BU71" i="1"/>
  <c r="CB71" i="1"/>
  <c r="CF64" i="1"/>
  <c r="CE64" i="1" s="1"/>
  <c r="BY64" i="1"/>
  <c r="CC64" i="1"/>
  <c r="BX64" i="1"/>
  <c r="CD64" i="1"/>
  <c r="BV64" i="1"/>
  <c r="BS64" i="1"/>
  <c r="BT64" i="1"/>
  <c r="BU64" i="1"/>
  <c r="CA64" i="1"/>
  <c r="BW64" i="1"/>
  <c r="CB64" i="1"/>
  <c r="BZ64" i="1"/>
  <c r="BW43" i="1"/>
  <c r="BX43" i="1"/>
  <c r="BS43" i="1"/>
  <c r="BU43" i="1"/>
  <c r="CD43" i="1"/>
  <c r="BZ43" i="1"/>
  <c r="CB43" i="1"/>
  <c r="BT43" i="1"/>
  <c r="BV43" i="1"/>
  <c r="BY43" i="1"/>
  <c r="CF43" i="1"/>
  <c r="CE43" i="1" s="1"/>
  <c r="CA43" i="1"/>
  <c r="CC43" i="1"/>
  <c r="CA28" i="1"/>
  <c r="BZ28" i="1"/>
  <c r="BY28" i="1"/>
  <c r="BX28" i="1"/>
  <c r="BW28" i="1"/>
  <c r="BV28" i="1"/>
  <c r="BU28" i="1"/>
  <c r="BT28" i="1"/>
  <c r="BS28" i="1"/>
  <c r="CH28" i="1"/>
  <c r="CF28" i="1"/>
  <c r="CE28" i="1" s="1"/>
  <c r="CC28" i="1"/>
  <c r="CB28" i="1"/>
  <c r="CD28" i="1"/>
  <c r="BX112" i="1"/>
  <c r="CC112" i="1"/>
  <c r="CA112" i="1"/>
  <c r="CH112" i="1"/>
  <c r="BW112" i="1"/>
  <c r="BY112" i="1"/>
  <c r="BT112" i="1"/>
  <c r="CD112" i="1"/>
  <c r="BV112" i="1"/>
  <c r="BU112" i="1"/>
  <c r="BZ112" i="1"/>
  <c r="BS112" i="1"/>
  <c r="CF112" i="1"/>
  <c r="CE112" i="1" s="1"/>
  <c r="CB112" i="1"/>
  <c r="CC141" i="1"/>
  <c r="CA141" i="1"/>
  <c r="BY141" i="1"/>
  <c r="BS141" i="1"/>
  <c r="BW141" i="1"/>
  <c r="BU141" i="1"/>
  <c r="BT141" i="1"/>
  <c r="CF141" i="1"/>
  <c r="CE141" i="1" s="1"/>
  <c r="BZ141" i="1"/>
  <c r="BV141" i="1"/>
  <c r="BX141" i="1"/>
  <c r="CH141" i="1"/>
  <c r="CD141" i="1"/>
  <c r="CB141" i="1"/>
  <c r="CB138" i="1"/>
  <c r="BZ138" i="1"/>
  <c r="CC138" i="1"/>
  <c r="BV138" i="1"/>
  <c r="BU138" i="1"/>
  <c r="CA138" i="1"/>
  <c r="BT138" i="1"/>
  <c r="BS138" i="1"/>
  <c r="BW138" i="1"/>
  <c r="BY138" i="1"/>
  <c r="CD138" i="1"/>
  <c r="CF138" i="1"/>
  <c r="CE138" i="1" s="1"/>
  <c r="BX138" i="1"/>
  <c r="CC106" i="1"/>
  <c r="BS106" i="1"/>
  <c r="BX106" i="1"/>
  <c r="CB106" i="1"/>
  <c r="CH106" i="1"/>
  <c r="BU106" i="1"/>
  <c r="BW106" i="1"/>
  <c r="BY106" i="1"/>
  <c r="CF106" i="1"/>
  <c r="CE106" i="1" s="1"/>
  <c r="BV106" i="1"/>
  <c r="CA106" i="1"/>
  <c r="CD106" i="1"/>
  <c r="BT106" i="1"/>
  <c r="BZ106" i="1"/>
  <c r="CF98" i="1"/>
  <c r="CE98" i="1" s="1"/>
  <c r="CC98" i="1"/>
  <c r="CD98" i="1"/>
  <c r="CH98" i="1"/>
  <c r="CA98" i="1"/>
  <c r="BZ98" i="1"/>
  <c r="CB98" i="1"/>
  <c r="BX98" i="1"/>
  <c r="BY98" i="1"/>
  <c r="BV98" i="1"/>
  <c r="BS98" i="1"/>
  <c r="BT98" i="1"/>
  <c r="BW98" i="1"/>
  <c r="BU98" i="1"/>
  <c r="BY76" i="1"/>
  <c r="CB76" i="1"/>
  <c r="BZ76" i="1"/>
  <c r="BV76" i="1"/>
  <c r="CC76" i="1"/>
  <c r="BS76" i="1"/>
  <c r="BT76" i="1"/>
  <c r="CF76" i="1"/>
  <c r="CE76" i="1" s="1"/>
  <c r="BW76" i="1"/>
  <c r="BX76" i="1"/>
  <c r="CD76" i="1"/>
  <c r="BU76" i="1"/>
  <c r="CH76" i="1"/>
  <c r="CA76" i="1"/>
  <c r="CH55" i="1"/>
  <c r="CA55" i="1"/>
  <c r="CC55" i="1"/>
  <c r="BV55" i="1"/>
  <c r="CF55" i="1"/>
  <c r="CE55" i="1" s="1"/>
  <c r="BW55" i="1"/>
  <c r="CD55" i="1"/>
  <c r="BS55" i="1"/>
  <c r="CB55" i="1"/>
  <c r="BZ55" i="1"/>
  <c r="BT55" i="1"/>
  <c r="BY55" i="1"/>
  <c r="BX55" i="1"/>
  <c r="BU55" i="1"/>
  <c r="CA17" i="1"/>
  <c r="BZ17" i="1"/>
  <c r="BY17" i="1"/>
  <c r="BX17" i="1"/>
  <c r="BW17" i="1"/>
  <c r="BV17" i="1"/>
  <c r="BU17" i="1"/>
  <c r="BT17" i="1"/>
  <c r="BS17" i="1"/>
  <c r="CH17" i="1"/>
  <c r="CF17" i="1"/>
  <c r="CE17" i="1" s="1"/>
  <c r="CC17" i="1"/>
  <c r="CB17" i="1"/>
  <c r="CD17" i="1"/>
  <c r="BT97" i="1"/>
  <c r="CC97" i="1"/>
  <c r="BX97" i="1"/>
  <c r="BY97" i="1"/>
  <c r="BS97" i="1"/>
  <c r="CD97" i="1"/>
  <c r="BV97" i="1"/>
  <c r="CB97" i="1"/>
  <c r="BU97" i="1"/>
  <c r="CA97" i="1"/>
  <c r="BW97" i="1"/>
  <c r="CF97" i="1"/>
  <c r="CE97" i="1" s="1"/>
  <c r="BZ97" i="1"/>
  <c r="CD145" i="1"/>
  <c r="BU145" i="1"/>
  <c r="CB145" i="1"/>
  <c r="CF145" i="1"/>
  <c r="BZ145" i="1"/>
  <c r="CC145" i="1"/>
  <c r="BT145" i="1"/>
  <c r="BX145" i="1"/>
  <c r="CA145" i="1"/>
  <c r="BY145" i="1"/>
  <c r="BW145" i="1"/>
  <c r="BS145" i="1"/>
  <c r="BV145" i="1"/>
  <c r="BZ142" i="1"/>
  <c r="CC142" i="1"/>
  <c r="BS142" i="1"/>
  <c r="BW142" i="1"/>
  <c r="BT142" i="1"/>
  <c r="BY142" i="1"/>
  <c r="CB142" i="1"/>
  <c r="BX142" i="1"/>
  <c r="CA142" i="1"/>
  <c r="CD142" i="1"/>
  <c r="BV142" i="1"/>
  <c r="BU142" i="1"/>
  <c r="CH142" i="1"/>
  <c r="CF142" i="1"/>
  <c r="CE142" i="1" s="1"/>
  <c r="BW140" i="1"/>
  <c r="BT140" i="1"/>
  <c r="BZ140" i="1"/>
  <c r="CB140" i="1"/>
  <c r="CD140" i="1"/>
  <c r="BS140" i="1"/>
  <c r="BU140" i="1"/>
  <c r="BY140" i="1"/>
  <c r="CA140" i="1"/>
  <c r="BV140" i="1"/>
  <c r="CF140" i="1"/>
  <c r="CE140" i="1" s="1"/>
  <c r="BX140" i="1"/>
  <c r="CC140" i="1"/>
  <c r="CH108" i="1"/>
  <c r="BV108" i="1"/>
  <c r="CA108" i="1"/>
  <c r="CD108" i="1"/>
  <c r="BT108" i="1"/>
  <c r="BU108" i="1"/>
  <c r="BY108" i="1"/>
  <c r="CF108" i="1"/>
  <c r="CE108" i="1" s="1"/>
  <c r="BS108" i="1"/>
  <c r="BW108" i="1"/>
  <c r="CB108" i="1"/>
  <c r="CC108" i="1"/>
  <c r="BZ108" i="1"/>
  <c r="BX108" i="1"/>
  <c r="BU69" i="1"/>
  <c r="BZ69" i="1"/>
  <c r="CF69" i="1"/>
  <c r="CE69" i="1" s="1"/>
  <c r="BS69" i="1"/>
  <c r="BV69" i="1"/>
  <c r="CB69" i="1"/>
  <c r="CA69" i="1"/>
  <c r="BW69" i="1"/>
  <c r="BX69" i="1"/>
  <c r="CC69" i="1"/>
  <c r="CH69" i="1"/>
  <c r="BT69" i="1"/>
  <c r="BY69" i="1"/>
  <c r="CD69" i="1"/>
  <c r="CD77" i="1"/>
  <c r="CB77" i="1"/>
  <c r="BW77" i="1"/>
  <c r="BT77" i="1"/>
  <c r="BY77" i="1"/>
  <c r="BU77" i="1"/>
  <c r="BV77" i="1"/>
  <c r="CA77" i="1"/>
  <c r="BS77" i="1"/>
  <c r="CF77" i="1"/>
  <c r="CE77" i="1" s="1"/>
  <c r="BX77" i="1"/>
  <c r="BZ77" i="1"/>
  <c r="CC77" i="1"/>
  <c r="CD59" i="1"/>
  <c r="CF59" i="1"/>
  <c r="CE59" i="1" s="1"/>
  <c r="BT59" i="1"/>
  <c r="CA59" i="1"/>
  <c r="BU59" i="1"/>
  <c r="CB59" i="1"/>
  <c r="CC59" i="1"/>
  <c r="BV59" i="1"/>
  <c r="BW59" i="1"/>
  <c r="BS59" i="1"/>
  <c r="BX59" i="1"/>
  <c r="BY59" i="1"/>
  <c r="BZ59" i="1"/>
  <c r="CH26" i="1"/>
  <c r="CF26" i="1"/>
  <c r="CE26" i="1" s="1"/>
  <c r="CD26" i="1"/>
  <c r="CC26" i="1"/>
  <c r="CB26" i="1"/>
  <c r="CA26" i="1"/>
  <c r="BZ26" i="1"/>
  <c r="BY26" i="1"/>
  <c r="BX26" i="1"/>
  <c r="BV26" i="1"/>
  <c r="BU26" i="1"/>
  <c r="BW26" i="1"/>
  <c r="BT26" i="1"/>
  <c r="BS26" i="1"/>
  <c r="BZ33" i="1"/>
  <c r="BY33" i="1"/>
  <c r="BX33" i="1"/>
  <c r="BW33" i="1"/>
  <c r="BV33" i="1"/>
  <c r="BU33" i="1"/>
  <c r="BT33" i="1"/>
  <c r="BS33" i="1"/>
  <c r="CH33" i="1"/>
  <c r="CF33" i="1"/>
  <c r="CE33" i="1" s="1"/>
  <c r="CD33" i="1"/>
  <c r="CB33" i="1"/>
  <c r="CA33" i="1"/>
  <c r="CC33" i="1"/>
  <c r="BX49" i="1"/>
  <c r="BS49" i="1"/>
  <c r="CH49" i="1"/>
  <c r="CA49" i="1"/>
  <c r="BT49" i="1"/>
  <c r="CC49" i="1"/>
  <c r="BW49" i="1"/>
  <c r="BY49" i="1"/>
  <c r="BV49" i="1"/>
  <c r="BU49" i="1"/>
  <c r="CB49" i="1"/>
  <c r="CD49" i="1"/>
  <c r="CF49" i="1"/>
  <c r="CE49" i="1" s="1"/>
  <c r="BZ49" i="1"/>
  <c r="BX68" i="1"/>
  <c r="BW68" i="1"/>
  <c r="BZ68" i="1"/>
  <c r="CA68" i="1"/>
  <c r="CB68" i="1"/>
  <c r="CF68" i="1"/>
  <c r="CE68" i="1" s="1"/>
  <c r="CD68" i="1"/>
  <c r="BT68" i="1"/>
  <c r="CH68" i="1"/>
  <c r="BU68" i="1"/>
  <c r="BV68" i="1"/>
  <c r="BY68" i="1"/>
  <c r="BS68" i="1"/>
  <c r="CC68" i="1"/>
  <c r="CA137" i="1"/>
  <c r="BV137" i="1"/>
  <c r="CC137" i="1"/>
  <c r="BT137" i="1"/>
  <c r="CF137" i="1"/>
  <c r="CE137" i="1" s="1"/>
  <c r="BZ137" i="1"/>
  <c r="CB137" i="1"/>
  <c r="CD137" i="1"/>
  <c r="BY137" i="1"/>
  <c r="BW137" i="1"/>
  <c r="BS137" i="1"/>
  <c r="BX137" i="1"/>
  <c r="BU137" i="1"/>
  <c r="BT147" i="1"/>
  <c r="BW147" i="1"/>
  <c r="BZ147" i="1"/>
  <c r="CF147" i="1"/>
  <c r="CE147" i="1" s="1"/>
  <c r="BV147" i="1"/>
  <c r="CB147" i="1"/>
  <c r="BS147" i="1"/>
  <c r="CC147" i="1"/>
  <c r="BX147" i="1"/>
  <c r="CD147" i="1"/>
  <c r="BU147" i="1"/>
  <c r="CA147" i="1"/>
  <c r="BY147" i="1"/>
  <c r="BV143" i="1"/>
  <c r="BS143" i="1"/>
  <c r="CD143" i="1"/>
  <c r="CC143" i="1"/>
  <c r="BU143" i="1"/>
  <c r="BX143" i="1"/>
  <c r="BT143" i="1"/>
  <c r="CB143" i="1"/>
  <c r="BW143" i="1"/>
  <c r="CF143" i="1"/>
  <c r="CE143" i="1" s="1"/>
  <c r="BZ143" i="1"/>
  <c r="CA143" i="1"/>
  <c r="BY143" i="1"/>
  <c r="BZ151" i="1"/>
  <c r="BV151" i="1"/>
  <c r="CF151" i="1"/>
  <c r="CE151" i="1" s="1"/>
  <c r="BY151" i="1"/>
  <c r="CA151" i="1"/>
  <c r="BT151" i="1"/>
  <c r="BX151" i="1"/>
  <c r="BS151" i="1"/>
  <c r="CC151" i="1"/>
  <c r="CD151" i="1"/>
  <c r="BW151" i="1"/>
  <c r="BU151" i="1"/>
  <c r="CB151" i="1"/>
  <c r="BT114" i="1"/>
  <c r="CF114" i="1"/>
  <c r="CE114" i="1" s="1"/>
  <c r="CB114" i="1"/>
  <c r="BV114" i="1"/>
  <c r="BY114" i="1"/>
  <c r="BX114" i="1"/>
  <c r="BS114" i="1"/>
  <c r="BU114" i="1"/>
  <c r="CD114" i="1"/>
  <c r="CA114" i="1"/>
  <c r="BZ114" i="1"/>
  <c r="BW114" i="1"/>
  <c r="CC114" i="1"/>
  <c r="BV99" i="1"/>
  <c r="CC99" i="1"/>
  <c r="BY99" i="1"/>
  <c r="BW99" i="1"/>
  <c r="CD99" i="1"/>
  <c r="BU99" i="1"/>
  <c r="CH99" i="1"/>
  <c r="CB99" i="1"/>
  <c r="BZ99" i="1"/>
  <c r="BX99" i="1"/>
  <c r="BS99" i="1"/>
  <c r="CF99" i="1"/>
  <c r="CE99" i="1" s="1"/>
  <c r="BT99" i="1"/>
  <c r="CA99" i="1"/>
  <c r="CC82" i="1"/>
  <c r="BZ82" i="1"/>
  <c r="BU82" i="1"/>
  <c r="BT82" i="1"/>
  <c r="CF82" i="1"/>
  <c r="BW82" i="1"/>
  <c r="CB82" i="1"/>
  <c r="CD82" i="1"/>
  <c r="BY82" i="1"/>
  <c r="CA82" i="1"/>
  <c r="BX82" i="1"/>
  <c r="BV82" i="1"/>
  <c r="BS82" i="1"/>
  <c r="BT63" i="1"/>
  <c r="CD63" i="1"/>
  <c r="BZ63" i="1"/>
  <c r="BS63" i="1"/>
  <c r="CA63" i="1"/>
  <c r="CF63" i="1"/>
  <c r="BY63" i="1"/>
  <c r="BW63" i="1"/>
  <c r="BU63" i="1"/>
  <c r="CB63" i="1"/>
  <c r="BV63" i="1"/>
  <c r="CC63" i="1"/>
  <c r="BX63" i="1"/>
  <c r="CH77" i="1"/>
  <c r="CH129" i="1"/>
  <c r="BX22" i="1"/>
  <c r="BW22" i="1"/>
  <c r="BV22" i="1"/>
  <c r="BU22" i="1"/>
  <c r="BT22" i="1"/>
  <c r="BS22" i="1"/>
  <c r="CH22" i="1"/>
  <c r="CF22" i="1"/>
  <c r="CE22" i="1" s="1"/>
  <c r="CD22" i="1"/>
  <c r="CC22" i="1"/>
  <c r="CB22" i="1"/>
  <c r="CA22" i="1"/>
  <c r="BZ22" i="1"/>
  <c r="BY22" i="1"/>
  <c r="CA94" i="1"/>
  <c r="BU94" i="1"/>
  <c r="BW94" i="1"/>
  <c r="BS94" i="1"/>
  <c r="CB94" i="1"/>
  <c r="CD94" i="1"/>
  <c r="BV94" i="1"/>
  <c r="BZ94" i="1"/>
  <c r="BY94" i="1"/>
  <c r="BT94" i="1"/>
  <c r="BX94" i="1"/>
  <c r="CC94" i="1"/>
  <c r="CH94" i="1"/>
  <c r="CF94" i="1"/>
  <c r="CE94" i="1" s="1"/>
  <c r="CA135" i="1"/>
  <c r="BS135" i="1"/>
  <c r="BW135" i="1"/>
  <c r="BX135" i="1"/>
  <c r="CC135" i="1"/>
  <c r="CD135" i="1"/>
  <c r="BY135" i="1"/>
  <c r="CF135" i="1"/>
  <c r="CE135" i="1" s="1"/>
  <c r="CB135" i="1"/>
  <c r="BV135" i="1"/>
  <c r="BU135" i="1"/>
  <c r="BZ135" i="1"/>
  <c r="BT135" i="1"/>
  <c r="CH135" i="1"/>
  <c r="CB38" i="1"/>
  <c r="CD38" i="1"/>
  <c r="CF38" i="1"/>
  <c r="CE38" i="1" s="1"/>
  <c r="BS38" i="1"/>
  <c r="BW38" i="1"/>
  <c r="BZ38" i="1"/>
  <c r="BT38" i="1"/>
  <c r="CA38" i="1"/>
  <c r="CC38" i="1"/>
  <c r="BU38" i="1"/>
  <c r="BX38" i="1"/>
  <c r="BY38" i="1"/>
  <c r="BV38" i="1"/>
  <c r="BY83" i="1"/>
  <c r="CC83" i="1"/>
  <c r="CF83" i="1"/>
  <c r="CE83" i="1" s="1"/>
  <c r="BZ83" i="1"/>
  <c r="CA83" i="1"/>
  <c r="CD83" i="1"/>
  <c r="BT83" i="1"/>
  <c r="BV83" i="1"/>
  <c r="CB83" i="1"/>
  <c r="BW83" i="1"/>
  <c r="BX83" i="1"/>
  <c r="BS83" i="1"/>
  <c r="CH83" i="1"/>
  <c r="BU83" i="1"/>
  <c r="CH101" i="1"/>
  <c r="CF101" i="1"/>
  <c r="CE101" i="1" s="1"/>
  <c r="CB101" i="1"/>
  <c r="BY101" i="1"/>
  <c r="BV101" i="1"/>
  <c r="CA101" i="1"/>
  <c r="BX101" i="1"/>
  <c r="BT101" i="1"/>
  <c r="BS101" i="1"/>
  <c r="CD101" i="1"/>
  <c r="CC101" i="1"/>
  <c r="BZ101" i="1"/>
  <c r="BW101" i="1"/>
  <c r="BU101" i="1"/>
  <c r="BW144" i="1"/>
  <c r="CF144" i="1"/>
  <c r="CE144" i="1" s="1"/>
  <c r="BX144" i="1"/>
  <c r="BV144" i="1"/>
  <c r="BS144" i="1"/>
  <c r="CB144" i="1"/>
  <c r="BT144" i="1"/>
  <c r="BU144" i="1"/>
  <c r="BZ144" i="1"/>
  <c r="BY144" i="1"/>
  <c r="CC144" i="1"/>
  <c r="CA144" i="1"/>
  <c r="CD144" i="1"/>
  <c r="BV157" i="1"/>
  <c r="CF157" i="1"/>
  <c r="CE157" i="1" s="1"/>
  <c r="BS157" i="1"/>
  <c r="BU157" i="1"/>
  <c r="CH157" i="1"/>
  <c r="BX157" i="1"/>
  <c r="BW157" i="1"/>
  <c r="CD157" i="1"/>
  <c r="BT157" i="1"/>
  <c r="CC157" i="1"/>
  <c r="BY157" i="1"/>
  <c r="BZ157" i="1"/>
  <c r="CB157" i="1"/>
  <c r="CA157" i="1"/>
  <c r="BU117" i="1"/>
  <c r="BZ117" i="1"/>
  <c r="BX117" i="1"/>
  <c r="CA117" i="1"/>
  <c r="CD117" i="1"/>
  <c r="BS117" i="1"/>
  <c r="CF117" i="1"/>
  <c r="CE117" i="1" s="1"/>
  <c r="BW117" i="1"/>
  <c r="CC117" i="1"/>
  <c r="CH117" i="1"/>
  <c r="BT117" i="1"/>
  <c r="BY117" i="1"/>
  <c r="BV117" i="1"/>
  <c r="CB117" i="1"/>
  <c r="CD67" i="1"/>
  <c r="BW67" i="1"/>
  <c r="BY67" i="1"/>
  <c r="BX67" i="1"/>
  <c r="BS67" i="1"/>
  <c r="CF67" i="1"/>
  <c r="CE67" i="1" s="1"/>
  <c r="CA67" i="1"/>
  <c r="BV67" i="1"/>
  <c r="CH67" i="1"/>
  <c r="BT67" i="1"/>
  <c r="BU67" i="1"/>
  <c r="CB67" i="1"/>
  <c r="CC67" i="1"/>
  <c r="BZ67" i="1"/>
  <c r="BS93" i="1"/>
  <c r="BV93" i="1"/>
  <c r="BU93" i="1"/>
  <c r="BT93" i="1"/>
  <c r="CD93" i="1"/>
  <c r="CF93" i="1"/>
  <c r="CE93" i="1" s="1"/>
  <c r="CC93" i="1"/>
  <c r="BY93" i="1"/>
  <c r="CB93" i="1"/>
  <c r="BX93" i="1"/>
  <c r="BZ93" i="1"/>
  <c r="CA93" i="1"/>
  <c r="BW93" i="1"/>
  <c r="BY54" i="1"/>
  <c r="CF54" i="1"/>
  <c r="CE54" i="1" s="1"/>
  <c r="CB54" i="1"/>
  <c r="BW54" i="1"/>
  <c r="BZ54" i="1"/>
  <c r="CA54" i="1"/>
  <c r="BS54" i="1"/>
  <c r="BU54" i="1"/>
  <c r="CC54" i="1"/>
  <c r="CD54" i="1"/>
  <c r="BT54" i="1"/>
  <c r="BX54" i="1"/>
  <c r="BV54" i="1"/>
  <c r="BY31" i="1"/>
  <c r="BX31" i="1"/>
  <c r="BW31" i="1"/>
  <c r="BV31" i="1"/>
  <c r="BU31" i="1"/>
  <c r="BT31" i="1"/>
  <c r="BS31" i="1"/>
  <c r="CF31" i="1"/>
  <c r="CE31" i="1" s="1"/>
  <c r="CC31" i="1"/>
  <c r="CB31" i="1"/>
  <c r="CD31" i="1"/>
  <c r="CA31" i="1"/>
  <c r="BZ31" i="1"/>
  <c r="BU27" i="1"/>
  <c r="BT27" i="1"/>
  <c r="BS27" i="1"/>
  <c r="CH27" i="1"/>
  <c r="CF27" i="1"/>
  <c r="CE27" i="1" s="1"/>
  <c r="CD27" i="1"/>
  <c r="CC27" i="1"/>
  <c r="CB27" i="1"/>
  <c r="CA27" i="1"/>
  <c r="BY27" i="1"/>
  <c r="BX27" i="1"/>
  <c r="BV27" i="1"/>
  <c r="BZ27" i="1"/>
  <c r="BW27" i="1"/>
  <c r="CC115" i="1"/>
  <c r="BU115" i="1"/>
  <c r="BV115" i="1"/>
  <c r="BX115" i="1"/>
  <c r="CF115" i="1"/>
  <c r="CE115" i="1" s="1"/>
  <c r="BW115" i="1"/>
  <c r="CA115" i="1"/>
  <c r="BT115" i="1"/>
  <c r="CB115" i="1"/>
  <c r="BY115" i="1"/>
  <c r="BS115" i="1"/>
  <c r="CD115" i="1"/>
  <c r="CH115" i="1"/>
  <c r="BZ115" i="1"/>
  <c r="BV102" i="1"/>
  <c r="CF102" i="1"/>
  <c r="CE102" i="1" s="1"/>
  <c r="BS102" i="1"/>
  <c r="CD102" i="1"/>
  <c r="CC102" i="1"/>
  <c r="BX102" i="1"/>
  <c r="CH102" i="1"/>
  <c r="BT102" i="1"/>
  <c r="BW102" i="1"/>
  <c r="BZ102" i="1"/>
  <c r="CA102" i="1"/>
  <c r="CB102" i="1"/>
  <c r="BU102" i="1"/>
  <c r="BY102" i="1"/>
  <c r="BT146" i="1"/>
  <c r="BY146" i="1"/>
  <c r="BV146" i="1"/>
  <c r="BW146" i="1"/>
  <c r="CH146" i="1"/>
  <c r="CC146" i="1"/>
  <c r="CB146" i="1"/>
  <c r="BX146" i="1"/>
  <c r="CF146" i="1"/>
  <c r="CE146" i="1" s="1"/>
  <c r="BZ146" i="1"/>
  <c r="CD146" i="1"/>
  <c r="BU146" i="1"/>
  <c r="CA146" i="1"/>
  <c r="BS146" i="1"/>
  <c r="BY107" i="1"/>
  <c r="BZ107" i="1"/>
  <c r="CB107" i="1"/>
  <c r="BV107" i="1"/>
  <c r="CC107" i="1"/>
  <c r="BW107" i="1"/>
  <c r="BU107" i="1"/>
  <c r="CF107" i="1"/>
  <c r="BT107" i="1"/>
  <c r="BX107" i="1"/>
  <c r="CD107" i="1"/>
  <c r="BS107" i="1"/>
  <c r="CA107" i="1"/>
  <c r="BS118" i="1"/>
  <c r="BW118" i="1"/>
  <c r="CC118" i="1"/>
  <c r="BT118" i="1"/>
  <c r="BY118" i="1"/>
  <c r="BV118" i="1"/>
  <c r="BU118" i="1"/>
  <c r="CH118" i="1"/>
  <c r="CF118" i="1"/>
  <c r="CE118" i="1" s="1"/>
  <c r="CA118" i="1"/>
  <c r="CD118" i="1"/>
  <c r="BZ118" i="1"/>
  <c r="BX118" i="1"/>
  <c r="CB118" i="1"/>
  <c r="BU72" i="1"/>
  <c r="BZ72" i="1"/>
  <c r="CC72" i="1"/>
  <c r="BS72" i="1"/>
  <c r="BW72" i="1"/>
  <c r="CF72" i="1"/>
  <c r="CE72" i="1" s="1"/>
  <c r="CD72" i="1"/>
  <c r="BX72" i="1"/>
  <c r="BV72" i="1"/>
  <c r="CB72" i="1"/>
  <c r="BY72" i="1"/>
  <c r="BT72" i="1"/>
  <c r="CA72" i="1"/>
  <c r="CA95" i="1"/>
  <c r="CB95" i="1"/>
  <c r="BX95" i="1"/>
  <c r="BZ95" i="1"/>
  <c r="CC95" i="1"/>
  <c r="CD95" i="1"/>
  <c r="BT95" i="1"/>
  <c r="BS95" i="1"/>
  <c r="BY95" i="1"/>
  <c r="CF95" i="1"/>
  <c r="CE95" i="1" s="1"/>
  <c r="BU95" i="1"/>
  <c r="CH95" i="1"/>
  <c r="BW95" i="1"/>
  <c r="BV95" i="1"/>
  <c r="BT58" i="1"/>
  <c r="CF58" i="1"/>
  <c r="CE58" i="1" s="1"/>
  <c r="BZ58" i="1"/>
  <c r="BX58" i="1"/>
  <c r="CH58" i="1"/>
  <c r="BU58" i="1"/>
  <c r="BV58" i="1"/>
  <c r="CC58" i="1"/>
  <c r="CB58" i="1"/>
  <c r="BW58" i="1"/>
  <c r="CD58" i="1"/>
  <c r="BY58" i="1"/>
  <c r="BS58" i="1"/>
  <c r="CA58" i="1"/>
  <c r="CH138" i="1"/>
  <c r="BU20" i="1"/>
  <c r="BT20" i="1"/>
  <c r="BS20" i="1"/>
  <c r="CH20" i="1"/>
  <c r="CF20" i="1"/>
  <c r="CE20" i="1" s="1"/>
  <c r="CD20" i="1"/>
  <c r="CC20" i="1"/>
  <c r="CB20" i="1"/>
  <c r="CA20" i="1"/>
  <c r="BZ20" i="1"/>
  <c r="BX20" i="1"/>
  <c r="BW20" i="1"/>
  <c r="BY20" i="1"/>
  <c r="BV20" i="1"/>
  <c r="BZ158" i="1"/>
  <c r="BX158" i="1"/>
  <c r="BV158" i="1"/>
  <c r="BW158" i="1"/>
  <c r="CD158" i="1"/>
  <c r="BY158" i="1"/>
  <c r="CF158" i="1"/>
  <c r="CE158" i="1" s="1"/>
  <c r="BS158" i="1"/>
  <c r="BU158" i="1"/>
  <c r="CH158" i="1"/>
  <c r="CB158" i="1"/>
  <c r="CC158" i="1"/>
  <c r="BT158" i="1"/>
  <c r="CA158" i="1"/>
  <c r="CF105" i="1"/>
  <c r="CE105" i="1" s="1"/>
  <c r="CB105" i="1"/>
  <c r="BT105" i="1"/>
  <c r="BU105" i="1"/>
  <c r="BW105" i="1"/>
  <c r="BZ105" i="1"/>
  <c r="CC105" i="1"/>
  <c r="CD105" i="1"/>
  <c r="BY105" i="1"/>
  <c r="BX105" i="1"/>
  <c r="BV105" i="1"/>
  <c r="BS105" i="1"/>
  <c r="BQ105" i="1" s="1"/>
  <c r="BR105" i="1" s="1"/>
  <c r="CA105" i="1"/>
  <c r="BV152" i="1"/>
  <c r="BY152" i="1"/>
  <c r="CB152" i="1"/>
  <c r="BW152" i="1"/>
  <c r="CF152" i="1"/>
  <c r="CE152" i="1" s="1"/>
  <c r="BX152" i="1"/>
  <c r="BS152" i="1"/>
  <c r="BU152" i="1"/>
  <c r="BZ152" i="1"/>
  <c r="CD152" i="1"/>
  <c r="CA152" i="1"/>
  <c r="CC152" i="1"/>
  <c r="BT152" i="1"/>
  <c r="CF100" i="1"/>
  <c r="BW100" i="1"/>
  <c r="BZ100" i="1"/>
  <c r="BT100" i="1"/>
  <c r="BX100" i="1"/>
  <c r="CC100" i="1"/>
  <c r="BU100" i="1"/>
  <c r="CD100" i="1"/>
  <c r="CB100" i="1"/>
  <c r="BS100" i="1"/>
  <c r="BY100" i="1"/>
  <c r="BV100" i="1"/>
  <c r="CA100" i="1"/>
  <c r="CF119" i="1"/>
  <c r="CE119" i="1" s="1"/>
  <c r="BS119" i="1"/>
  <c r="CA119" i="1"/>
  <c r="CB119" i="1"/>
  <c r="BU119" i="1"/>
  <c r="BX119" i="1"/>
  <c r="BY119" i="1"/>
  <c r="CC119" i="1"/>
  <c r="BV119" i="1"/>
  <c r="CH119" i="1"/>
  <c r="BZ119" i="1"/>
  <c r="BT119" i="1"/>
  <c r="BW119" i="1"/>
  <c r="CD119" i="1"/>
  <c r="BY89" i="1"/>
  <c r="BV89" i="1"/>
  <c r="CB89" i="1"/>
  <c r="BU89" i="1"/>
  <c r="BT89" i="1"/>
  <c r="CH89" i="1"/>
  <c r="CC89" i="1"/>
  <c r="BZ89" i="1"/>
  <c r="BS89" i="1"/>
  <c r="CF89" i="1"/>
  <c r="CE89" i="1" s="1"/>
  <c r="CA89" i="1"/>
  <c r="BW89" i="1"/>
  <c r="BX89" i="1"/>
  <c r="CD89" i="1"/>
  <c r="BS66" i="1"/>
  <c r="BU66" i="1"/>
  <c r="BY66" i="1"/>
  <c r="BZ66" i="1"/>
  <c r="CD66" i="1"/>
  <c r="BW66" i="1"/>
  <c r="BV66" i="1"/>
  <c r="BT66" i="1"/>
  <c r="BX66" i="1"/>
  <c r="CC66" i="1"/>
  <c r="CB66" i="1"/>
  <c r="CF66" i="1"/>
  <c r="CE66" i="1" s="1"/>
  <c r="CA66" i="1"/>
  <c r="BW62" i="1"/>
  <c r="BX62" i="1"/>
  <c r="CF62" i="1"/>
  <c r="CE62" i="1" s="1"/>
  <c r="BS62" i="1"/>
  <c r="CD62" i="1"/>
  <c r="CC62" i="1"/>
  <c r="BZ62" i="1"/>
  <c r="BU62" i="1"/>
  <c r="CH62" i="1"/>
  <c r="CA62" i="1"/>
  <c r="BT62" i="1"/>
  <c r="BV62" i="1"/>
  <c r="BY62" i="1"/>
  <c r="CB62" i="1"/>
  <c r="BV42" i="1"/>
  <c r="BT42" i="1"/>
  <c r="CC42" i="1"/>
  <c r="BY42" i="1"/>
  <c r="BZ42" i="1"/>
  <c r="BS42" i="1"/>
  <c r="BX42" i="1"/>
  <c r="CD42" i="1"/>
  <c r="CF42" i="1"/>
  <c r="CE42" i="1" s="1"/>
  <c r="CA42" i="1"/>
  <c r="BU42" i="1"/>
  <c r="BW42" i="1"/>
  <c r="CB42" i="1"/>
  <c r="CH42" i="1"/>
  <c r="CH150" i="1"/>
  <c r="BS25" i="1"/>
  <c r="CH25" i="1"/>
  <c r="CF25" i="1"/>
  <c r="CE25" i="1" s="1"/>
  <c r="CD25" i="1"/>
  <c r="CC25" i="1"/>
  <c r="CB25" i="1"/>
  <c r="CA25" i="1"/>
  <c r="BZ25" i="1"/>
  <c r="BY25" i="1"/>
  <c r="BX25" i="1"/>
  <c r="BW25" i="1"/>
  <c r="BU25" i="1"/>
  <c r="BV25" i="1"/>
  <c r="BT25" i="1"/>
  <c r="BY32" i="1"/>
  <c r="BX32" i="1"/>
  <c r="BW32" i="1"/>
  <c r="BV32" i="1"/>
  <c r="BU32" i="1"/>
  <c r="BT32" i="1"/>
  <c r="BS32" i="1"/>
  <c r="CH32" i="1"/>
  <c r="CF32" i="1"/>
  <c r="CE32" i="1" s="1"/>
  <c r="CC32" i="1"/>
  <c r="CB32" i="1"/>
  <c r="BZ32" i="1"/>
  <c r="CA32" i="1"/>
  <c r="CD32" i="1"/>
  <c r="BV153" i="1"/>
  <c r="BY153" i="1"/>
  <c r="BT153" i="1"/>
  <c r="BW153" i="1"/>
  <c r="CB153" i="1"/>
  <c r="CD153" i="1"/>
  <c r="CA153" i="1"/>
  <c r="CC153" i="1"/>
  <c r="BU153" i="1"/>
  <c r="BZ153" i="1"/>
  <c r="BX153" i="1"/>
  <c r="CF153" i="1"/>
  <c r="BS153" i="1"/>
  <c r="CF154" i="1"/>
  <c r="CE154" i="1" s="1"/>
  <c r="CH154" i="1"/>
  <c r="BS154" i="1"/>
  <c r="BW154" i="1"/>
  <c r="CA154" i="1"/>
  <c r="BT154" i="1"/>
  <c r="BY154" i="1"/>
  <c r="CB154" i="1"/>
  <c r="CC154" i="1"/>
  <c r="BV154" i="1"/>
  <c r="BZ154" i="1"/>
  <c r="BX154" i="1"/>
  <c r="CD154" i="1"/>
  <c r="BU154" i="1"/>
  <c r="BY116" i="1"/>
  <c r="CB116" i="1"/>
  <c r="BT116" i="1"/>
  <c r="BW116" i="1"/>
  <c r="CF116" i="1"/>
  <c r="CE116" i="1" s="1"/>
  <c r="CH116" i="1"/>
  <c r="BU116" i="1"/>
  <c r="BV116" i="1"/>
  <c r="BZ116" i="1"/>
  <c r="BS116" i="1"/>
  <c r="BX116" i="1"/>
  <c r="CA116" i="1"/>
  <c r="CD116" i="1"/>
  <c r="CC116" i="1"/>
  <c r="BT131" i="1"/>
  <c r="BV131" i="1"/>
  <c r="CB131" i="1"/>
  <c r="BY131" i="1"/>
  <c r="BW131" i="1"/>
  <c r="BU131" i="1"/>
  <c r="BX131" i="1"/>
  <c r="CF131" i="1"/>
  <c r="CE131" i="1" s="1"/>
  <c r="BZ131" i="1"/>
  <c r="BS131" i="1"/>
  <c r="CH131" i="1"/>
  <c r="CC131" i="1"/>
  <c r="CD131" i="1"/>
  <c r="CA131" i="1"/>
  <c r="CD92" i="1"/>
  <c r="BU92" i="1"/>
  <c r="BY92" i="1"/>
  <c r="CA92" i="1"/>
  <c r="CF92" i="1"/>
  <c r="CE92" i="1" s="1"/>
  <c r="CC92" i="1"/>
  <c r="CH92" i="1"/>
  <c r="BW92" i="1"/>
  <c r="BS92" i="1"/>
  <c r="BX92" i="1"/>
  <c r="BV92" i="1"/>
  <c r="BT92" i="1"/>
  <c r="BZ92" i="1"/>
  <c r="CB92" i="1"/>
  <c r="CD78" i="1"/>
  <c r="BW78" i="1"/>
  <c r="CC78" i="1"/>
  <c r="CH78" i="1"/>
  <c r="BU78" i="1"/>
  <c r="BV78" i="1"/>
  <c r="CB78" i="1"/>
  <c r="BS78" i="1"/>
  <c r="BZ78" i="1"/>
  <c r="BT78" i="1"/>
  <c r="CA78" i="1"/>
  <c r="CF78" i="1"/>
  <c r="CE78" i="1" s="1"/>
  <c r="BX78" i="1"/>
  <c r="BY78" i="1"/>
  <c r="CD57" i="1"/>
  <c r="BV57" i="1"/>
  <c r="CC57" i="1"/>
  <c r="CB57" i="1"/>
  <c r="CA57" i="1"/>
  <c r="BW57" i="1"/>
  <c r="BZ57" i="1"/>
  <c r="BY57" i="1"/>
  <c r="BX57" i="1"/>
  <c r="BU57" i="1"/>
  <c r="CF57" i="1"/>
  <c r="CE57" i="1" s="1"/>
  <c r="BT57" i="1"/>
  <c r="BS57" i="1"/>
  <c r="CD36" i="1"/>
  <c r="CF36" i="1"/>
  <c r="BV36" i="1"/>
  <c r="BW36" i="1"/>
  <c r="BS36" i="1"/>
  <c r="CC36" i="1"/>
  <c r="BY36" i="1"/>
  <c r="BT36" i="1"/>
  <c r="CA36" i="1"/>
  <c r="BX36" i="1"/>
  <c r="BZ36" i="1"/>
  <c r="CB36" i="1"/>
  <c r="BU36" i="1"/>
  <c r="BV21" i="1"/>
  <c r="BU21" i="1"/>
  <c r="BT21" i="1"/>
  <c r="BS21" i="1"/>
  <c r="CH21" i="1"/>
  <c r="CF21" i="1"/>
  <c r="CE21" i="1" s="1"/>
  <c r="CD21" i="1"/>
  <c r="CC21" i="1"/>
  <c r="CB21" i="1"/>
  <c r="CA21" i="1"/>
  <c r="BZ21" i="1"/>
  <c r="BX21" i="1"/>
  <c r="BW21" i="1"/>
  <c r="BY21" i="1"/>
  <c r="CA80" i="1"/>
  <c r="BS80" i="1"/>
  <c r="BT80" i="1"/>
  <c r="BZ80" i="1"/>
  <c r="BU80" i="1"/>
  <c r="CB80" i="1"/>
  <c r="BX80" i="1"/>
  <c r="BY80" i="1"/>
  <c r="CH80" i="1"/>
  <c r="CC80" i="1"/>
  <c r="BW80" i="1"/>
  <c r="CF80" i="1"/>
  <c r="CE80" i="1" s="1"/>
  <c r="CD80" i="1"/>
  <c r="BV80" i="1"/>
  <c r="BW18" i="1"/>
  <c r="BV18" i="1"/>
  <c r="BU18" i="1"/>
  <c r="BT18" i="1"/>
  <c r="BS18" i="1"/>
  <c r="CF18" i="1"/>
  <c r="CD18" i="1"/>
  <c r="CC18" i="1"/>
  <c r="CA18" i="1"/>
  <c r="BZ18" i="1"/>
  <c r="CB18" i="1"/>
  <c r="BY18" i="1"/>
  <c r="BX18" i="1"/>
  <c r="CD60" i="1"/>
  <c r="BS60" i="1"/>
  <c r="BV60" i="1"/>
  <c r="BW60" i="1"/>
  <c r="CB60" i="1"/>
  <c r="BU60" i="1"/>
  <c r="BZ60" i="1"/>
  <c r="CF60" i="1"/>
  <c r="CE60" i="1" s="1"/>
  <c r="BY60" i="1"/>
  <c r="BX60" i="1"/>
  <c r="BT60" i="1"/>
  <c r="CC60" i="1"/>
  <c r="CH60" i="1"/>
  <c r="CA60" i="1"/>
  <c r="CD23" i="1"/>
  <c r="CC23" i="1"/>
  <c r="CB23" i="1"/>
  <c r="CA23" i="1"/>
  <c r="BZ23" i="1"/>
  <c r="BY23" i="1"/>
  <c r="BX23" i="1"/>
  <c r="BW23" i="1"/>
  <c r="BV23" i="1"/>
  <c r="BU23" i="1"/>
  <c r="BT23" i="1"/>
  <c r="CH23" i="1"/>
  <c r="CF23" i="1"/>
  <c r="CE23" i="1" s="1"/>
  <c r="BS23" i="1"/>
  <c r="BV103" i="1"/>
  <c r="CB103" i="1"/>
  <c r="CF103" i="1"/>
  <c r="CE103" i="1" s="1"/>
  <c r="BU103" i="1"/>
  <c r="BY103" i="1"/>
  <c r="BX103" i="1"/>
  <c r="CC103" i="1"/>
  <c r="BS103" i="1"/>
  <c r="CA103" i="1"/>
  <c r="CD103" i="1"/>
  <c r="BW103" i="1"/>
  <c r="BT103" i="1"/>
  <c r="BZ103" i="1"/>
  <c r="BS155" i="1"/>
  <c r="BO155" i="1" s="1"/>
  <c r="BP155" i="1" s="1"/>
  <c r="CF155" i="1"/>
  <c r="CE155" i="1" s="1"/>
  <c r="BW155" i="1"/>
  <c r="BY155" i="1"/>
  <c r="CC155" i="1"/>
  <c r="BV155" i="1"/>
  <c r="CD155" i="1"/>
  <c r="BX155" i="1"/>
  <c r="BT155" i="1"/>
  <c r="BU155" i="1"/>
  <c r="CA155" i="1"/>
  <c r="CB155" i="1"/>
  <c r="BZ155" i="1"/>
  <c r="BX121" i="1"/>
  <c r="BS121" i="1"/>
  <c r="CA121" i="1"/>
  <c r="BW121" i="1"/>
  <c r="CD121" i="1"/>
  <c r="CF121" i="1"/>
  <c r="CE121" i="1" s="1"/>
  <c r="BY121" i="1"/>
  <c r="BZ121" i="1"/>
  <c r="CC121" i="1"/>
  <c r="BU121" i="1"/>
  <c r="CB121" i="1"/>
  <c r="BV121" i="1"/>
  <c r="BT121" i="1"/>
  <c r="CH121" i="1"/>
  <c r="CF134" i="1"/>
  <c r="BV134" i="1"/>
  <c r="CB134" i="1"/>
  <c r="BX134" i="1"/>
  <c r="CD134" i="1"/>
  <c r="CA134" i="1"/>
  <c r="BT134" i="1"/>
  <c r="BW134" i="1"/>
  <c r="CC134" i="1"/>
  <c r="BS134" i="1"/>
  <c r="BZ134" i="1"/>
  <c r="BU134" i="1"/>
  <c r="BY134" i="1"/>
  <c r="BY96" i="1"/>
  <c r="BW96" i="1"/>
  <c r="CB96" i="1"/>
  <c r="CF96" i="1"/>
  <c r="CE96" i="1" s="1"/>
  <c r="BS96" i="1"/>
  <c r="CH96" i="1"/>
  <c r="BT96" i="1"/>
  <c r="CD96" i="1"/>
  <c r="BX96" i="1"/>
  <c r="CA96" i="1"/>
  <c r="BZ96" i="1"/>
  <c r="BU96" i="1"/>
  <c r="CC96" i="1"/>
  <c r="BV96" i="1"/>
  <c r="BU79" i="1"/>
  <c r="CA79" i="1"/>
  <c r="CC79" i="1"/>
  <c r="BW79" i="1"/>
  <c r="CD79" i="1"/>
  <c r="BY79" i="1"/>
  <c r="CF79" i="1"/>
  <c r="CE79" i="1" s="1"/>
  <c r="BS79" i="1"/>
  <c r="BT79" i="1"/>
  <c r="BV79" i="1"/>
  <c r="BX79" i="1"/>
  <c r="BZ79" i="1"/>
  <c r="CB79" i="1"/>
  <c r="BX61" i="1"/>
  <c r="CB61" i="1"/>
  <c r="BZ61" i="1"/>
  <c r="BY61" i="1"/>
  <c r="BV61" i="1"/>
  <c r="BS61" i="1"/>
  <c r="BW61" i="1"/>
  <c r="CF61" i="1"/>
  <c r="CC61" i="1"/>
  <c r="BU61" i="1"/>
  <c r="CD61" i="1"/>
  <c r="CA61" i="1"/>
  <c r="BT61" i="1"/>
  <c r="CH46" i="1"/>
  <c r="BY46" i="1"/>
  <c r="CA46" i="1"/>
  <c r="CB46" i="1"/>
  <c r="CC46" i="1"/>
  <c r="CF46" i="1"/>
  <c r="CE46" i="1" s="1"/>
  <c r="BV46" i="1"/>
  <c r="BT46" i="1"/>
  <c r="BW46" i="1"/>
  <c r="CD46" i="1"/>
  <c r="BZ46" i="1"/>
  <c r="BU46" i="1"/>
  <c r="BS46" i="1"/>
  <c r="BX46" i="1"/>
  <c r="CH65" i="1"/>
  <c r="BZ30" i="1"/>
  <c r="BY30" i="1"/>
  <c r="BX30" i="1"/>
  <c r="BW30" i="1"/>
  <c r="BV30" i="1"/>
  <c r="BU30" i="1"/>
  <c r="BT30" i="1"/>
  <c r="BS30" i="1"/>
  <c r="CH30" i="1"/>
  <c r="CD30" i="1"/>
  <c r="CC30" i="1"/>
  <c r="CF30" i="1"/>
  <c r="CE30" i="1" s="1"/>
  <c r="CB30" i="1"/>
  <c r="CA30" i="1"/>
  <c r="CA156" i="1"/>
  <c r="BY156" i="1"/>
  <c r="BU156" i="1"/>
  <c r="BT156" i="1"/>
  <c r="BW156" i="1"/>
  <c r="CF156" i="1"/>
  <c r="CE156" i="1" s="1"/>
  <c r="CD156" i="1"/>
  <c r="CC156" i="1"/>
  <c r="CB156" i="1"/>
  <c r="BS156" i="1"/>
  <c r="BZ156" i="1"/>
  <c r="BX156" i="1"/>
  <c r="BV156" i="1"/>
  <c r="BU109" i="1"/>
  <c r="BZ109" i="1"/>
  <c r="CD109" i="1"/>
  <c r="CF109" i="1"/>
  <c r="CE109" i="1" s="1"/>
  <c r="BT109" i="1"/>
  <c r="CB109" i="1"/>
  <c r="BY109" i="1"/>
  <c r="BW109" i="1"/>
  <c r="BV109" i="1"/>
  <c r="CC109" i="1"/>
  <c r="CA109" i="1"/>
  <c r="BS109" i="1"/>
  <c r="BX109" i="1"/>
  <c r="CF111" i="1"/>
  <c r="CE111" i="1" s="1"/>
  <c r="CC111" i="1"/>
  <c r="BX111" i="1"/>
  <c r="BS111" i="1"/>
  <c r="CD111" i="1"/>
  <c r="BY111" i="1"/>
  <c r="BV111" i="1"/>
  <c r="BW111" i="1"/>
  <c r="BT111" i="1"/>
  <c r="BZ111" i="1"/>
  <c r="CA111" i="1"/>
  <c r="BU111" i="1"/>
  <c r="CB111" i="1"/>
  <c r="BW123" i="1"/>
  <c r="BU123" i="1"/>
  <c r="CD123" i="1"/>
  <c r="CF123" i="1"/>
  <c r="CE123" i="1" s="1"/>
  <c r="BZ123" i="1"/>
  <c r="BX123" i="1"/>
  <c r="CA123" i="1"/>
  <c r="BY123" i="1"/>
  <c r="BT123" i="1"/>
  <c r="BV123" i="1"/>
  <c r="CC123" i="1"/>
  <c r="CB123" i="1"/>
  <c r="CH123" i="1"/>
  <c r="BS123" i="1"/>
  <c r="BX136" i="1"/>
  <c r="BZ136" i="1"/>
  <c r="CA136" i="1"/>
  <c r="CB136" i="1"/>
  <c r="CC136" i="1"/>
  <c r="CD136" i="1"/>
  <c r="BY136" i="1"/>
  <c r="BU136" i="1"/>
  <c r="BS136" i="1"/>
  <c r="BW136" i="1"/>
  <c r="BT136" i="1"/>
  <c r="BV136" i="1"/>
  <c r="CF136" i="1"/>
  <c r="CE136" i="1" s="1"/>
  <c r="CH136" i="1"/>
  <c r="BT73" i="1"/>
  <c r="BY73" i="1"/>
  <c r="BU73" i="1"/>
  <c r="CD73" i="1"/>
  <c r="BS73" i="1"/>
  <c r="BZ73" i="1"/>
  <c r="CA73" i="1"/>
  <c r="BV73" i="1"/>
  <c r="BX73" i="1"/>
  <c r="CB73" i="1"/>
  <c r="CF73" i="1"/>
  <c r="CE73" i="1" s="1"/>
  <c r="BW73" i="1"/>
  <c r="CC73" i="1"/>
  <c r="BS81" i="1"/>
  <c r="BV81" i="1"/>
  <c r="CB81" i="1"/>
  <c r="BX81" i="1"/>
  <c r="CD81" i="1"/>
  <c r="CC81" i="1"/>
  <c r="CH81" i="1"/>
  <c r="BZ81" i="1"/>
  <c r="BY81" i="1"/>
  <c r="BU81" i="1"/>
  <c r="CF81" i="1"/>
  <c r="CE81" i="1" s="1"/>
  <c r="BW81" i="1"/>
  <c r="CA81" i="1"/>
  <c r="BT81" i="1"/>
  <c r="CA53" i="1"/>
  <c r="CB53" i="1"/>
  <c r="BZ53" i="1"/>
  <c r="CH53" i="1"/>
  <c r="BY53" i="1"/>
  <c r="BS53" i="1"/>
  <c r="BT53" i="1"/>
  <c r="CF53" i="1"/>
  <c r="CE53" i="1" s="1"/>
  <c r="CC53" i="1"/>
  <c r="BW53" i="1"/>
  <c r="BV53" i="1"/>
  <c r="BU53" i="1"/>
  <c r="CD53" i="1"/>
  <c r="BX53" i="1"/>
  <c r="BX40" i="1"/>
  <c r="CA40" i="1"/>
  <c r="BW40" i="1"/>
  <c r="BZ40" i="1"/>
  <c r="CB40" i="1"/>
  <c r="CD40" i="1"/>
  <c r="BT40" i="1"/>
  <c r="BS40" i="1"/>
  <c r="CF40" i="1"/>
  <c r="CE40" i="1" s="1"/>
  <c r="BY40" i="1"/>
  <c r="BV40" i="1"/>
  <c r="CC40" i="1"/>
  <c r="BU40" i="1"/>
  <c r="BU19" i="1"/>
  <c r="BS19" i="1"/>
  <c r="CH19" i="1"/>
  <c r="CF19" i="1"/>
  <c r="CE19" i="1" s="1"/>
  <c r="CD19" i="1"/>
  <c r="CC19" i="1"/>
  <c r="CB19" i="1"/>
  <c r="CA19" i="1"/>
  <c r="BZ19" i="1"/>
  <c r="BX19" i="1"/>
  <c r="BW19" i="1"/>
  <c r="BY19" i="1"/>
  <c r="BV19" i="1"/>
  <c r="BT19" i="1"/>
  <c r="BV149" i="1"/>
  <c r="BX149" i="1"/>
  <c r="BY149" i="1"/>
  <c r="BT149" i="1"/>
  <c r="BU149" i="1"/>
  <c r="CB149" i="1"/>
  <c r="CA149" i="1"/>
  <c r="BW149" i="1"/>
  <c r="BS149" i="1"/>
  <c r="CD149" i="1"/>
  <c r="BZ149" i="1"/>
  <c r="CF149" i="1"/>
  <c r="CC149" i="1"/>
  <c r="CD70" i="1"/>
  <c r="CC70" i="1"/>
  <c r="CF70" i="1"/>
  <c r="CE70" i="1" s="1"/>
  <c r="CB70" i="1"/>
  <c r="BU70" i="1"/>
  <c r="BX70" i="1"/>
  <c r="BY70" i="1"/>
  <c r="BV70" i="1"/>
  <c r="BS70" i="1"/>
  <c r="BZ70" i="1"/>
  <c r="CA70" i="1"/>
  <c r="BW70" i="1"/>
  <c r="BT70" i="1"/>
  <c r="CH70" i="1"/>
  <c r="BW110" i="1"/>
  <c r="CD110" i="1"/>
  <c r="BT110" i="1"/>
  <c r="CB110" i="1"/>
  <c r="BS110" i="1"/>
  <c r="CC110" i="1"/>
  <c r="BY110" i="1"/>
  <c r="CA110" i="1"/>
  <c r="BX110" i="1"/>
  <c r="BZ110" i="1"/>
  <c r="BU110" i="1"/>
  <c r="BV110" i="1"/>
  <c r="CF110" i="1"/>
  <c r="CE110" i="1" s="1"/>
  <c r="BW120" i="1"/>
  <c r="CF120" i="1"/>
  <c r="CE120" i="1" s="1"/>
  <c r="CH120" i="1"/>
  <c r="BV120" i="1"/>
  <c r="BT120" i="1"/>
  <c r="CC120" i="1"/>
  <c r="CD120" i="1"/>
  <c r="BX120" i="1"/>
  <c r="CA120" i="1"/>
  <c r="CB120" i="1"/>
  <c r="BY120" i="1"/>
  <c r="BZ120" i="1"/>
  <c r="BU120" i="1"/>
  <c r="BS120" i="1"/>
  <c r="BX124" i="1"/>
  <c r="BS124" i="1"/>
  <c r="BZ124" i="1"/>
  <c r="CD124" i="1"/>
  <c r="BY124" i="1"/>
  <c r="BU124" i="1"/>
  <c r="CF124" i="1"/>
  <c r="BW124" i="1"/>
  <c r="CA124" i="1"/>
  <c r="CB124" i="1"/>
  <c r="BT124" i="1"/>
  <c r="BV124" i="1"/>
  <c r="CC124" i="1"/>
  <c r="BZ159" i="1"/>
  <c r="CA159" i="1"/>
  <c r="CB159" i="1"/>
  <c r="CC159" i="1"/>
  <c r="CD159" i="1"/>
  <c r="BS159" i="1"/>
  <c r="BT159" i="1"/>
  <c r="BV159" i="1"/>
  <c r="BY159" i="1"/>
  <c r="BW159" i="1"/>
  <c r="BU159" i="1"/>
  <c r="BX159" i="1"/>
  <c r="CF159" i="1"/>
  <c r="CF87" i="1"/>
  <c r="CE87" i="1" s="1"/>
  <c r="BW87" i="1"/>
  <c r="CA87" i="1"/>
  <c r="BT87" i="1"/>
  <c r="CB87" i="1"/>
  <c r="BZ87" i="1"/>
  <c r="BX87" i="1"/>
  <c r="CC87" i="1"/>
  <c r="BS87" i="1"/>
  <c r="CD87" i="1"/>
  <c r="BU87" i="1"/>
  <c r="CH87" i="1"/>
  <c r="BV87" i="1"/>
  <c r="BY87" i="1"/>
  <c r="CC84" i="1"/>
  <c r="BU84" i="1"/>
  <c r="CF84" i="1"/>
  <c r="CE84" i="1" s="1"/>
  <c r="CH84" i="1"/>
  <c r="BV84" i="1"/>
  <c r="BY84" i="1"/>
  <c r="BS84" i="1"/>
  <c r="CA84" i="1"/>
  <c r="CB84" i="1"/>
  <c r="CD84" i="1"/>
  <c r="BT84" i="1"/>
  <c r="BW84" i="1"/>
  <c r="BZ84" i="1"/>
  <c r="BX84" i="1"/>
  <c r="BS52" i="1"/>
  <c r="BV52" i="1"/>
  <c r="CC52" i="1"/>
  <c r="BW52" i="1"/>
  <c r="CD52" i="1"/>
  <c r="CF52" i="1"/>
  <c r="CE52" i="1" s="1"/>
  <c r="BZ52" i="1"/>
  <c r="BY52" i="1"/>
  <c r="BU52" i="1"/>
  <c r="CA52" i="1"/>
  <c r="CH52" i="1"/>
  <c r="BX52" i="1"/>
  <c r="CB52" i="1"/>
  <c r="BT52" i="1"/>
  <c r="BY45" i="1"/>
  <c r="BU45" i="1"/>
  <c r="CC45" i="1"/>
  <c r="CD45" i="1"/>
  <c r="BZ45" i="1"/>
  <c r="CH45" i="1"/>
  <c r="CB45" i="1"/>
  <c r="BX45" i="1"/>
  <c r="BS45" i="1"/>
  <c r="BV45" i="1"/>
  <c r="CA45" i="1"/>
  <c r="BW45" i="1"/>
  <c r="BT45" i="1"/>
  <c r="CF45" i="1"/>
  <c r="CE45" i="1" s="1"/>
  <c r="CH97" i="1"/>
  <c r="CH35" i="1"/>
  <c r="CF35" i="1"/>
  <c r="CE35" i="1" s="1"/>
  <c r="CD35" i="1"/>
  <c r="CC35" i="1"/>
  <c r="CB35" i="1"/>
  <c r="CA35" i="1"/>
  <c r="BZ35" i="1"/>
  <c r="BY35" i="1"/>
  <c r="BX35" i="1"/>
  <c r="BW35" i="1"/>
  <c r="BV35" i="1"/>
  <c r="BT35" i="1"/>
  <c r="BS35" i="1"/>
  <c r="BU35" i="1"/>
  <c r="BW127" i="1"/>
  <c r="CF127" i="1"/>
  <c r="CE127" i="1" s="1"/>
  <c r="CD127" i="1"/>
  <c r="BS127" i="1"/>
  <c r="BV127" i="1"/>
  <c r="CB127" i="1"/>
  <c r="BU127" i="1"/>
  <c r="BY127" i="1"/>
  <c r="BX127" i="1"/>
  <c r="BT127" i="1"/>
  <c r="CA127" i="1"/>
  <c r="BZ127" i="1"/>
  <c r="CC127" i="1"/>
  <c r="BU104" i="1"/>
  <c r="BX104" i="1"/>
  <c r="CC104" i="1"/>
  <c r="BT104" i="1"/>
  <c r="CA104" i="1"/>
  <c r="BW104" i="1"/>
  <c r="CB104" i="1"/>
  <c r="BS104" i="1"/>
  <c r="BV104" i="1"/>
  <c r="CH104" i="1"/>
  <c r="BZ104" i="1"/>
  <c r="BY104" i="1"/>
  <c r="CD104" i="1"/>
  <c r="CF104" i="1"/>
  <c r="CE104" i="1" s="1"/>
  <c r="BY47" i="1"/>
  <c r="BX47" i="1"/>
  <c r="BZ47" i="1"/>
  <c r="CD47" i="1"/>
  <c r="BS47" i="1"/>
  <c r="BT47" i="1"/>
  <c r="BU47" i="1"/>
  <c r="CH47" i="1"/>
  <c r="CB47" i="1"/>
  <c r="CA47" i="1"/>
  <c r="CF47" i="1"/>
  <c r="CE47" i="1" s="1"/>
  <c r="CC47" i="1"/>
  <c r="BW47" i="1"/>
  <c r="BV47" i="1"/>
  <c r="CD113" i="1"/>
  <c r="CA113" i="1"/>
  <c r="BY113" i="1"/>
  <c r="BW113" i="1"/>
  <c r="CC113" i="1"/>
  <c r="CB113" i="1"/>
  <c r="BX113" i="1"/>
  <c r="CF113" i="1"/>
  <c r="CE113" i="1" s="1"/>
  <c r="BS113" i="1"/>
  <c r="BV113" i="1"/>
  <c r="BU113" i="1"/>
  <c r="BZ113" i="1"/>
  <c r="BT113" i="1"/>
  <c r="BZ139" i="1"/>
  <c r="BX139" i="1"/>
  <c r="CA139" i="1"/>
  <c r="CD139" i="1"/>
  <c r="BS139" i="1"/>
  <c r="BV139" i="1"/>
  <c r="CC139" i="1"/>
  <c r="CF139" i="1"/>
  <c r="CE139" i="1" s="1"/>
  <c r="BY139" i="1"/>
  <c r="CH139" i="1"/>
  <c r="BW139" i="1"/>
  <c r="BU139" i="1"/>
  <c r="BT139" i="1"/>
  <c r="CB139" i="1"/>
  <c r="BW125" i="1"/>
  <c r="BU125" i="1"/>
  <c r="BT125" i="1"/>
  <c r="BS125" i="1"/>
  <c r="CC125" i="1"/>
  <c r="CB125" i="1"/>
  <c r="CF125" i="1"/>
  <c r="CE125" i="1" s="1"/>
  <c r="CA125" i="1"/>
  <c r="CD125" i="1"/>
  <c r="BV125" i="1"/>
  <c r="BZ125" i="1"/>
  <c r="BY125" i="1"/>
  <c r="BX125" i="1"/>
  <c r="BV74" i="1"/>
  <c r="CB74" i="1"/>
  <c r="BS74" i="1"/>
  <c r="CA74" i="1"/>
  <c r="CD74" i="1"/>
  <c r="BT74" i="1"/>
  <c r="CF74" i="1"/>
  <c r="BU74" i="1"/>
  <c r="BY74" i="1"/>
  <c r="BX74" i="1"/>
  <c r="BZ74" i="1"/>
  <c r="BW74" i="1"/>
  <c r="CC74" i="1"/>
  <c r="BY88" i="1"/>
  <c r="CF88" i="1"/>
  <c r="CE88" i="1" s="1"/>
  <c r="BS88" i="1"/>
  <c r="CC88" i="1"/>
  <c r="CB88" i="1"/>
  <c r="CA88" i="1"/>
  <c r="BV88" i="1"/>
  <c r="BT88" i="1"/>
  <c r="BW88" i="1"/>
  <c r="BZ88" i="1"/>
  <c r="CD88" i="1"/>
  <c r="CH88" i="1"/>
  <c r="BX88" i="1"/>
  <c r="BU88" i="1"/>
  <c r="BS85" i="1"/>
  <c r="BU85" i="1"/>
  <c r="BW85" i="1"/>
  <c r="CA85" i="1"/>
  <c r="BX85" i="1"/>
  <c r="BZ85" i="1"/>
  <c r="CB85" i="1"/>
  <c r="CD85" i="1"/>
  <c r="CF85" i="1"/>
  <c r="CE85" i="1" s="1"/>
  <c r="CC85" i="1"/>
  <c r="BY85" i="1"/>
  <c r="BV85" i="1"/>
  <c r="BT85" i="1"/>
  <c r="BZ51" i="1"/>
  <c r="CA51" i="1"/>
  <c r="CB51" i="1"/>
  <c r="CD51" i="1"/>
  <c r="BV51" i="1"/>
  <c r="BY51" i="1"/>
  <c r="BU51" i="1"/>
  <c r="BS51" i="1"/>
  <c r="CC51" i="1"/>
  <c r="BT51" i="1"/>
  <c r="CF51" i="1"/>
  <c r="CE51" i="1" s="1"/>
  <c r="CH51" i="1"/>
  <c r="BW51" i="1"/>
  <c r="BX51" i="1"/>
  <c r="CA37" i="1"/>
  <c r="BV37" i="1"/>
  <c r="BW37" i="1"/>
  <c r="BY37" i="1"/>
  <c r="CD37" i="1"/>
  <c r="CH37" i="1"/>
  <c r="BT37" i="1"/>
  <c r="CF37" i="1"/>
  <c r="CE37" i="1" s="1"/>
  <c r="BU37" i="1"/>
  <c r="CC37" i="1"/>
  <c r="BS37" i="1"/>
  <c r="BX37" i="1"/>
  <c r="BZ37" i="1"/>
  <c r="CB37" i="1"/>
  <c r="CH156" i="1"/>
  <c r="CH79" i="1"/>
  <c r="CH59" i="1"/>
  <c r="CA24" i="1"/>
  <c r="BZ24" i="1"/>
  <c r="BY24" i="1"/>
  <c r="BX24" i="1"/>
  <c r="BW24" i="1"/>
  <c r="BV24" i="1"/>
  <c r="BU24" i="1"/>
  <c r="BT24" i="1"/>
  <c r="BS24" i="1"/>
  <c r="CH24" i="1"/>
  <c r="CF24" i="1"/>
  <c r="CE24" i="1" s="1"/>
  <c r="CD24" i="1"/>
  <c r="CC24" i="1"/>
  <c r="CB24" i="1"/>
  <c r="CB130" i="1"/>
  <c r="BX130" i="1"/>
  <c r="CA130" i="1"/>
  <c r="BZ130" i="1"/>
  <c r="CD130" i="1"/>
  <c r="CC130" i="1"/>
  <c r="BW130" i="1"/>
  <c r="BV130" i="1"/>
  <c r="CF130" i="1"/>
  <c r="CE130" i="1" s="1"/>
  <c r="BU130" i="1"/>
  <c r="BT130" i="1"/>
  <c r="BY130" i="1"/>
  <c r="CH130" i="1"/>
  <c r="BS130" i="1"/>
  <c r="BV122" i="1"/>
  <c r="BT122" i="1"/>
  <c r="CF122" i="1"/>
  <c r="BU122" i="1"/>
  <c r="BZ122" i="1"/>
  <c r="CB122" i="1"/>
  <c r="CC122" i="1"/>
  <c r="BW122" i="1"/>
  <c r="BS122" i="1"/>
  <c r="CA122" i="1"/>
  <c r="BY122" i="1"/>
  <c r="CD122" i="1"/>
  <c r="BX122" i="1"/>
  <c r="CB148" i="1"/>
  <c r="BU148" i="1"/>
  <c r="CA148" i="1"/>
  <c r="BX148" i="1"/>
  <c r="BY148" i="1"/>
  <c r="CC148" i="1"/>
  <c r="CF148" i="1"/>
  <c r="CE148" i="1" s="1"/>
  <c r="BT148" i="1"/>
  <c r="BW148" i="1"/>
  <c r="CD148" i="1"/>
  <c r="BS148" i="1"/>
  <c r="BZ148" i="1"/>
  <c r="BV148" i="1"/>
  <c r="BU126" i="1"/>
  <c r="BT126" i="1"/>
  <c r="BS126" i="1"/>
  <c r="BW126" i="1"/>
  <c r="CF126" i="1"/>
  <c r="CE126" i="1" s="1"/>
  <c r="CA126" i="1"/>
  <c r="CD126" i="1"/>
  <c r="BZ126" i="1"/>
  <c r="CC126" i="1"/>
  <c r="BV126" i="1"/>
  <c r="BY126" i="1"/>
  <c r="CB126" i="1"/>
  <c r="BX126" i="1"/>
  <c r="CH75" i="1"/>
  <c r="CC75" i="1"/>
  <c r="CB75" i="1"/>
  <c r="BT75" i="1"/>
  <c r="BV75" i="1"/>
  <c r="BZ75" i="1"/>
  <c r="BW75" i="1"/>
  <c r="CA75" i="1"/>
  <c r="BS75" i="1"/>
  <c r="BX75" i="1"/>
  <c r="CD75" i="1"/>
  <c r="BY75" i="1"/>
  <c r="BU75" i="1"/>
  <c r="CF75" i="1"/>
  <c r="CE75" i="1" s="1"/>
  <c r="CA90" i="1"/>
  <c r="BX90" i="1"/>
  <c r="BW90" i="1"/>
  <c r="BT90" i="1"/>
  <c r="CD90" i="1"/>
  <c r="CB90" i="1"/>
  <c r="BS90" i="1"/>
  <c r="BY90" i="1"/>
  <c r="BV90" i="1"/>
  <c r="CC90" i="1"/>
  <c r="BZ90" i="1"/>
  <c r="BU90" i="1"/>
  <c r="CF90" i="1"/>
  <c r="BT91" i="1"/>
  <c r="CA91" i="1"/>
  <c r="BY91" i="1"/>
  <c r="CF91" i="1"/>
  <c r="CE91" i="1" s="1"/>
  <c r="BV91" i="1"/>
  <c r="BZ91" i="1"/>
  <c r="CD91" i="1"/>
  <c r="CH91" i="1"/>
  <c r="CC91" i="1"/>
  <c r="BW91" i="1"/>
  <c r="BS91" i="1"/>
  <c r="CB91" i="1"/>
  <c r="BU91" i="1"/>
  <c r="BX91" i="1"/>
  <c r="BS50" i="1"/>
  <c r="BV50" i="1"/>
  <c r="CH50" i="1"/>
  <c r="BX50" i="1"/>
  <c r="BY50" i="1"/>
  <c r="BW50" i="1"/>
  <c r="CC50" i="1"/>
  <c r="CF50" i="1"/>
  <c r="CE50" i="1" s="1"/>
  <c r="BZ50" i="1"/>
  <c r="BU50" i="1"/>
  <c r="BT50" i="1"/>
  <c r="CB50" i="1"/>
  <c r="CA50" i="1"/>
  <c r="CD50" i="1"/>
  <c r="BS41" i="1"/>
  <c r="CD41" i="1"/>
  <c r="BW41" i="1"/>
  <c r="CA41" i="1"/>
  <c r="BT41" i="1"/>
  <c r="BX41" i="1"/>
  <c r="BV41" i="1"/>
  <c r="BU41" i="1"/>
  <c r="CH41" i="1"/>
  <c r="CF41" i="1"/>
  <c r="CE41" i="1" s="1"/>
  <c r="BY41" i="1"/>
  <c r="CB41" i="1"/>
  <c r="CC41" i="1"/>
  <c r="BZ41" i="1"/>
  <c r="CH143" i="1"/>
  <c r="CH38" i="1"/>
  <c r="BX29" i="1"/>
  <c r="BW29" i="1"/>
  <c r="BV29" i="1"/>
  <c r="BU29" i="1"/>
  <c r="BT29" i="1"/>
  <c r="BS29" i="1"/>
  <c r="CH29" i="1"/>
  <c r="CF29" i="1"/>
  <c r="CE29" i="1" s="1"/>
  <c r="CD29" i="1"/>
  <c r="CB29" i="1"/>
  <c r="CA29" i="1"/>
  <c r="CC29" i="1"/>
  <c r="BZ29" i="1"/>
  <c r="BY29" i="1"/>
  <c r="CH155" i="1"/>
  <c r="CH144" i="1"/>
  <c r="CH73" i="1"/>
  <c r="CH126" i="1"/>
  <c r="CH109" i="1"/>
  <c r="D3455" i="31"/>
  <c r="D3456" i="31"/>
  <c r="D3457" i="31"/>
  <c r="D3458" i="31"/>
  <c r="D3459" i="31"/>
  <c r="D3460" i="31"/>
  <c r="D3461" i="31"/>
  <c r="D3462" i="31"/>
  <c r="D3463" i="31"/>
  <c r="D3464" i="31"/>
  <c r="D3465" i="31"/>
  <c r="D3466" i="31"/>
  <c r="D3467" i="31"/>
  <c r="D3468" i="31"/>
  <c r="D3469" i="31"/>
  <c r="D3470" i="31"/>
  <c r="D3471" i="31"/>
  <c r="D3472" i="31"/>
  <c r="D3473" i="31"/>
  <c r="D3474" i="31"/>
  <c r="D3475" i="31"/>
  <c r="D3476" i="31"/>
  <c r="D3477" i="31"/>
  <c r="D3478" i="31"/>
  <c r="D3479" i="31"/>
  <c r="D3480" i="31"/>
  <c r="D3481" i="31"/>
  <c r="D3482" i="31"/>
  <c r="D3483" i="31"/>
  <c r="D3484" i="31"/>
  <c r="D3485" i="31"/>
  <c r="D3486" i="31"/>
  <c r="J3455" i="31"/>
  <c r="J3456" i="31"/>
  <c r="J3457" i="31"/>
  <c r="J3458" i="31"/>
  <c r="J3459" i="31"/>
  <c r="J3460" i="31"/>
  <c r="J3461" i="31"/>
  <c r="J3462" i="31"/>
  <c r="J3463" i="31"/>
  <c r="J3464" i="31"/>
  <c r="J3465" i="31"/>
  <c r="J3466" i="31"/>
  <c r="J3467" i="31"/>
  <c r="J3468" i="31"/>
  <c r="J3469" i="31"/>
  <c r="J3470" i="31"/>
  <c r="J3471" i="31"/>
  <c r="J3472" i="31"/>
  <c r="J3473" i="31"/>
  <c r="J3474" i="31"/>
  <c r="J3475" i="31"/>
  <c r="J3476" i="31"/>
  <c r="J3477" i="31"/>
  <c r="J3478" i="31"/>
  <c r="J3479" i="31"/>
  <c r="J3480" i="31"/>
  <c r="J3481" i="31"/>
  <c r="J3482" i="31"/>
  <c r="J3483" i="31"/>
  <c r="J3484" i="31"/>
  <c r="J3485" i="31"/>
  <c r="J3486" i="31"/>
  <c r="D3487" i="31"/>
  <c r="J3487" i="31"/>
  <c r="AV3488" i="31"/>
  <c r="AU3488" i="31" s="1"/>
  <c r="AT3488" i="31" s="1"/>
  <c r="T3489" i="31" a="1"/>
  <c r="T3489" i="31" s="1"/>
  <c r="U3489" i="31" s="1"/>
  <c r="B3490" i="31"/>
  <c r="AS3489" i="31"/>
  <c r="AM3489" i="31"/>
  <c r="AL3489" i="31"/>
  <c r="J3488" i="31"/>
  <c r="D3488" i="31"/>
  <c r="BT250" i="1"/>
  <c r="BZ250" i="1"/>
  <c r="CD250" i="1"/>
  <c r="BU250" i="1"/>
  <c r="CF250" i="1"/>
  <c r="CE250" i="1" s="1"/>
  <c r="CH250" i="1"/>
  <c r="BX250" i="1"/>
  <c r="CA250" i="1"/>
  <c r="BV250" i="1"/>
  <c r="BW250" i="1"/>
  <c r="BS250" i="1"/>
  <c r="CC250" i="1"/>
  <c r="BY250" i="1"/>
  <c r="CB250" i="1"/>
  <c r="BS234" i="1"/>
  <c r="CF234" i="1"/>
  <c r="CE234" i="1" s="1"/>
  <c r="CB234" i="1"/>
  <c r="BT234" i="1"/>
  <c r="BY234" i="1"/>
  <c r="BX234" i="1"/>
  <c r="CD234" i="1"/>
  <c r="BV234" i="1"/>
  <c r="BU234" i="1"/>
  <c r="BZ234" i="1"/>
  <c r="BW234" i="1"/>
  <c r="CA234" i="1"/>
  <c r="CC234" i="1"/>
  <c r="BT220" i="1"/>
  <c r="CC220" i="1"/>
  <c r="CA220" i="1"/>
  <c r="BY220" i="1"/>
  <c r="CD220" i="1"/>
  <c r="BX220" i="1"/>
  <c r="BV220" i="1"/>
  <c r="BW220" i="1"/>
  <c r="CF220" i="1"/>
  <c r="BU220" i="1"/>
  <c r="BZ220" i="1"/>
  <c r="CB220" i="1"/>
  <c r="BS220" i="1"/>
  <c r="BY210" i="1"/>
  <c r="BW210" i="1"/>
  <c r="BT210" i="1"/>
  <c r="CF210" i="1"/>
  <c r="CC210" i="1"/>
  <c r="BS210" i="1"/>
  <c r="BX210" i="1"/>
  <c r="CD210" i="1"/>
  <c r="CB210" i="1"/>
  <c r="CA210" i="1"/>
  <c r="BU210" i="1"/>
  <c r="BZ210" i="1"/>
  <c r="BV210" i="1"/>
  <c r="BW186" i="1"/>
  <c r="CB186" i="1"/>
  <c r="CH186" i="1"/>
  <c r="BU186" i="1"/>
  <c r="CD186" i="1"/>
  <c r="BZ186" i="1"/>
  <c r="CF186" i="1"/>
  <c r="CE186" i="1" s="1"/>
  <c r="BV186" i="1"/>
  <c r="CA186" i="1"/>
  <c r="BY186" i="1"/>
  <c r="BX186" i="1"/>
  <c r="CC186" i="1"/>
  <c r="BS186" i="1"/>
  <c r="BT186" i="1"/>
  <c r="CA183" i="1"/>
  <c r="CF183" i="1"/>
  <c r="CD183" i="1"/>
  <c r="BT183" i="1"/>
  <c r="CC183" i="1"/>
  <c r="BW183" i="1"/>
  <c r="BY183" i="1"/>
  <c r="BS183" i="1"/>
  <c r="BV183" i="1"/>
  <c r="BZ183" i="1"/>
  <c r="CB183" i="1"/>
  <c r="BX183" i="1"/>
  <c r="BU183" i="1"/>
  <c r="BU173" i="1"/>
  <c r="BT173" i="1"/>
  <c r="CH173" i="1"/>
  <c r="BS173" i="1"/>
  <c r="CF173" i="1"/>
  <c r="CE173" i="1" s="1"/>
  <c r="CD173" i="1"/>
  <c r="BZ173" i="1"/>
  <c r="CA173" i="1"/>
  <c r="CC173" i="1"/>
  <c r="BV173" i="1"/>
  <c r="CB173" i="1"/>
  <c r="BX173" i="1"/>
  <c r="BW173" i="1"/>
  <c r="BY173" i="1"/>
  <c r="BZ167" i="1"/>
  <c r="CB167" i="1"/>
  <c r="BW167" i="1"/>
  <c r="BU167" i="1"/>
  <c r="BX167" i="1"/>
  <c r="CA167" i="1"/>
  <c r="CF167" i="1"/>
  <c r="BT167" i="1"/>
  <c r="BY167" i="1"/>
  <c r="CC167" i="1"/>
  <c r="CD167" i="1"/>
  <c r="BS167" i="1"/>
  <c r="BV167" i="1"/>
  <c r="BX271" i="1"/>
  <c r="BV271" i="1"/>
  <c r="BZ271" i="1"/>
  <c r="CD271" i="1"/>
  <c r="BT271" i="1"/>
  <c r="BU271" i="1"/>
  <c r="CH271" i="1"/>
  <c r="CA271" i="1"/>
  <c r="BW271" i="1"/>
  <c r="CF271" i="1"/>
  <c r="CE271" i="1" s="1"/>
  <c r="CC271" i="1"/>
  <c r="BS271" i="1"/>
  <c r="CB271" i="1"/>
  <c r="BY271" i="1"/>
  <c r="CA256" i="1"/>
  <c r="CD256" i="1"/>
  <c r="BX256" i="1"/>
  <c r="BU256" i="1"/>
  <c r="CF256" i="1"/>
  <c r="CE256" i="1" s="1"/>
  <c r="CB256" i="1"/>
  <c r="CC256" i="1"/>
  <c r="BV256" i="1"/>
  <c r="BW256" i="1"/>
  <c r="BZ256" i="1"/>
  <c r="BT256" i="1"/>
  <c r="BS256" i="1"/>
  <c r="BY256" i="1"/>
  <c r="BV251" i="1"/>
  <c r="BT251" i="1"/>
  <c r="BY251" i="1"/>
  <c r="BW251" i="1"/>
  <c r="CC251" i="1"/>
  <c r="CD251" i="1"/>
  <c r="CB251" i="1"/>
  <c r="BX251" i="1"/>
  <c r="BZ251" i="1"/>
  <c r="CA251" i="1"/>
  <c r="BS251" i="1"/>
  <c r="CF251" i="1"/>
  <c r="BU251" i="1"/>
  <c r="BV243" i="1"/>
  <c r="BT243" i="1"/>
  <c r="CH243" i="1"/>
  <c r="BX243" i="1"/>
  <c r="BU243" i="1"/>
  <c r="BW243" i="1"/>
  <c r="BY243" i="1"/>
  <c r="BS243" i="1"/>
  <c r="CB243" i="1"/>
  <c r="CD243" i="1"/>
  <c r="CF243" i="1"/>
  <c r="CE243" i="1" s="1"/>
  <c r="CA243" i="1"/>
  <c r="CC243" i="1"/>
  <c r="BZ243" i="1"/>
  <c r="BV235" i="1"/>
  <c r="BW235" i="1"/>
  <c r="BY235" i="1"/>
  <c r="BS235" i="1"/>
  <c r="CC235" i="1"/>
  <c r="CD235" i="1"/>
  <c r="BX235" i="1"/>
  <c r="CA235" i="1"/>
  <c r="CB235" i="1"/>
  <c r="CF235" i="1"/>
  <c r="BT235" i="1"/>
  <c r="BU235" i="1"/>
  <c r="BZ235" i="1"/>
  <c r="BS226" i="1"/>
  <c r="BZ226" i="1"/>
  <c r="BY226" i="1"/>
  <c r="CB226" i="1"/>
  <c r="BW226" i="1"/>
  <c r="BV226" i="1"/>
  <c r="CC226" i="1"/>
  <c r="CA226" i="1"/>
  <c r="BT226" i="1"/>
  <c r="CD226" i="1"/>
  <c r="BX226" i="1"/>
  <c r="CF226" i="1"/>
  <c r="BU226" i="1"/>
  <c r="CB218" i="1"/>
  <c r="BW218" i="1"/>
  <c r="BV218" i="1"/>
  <c r="BT218" i="1"/>
  <c r="CC218" i="1"/>
  <c r="BZ218" i="1"/>
  <c r="CF218" i="1"/>
  <c r="BS218" i="1"/>
  <c r="BU218" i="1"/>
  <c r="CD218" i="1"/>
  <c r="BY218" i="1"/>
  <c r="BX218" i="1"/>
  <c r="CA218" i="1"/>
  <c r="CD214" i="1"/>
  <c r="CC214" i="1"/>
  <c r="BZ214" i="1"/>
  <c r="CA214" i="1"/>
  <c r="BV214" i="1"/>
  <c r="BU214" i="1"/>
  <c r="CF214" i="1"/>
  <c r="CE214" i="1" s="1"/>
  <c r="BS214" i="1"/>
  <c r="CB214" i="1"/>
  <c r="BW214" i="1"/>
  <c r="BX214" i="1"/>
  <c r="CH214" i="1"/>
  <c r="BY214" i="1"/>
  <c r="BT214" i="1"/>
  <c r="BW203" i="1"/>
  <c r="BV203" i="1"/>
  <c r="CA203" i="1"/>
  <c r="CB203" i="1"/>
  <c r="BY203" i="1"/>
  <c r="BS203" i="1"/>
  <c r="CC203" i="1"/>
  <c r="BT203" i="1"/>
  <c r="CF203" i="1"/>
  <c r="BU203" i="1"/>
  <c r="CD203" i="1"/>
  <c r="BX203" i="1"/>
  <c r="BZ203" i="1"/>
  <c r="BW195" i="1"/>
  <c r="CC195" i="1"/>
  <c r="CH195" i="1"/>
  <c r="BX195" i="1"/>
  <c r="BV195" i="1"/>
  <c r="CD195" i="1"/>
  <c r="CA195" i="1"/>
  <c r="BZ195" i="1"/>
  <c r="BU195" i="1"/>
  <c r="BY195" i="1"/>
  <c r="CB195" i="1"/>
  <c r="BT195" i="1"/>
  <c r="BS195" i="1"/>
  <c r="CF195" i="1"/>
  <c r="CE195" i="1" s="1"/>
  <c r="CC187" i="1"/>
  <c r="BT187" i="1"/>
  <c r="BY187" i="1"/>
  <c r="BW187" i="1"/>
  <c r="CA187" i="1"/>
  <c r="BU187" i="1"/>
  <c r="BS187" i="1"/>
  <c r="CF187" i="1"/>
  <c r="CB187" i="1"/>
  <c r="BV187" i="1"/>
  <c r="BX187" i="1"/>
  <c r="BZ187" i="1"/>
  <c r="CD187" i="1"/>
  <c r="BU174" i="1"/>
  <c r="CC174" i="1"/>
  <c r="BT174" i="1"/>
  <c r="BV174" i="1"/>
  <c r="CH174" i="1"/>
  <c r="CA174" i="1"/>
  <c r="CB174" i="1"/>
  <c r="CD174" i="1"/>
  <c r="BX174" i="1"/>
  <c r="BW174" i="1"/>
  <c r="CF174" i="1"/>
  <c r="CE174" i="1" s="1"/>
  <c r="BY174" i="1"/>
  <c r="BS174" i="1"/>
  <c r="BZ174" i="1"/>
  <c r="BT171" i="1"/>
  <c r="BZ171" i="1"/>
  <c r="CA171" i="1"/>
  <c r="BV171" i="1"/>
  <c r="CF171" i="1"/>
  <c r="CE171" i="1" s="1"/>
  <c r="BS171" i="1"/>
  <c r="CD171" i="1"/>
  <c r="BY171" i="1"/>
  <c r="CB171" i="1"/>
  <c r="BX171" i="1"/>
  <c r="BU171" i="1"/>
  <c r="CC171" i="1"/>
  <c r="BW171" i="1"/>
  <c r="CH171" i="1"/>
  <c r="CB165" i="1"/>
  <c r="CF165" i="1"/>
  <c r="CE165" i="1" s="1"/>
  <c r="BV165" i="1"/>
  <c r="BS165" i="1"/>
  <c r="BT165" i="1"/>
  <c r="BX165" i="1"/>
  <c r="BY165" i="1"/>
  <c r="BZ165" i="1"/>
  <c r="BW165" i="1"/>
  <c r="BU165" i="1"/>
  <c r="CD165" i="1"/>
  <c r="CC165" i="1"/>
  <c r="CA165" i="1"/>
  <c r="BU236" i="1"/>
  <c r="CF236" i="1"/>
  <c r="BX236" i="1"/>
  <c r="BV236" i="1"/>
  <c r="CA236" i="1"/>
  <c r="BT236" i="1"/>
  <c r="BW236" i="1"/>
  <c r="CB236" i="1"/>
  <c r="BS236" i="1"/>
  <c r="CC236" i="1"/>
  <c r="BZ236" i="1"/>
  <c r="CD236" i="1"/>
  <c r="BY236" i="1"/>
  <c r="BZ175" i="1"/>
  <c r="CA175" i="1"/>
  <c r="BU175" i="1"/>
  <c r="CD175" i="1"/>
  <c r="CF175" i="1"/>
  <c r="CE175" i="1" s="1"/>
  <c r="BS175" i="1"/>
  <c r="CB175" i="1"/>
  <c r="BV175" i="1"/>
  <c r="BX175" i="1"/>
  <c r="BT175" i="1"/>
  <c r="BW175" i="1"/>
  <c r="CC175" i="1"/>
  <c r="BY175" i="1"/>
  <c r="BT270" i="1"/>
  <c r="BZ270" i="1"/>
  <c r="CD270" i="1"/>
  <c r="BU270" i="1"/>
  <c r="CA270" i="1"/>
  <c r="BY270" i="1"/>
  <c r="BV270" i="1"/>
  <c r="CF270" i="1"/>
  <c r="CE270" i="1" s="1"/>
  <c r="BS270" i="1"/>
  <c r="CB270" i="1"/>
  <c r="BW270" i="1"/>
  <c r="BX270" i="1"/>
  <c r="CC270" i="1"/>
  <c r="CH270" i="1"/>
  <c r="CA252" i="1"/>
  <c r="BV252" i="1"/>
  <c r="BX252" i="1"/>
  <c r="BY252" i="1"/>
  <c r="CB252" i="1"/>
  <c r="BU252" i="1"/>
  <c r="BS252" i="1"/>
  <c r="BZ252" i="1"/>
  <c r="CD252" i="1"/>
  <c r="CH252" i="1"/>
  <c r="BW252" i="1"/>
  <c r="CC252" i="1"/>
  <c r="CF252" i="1"/>
  <c r="CE252" i="1" s="1"/>
  <c r="BT252" i="1"/>
  <c r="BX227" i="1"/>
  <c r="BZ227" i="1"/>
  <c r="BT227" i="1"/>
  <c r="BW227" i="1"/>
  <c r="CD227" i="1"/>
  <c r="BU227" i="1"/>
  <c r="CB227" i="1"/>
  <c r="BS227" i="1"/>
  <c r="CA227" i="1"/>
  <c r="CC227" i="1"/>
  <c r="BV227" i="1"/>
  <c r="BY227" i="1"/>
  <c r="CF227" i="1"/>
  <c r="CF216" i="1"/>
  <c r="CE216" i="1" s="1"/>
  <c r="BU216" i="1"/>
  <c r="BY216" i="1"/>
  <c r="BZ216" i="1"/>
  <c r="BV216" i="1"/>
  <c r="CC216" i="1"/>
  <c r="CD216" i="1"/>
  <c r="BS216" i="1"/>
  <c r="CH216" i="1"/>
  <c r="BT216" i="1"/>
  <c r="CA216" i="1"/>
  <c r="CB216" i="1"/>
  <c r="BX216" i="1"/>
  <c r="BW216" i="1"/>
  <c r="CD196" i="1"/>
  <c r="BX196" i="1"/>
  <c r="BU196" i="1"/>
  <c r="BY196" i="1"/>
  <c r="CC196" i="1"/>
  <c r="CA196" i="1"/>
  <c r="BT196" i="1"/>
  <c r="BV196" i="1"/>
  <c r="BW196" i="1"/>
  <c r="CF196" i="1"/>
  <c r="CB196" i="1"/>
  <c r="BZ196" i="1"/>
  <c r="BS196" i="1"/>
  <c r="BV178" i="1"/>
  <c r="BY178" i="1"/>
  <c r="BW178" i="1"/>
  <c r="BT178" i="1"/>
  <c r="CC178" i="1"/>
  <c r="BX178" i="1"/>
  <c r="BS178" i="1"/>
  <c r="CF178" i="1"/>
  <c r="CA178" i="1"/>
  <c r="CD178" i="1"/>
  <c r="BU178" i="1"/>
  <c r="CB178" i="1"/>
  <c r="BZ178" i="1"/>
  <c r="CD263" i="1"/>
  <c r="CA263" i="1"/>
  <c r="BS263" i="1"/>
  <c r="CH263" i="1"/>
  <c r="CB263" i="1"/>
  <c r="BV263" i="1"/>
  <c r="BX263" i="1"/>
  <c r="BZ263" i="1"/>
  <c r="BT263" i="1"/>
  <c r="CC263" i="1"/>
  <c r="BY263" i="1"/>
  <c r="BW263" i="1"/>
  <c r="BU263" i="1"/>
  <c r="CF263" i="1"/>
  <c r="CE263" i="1" s="1"/>
  <c r="CC254" i="1"/>
  <c r="CB254" i="1"/>
  <c r="BY254" i="1"/>
  <c r="CA254" i="1"/>
  <c r="BT254" i="1"/>
  <c r="BU254" i="1"/>
  <c r="BW254" i="1"/>
  <c r="BS254" i="1"/>
  <c r="BV254" i="1"/>
  <c r="BZ254" i="1"/>
  <c r="CD254" i="1"/>
  <c r="BX254" i="1"/>
  <c r="CF254" i="1"/>
  <c r="CF253" i="1"/>
  <c r="CE253" i="1" s="1"/>
  <c r="CD253" i="1"/>
  <c r="BS253" i="1"/>
  <c r="CB253" i="1"/>
  <c r="BX253" i="1"/>
  <c r="BY253" i="1"/>
  <c r="CH253" i="1"/>
  <c r="BZ253" i="1"/>
  <c r="BW253" i="1"/>
  <c r="CC253" i="1"/>
  <c r="CA253" i="1"/>
  <c r="BV253" i="1"/>
  <c r="BT253" i="1"/>
  <c r="BU253" i="1"/>
  <c r="BV241" i="1"/>
  <c r="BS241" i="1"/>
  <c r="BW241" i="1"/>
  <c r="BU241" i="1"/>
  <c r="BT241" i="1"/>
  <c r="CD241" i="1"/>
  <c r="BX241" i="1"/>
  <c r="CA241" i="1"/>
  <c r="CB241" i="1"/>
  <c r="CC241" i="1"/>
  <c r="CF241" i="1"/>
  <c r="BZ241" i="1"/>
  <c r="BY241" i="1"/>
  <c r="CF232" i="1"/>
  <c r="CE232" i="1" s="1"/>
  <c r="BU232" i="1"/>
  <c r="CB232" i="1"/>
  <c r="BS232" i="1"/>
  <c r="CC232" i="1"/>
  <c r="BV232" i="1"/>
  <c r="BY232" i="1"/>
  <c r="BX232" i="1"/>
  <c r="CA232" i="1"/>
  <c r="BT232" i="1"/>
  <c r="BW232" i="1"/>
  <c r="CD232" i="1"/>
  <c r="CH232" i="1"/>
  <c r="BZ232" i="1"/>
  <c r="CB224" i="1"/>
  <c r="BS224" i="1"/>
  <c r="BU224" i="1"/>
  <c r="CC224" i="1"/>
  <c r="CF224" i="1"/>
  <c r="CE224" i="1" s="1"/>
  <c r="BV224" i="1"/>
  <c r="BT224" i="1"/>
  <c r="BZ224" i="1"/>
  <c r="BY224" i="1"/>
  <c r="CA224" i="1"/>
  <c r="BW224" i="1"/>
  <c r="BX224" i="1"/>
  <c r="CH224" i="1"/>
  <c r="CD224" i="1"/>
  <c r="BX219" i="1"/>
  <c r="BV219" i="1"/>
  <c r="CA219" i="1"/>
  <c r="BU219" i="1"/>
  <c r="CC219" i="1"/>
  <c r="BY219" i="1"/>
  <c r="BW219" i="1"/>
  <c r="CB219" i="1"/>
  <c r="CH219" i="1"/>
  <c r="CF219" i="1"/>
  <c r="CE219" i="1" s="1"/>
  <c r="CD219" i="1"/>
  <c r="BT219" i="1"/>
  <c r="BS219" i="1"/>
  <c r="BZ219" i="1"/>
  <c r="BT213" i="1"/>
  <c r="CC213" i="1"/>
  <c r="BW213" i="1"/>
  <c r="BY213" i="1"/>
  <c r="CH213" i="1"/>
  <c r="BU213" i="1"/>
  <c r="CA213" i="1"/>
  <c r="CB213" i="1"/>
  <c r="CD213" i="1"/>
  <c r="BS213" i="1"/>
  <c r="BZ213" i="1"/>
  <c r="BV213" i="1"/>
  <c r="CF213" i="1"/>
  <c r="CE213" i="1" s="1"/>
  <c r="BX213" i="1"/>
  <c r="BW202" i="1"/>
  <c r="CF202" i="1"/>
  <c r="BS202" i="1"/>
  <c r="BT202" i="1"/>
  <c r="BV202" i="1"/>
  <c r="CA202" i="1"/>
  <c r="BU202" i="1"/>
  <c r="CB202" i="1"/>
  <c r="CD202" i="1"/>
  <c r="BY202" i="1"/>
  <c r="BZ202" i="1"/>
  <c r="BX202" i="1"/>
  <c r="CC202" i="1"/>
  <c r="BT193" i="1"/>
  <c r="CA193" i="1"/>
  <c r="CB193" i="1"/>
  <c r="BU193" i="1"/>
  <c r="BV193" i="1"/>
  <c r="BS193" i="1"/>
  <c r="BX193" i="1"/>
  <c r="BY193" i="1"/>
  <c r="CH193" i="1"/>
  <c r="CD193" i="1"/>
  <c r="CC193" i="1"/>
  <c r="CF193" i="1"/>
  <c r="CE193" i="1" s="1"/>
  <c r="BZ193" i="1"/>
  <c r="BW193" i="1"/>
  <c r="CH181" i="1"/>
  <c r="BV181" i="1"/>
  <c r="BW181" i="1"/>
  <c r="BY181" i="1"/>
  <c r="BS181" i="1"/>
  <c r="CF181" i="1"/>
  <c r="CE181" i="1" s="1"/>
  <c r="CA181" i="1"/>
  <c r="CD181" i="1"/>
  <c r="BZ181" i="1"/>
  <c r="CC181" i="1"/>
  <c r="BU181" i="1"/>
  <c r="CB181" i="1"/>
  <c r="BX181" i="1"/>
  <c r="BT181" i="1"/>
  <c r="BY172" i="1"/>
  <c r="CA172" i="1"/>
  <c r="BU172" i="1"/>
  <c r="CD172" i="1"/>
  <c r="CF172" i="1"/>
  <c r="BS172" i="1"/>
  <c r="CB172" i="1"/>
  <c r="BV172" i="1"/>
  <c r="BX172" i="1"/>
  <c r="BT172" i="1"/>
  <c r="CC172" i="1"/>
  <c r="BZ172" i="1"/>
  <c r="BW172" i="1"/>
  <c r="BV177" i="1"/>
  <c r="BZ177" i="1"/>
  <c r="BW177" i="1"/>
  <c r="CB177" i="1"/>
  <c r="BY177" i="1"/>
  <c r="BT177" i="1"/>
  <c r="CA177" i="1"/>
  <c r="CD177" i="1"/>
  <c r="BS177" i="1"/>
  <c r="CF177" i="1"/>
  <c r="BX177" i="1"/>
  <c r="CC177" i="1"/>
  <c r="BU177" i="1"/>
  <c r="CC163" i="1"/>
  <c r="BW163" i="1"/>
  <c r="BZ163" i="1"/>
  <c r="BV163" i="1"/>
  <c r="BU163" i="1"/>
  <c r="BX163" i="1"/>
  <c r="CA163" i="1"/>
  <c r="CB163" i="1"/>
  <c r="CD163" i="1"/>
  <c r="BT163" i="1"/>
  <c r="BY163" i="1"/>
  <c r="CF163" i="1"/>
  <c r="BS163" i="1"/>
  <c r="BV255" i="1"/>
  <c r="CC255" i="1"/>
  <c r="BW255" i="1"/>
  <c r="BZ255" i="1"/>
  <c r="BT255" i="1"/>
  <c r="CD255" i="1"/>
  <c r="CA255" i="1"/>
  <c r="BY255" i="1"/>
  <c r="BX255" i="1"/>
  <c r="BS255" i="1"/>
  <c r="BU255" i="1"/>
  <c r="CH255" i="1"/>
  <c r="CB255" i="1"/>
  <c r="CF255" i="1"/>
  <c r="CE255" i="1" s="1"/>
  <c r="CB212" i="1"/>
  <c r="CC212" i="1"/>
  <c r="BX212" i="1"/>
  <c r="BZ212" i="1"/>
  <c r="CA212" i="1"/>
  <c r="BY212" i="1"/>
  <c r="CD212" i="1"/>
  <c r="BW212" i="1"/>
  <c r="BS212" i="1"/>
  <c r="CF212" i="1"/>
  <c r="BT212" i="1"/>
  <c r="BV212" i="1"/>
  <c r="BU212" i="1"/>
  <c r="BX264" i="1"/>
  <c r="BY264" i="1"/>
  <c r="BS264" i="1"/>
  <c r="CC264" i="1"/>
  <c r="BW264" i="1"/>
  <c r="BV264" i="1"/>
  <c r="CD264" i="1"/>
  <c r="BU264" i="1"/>
  <c r="CA264" i="1"/>
  <c r="BT264" i="1"/>
  <c r="CB264" i="1"/>
  <c r="CF264" i="1"/>
  <c r="BZ264" i="1"/>
  <c r="BW244" i="1"/>
  <c r="BV244" i="1"/>
  <c r="CB244" i="1"/>
  <c r="BX244" i="1"/>
  <c r="CD244" i="1"/>
  <c r="BU244" i="1"/>
  <c r="BS244" i="1"/>
  <c r="CF244" i="1"/>
  <c r="BZ244" i="1"/>
  <c r="CC244" i="1"/>
  <c r="CA244" i="1"/>
  <c r="BY244" i="1"/>
  <c r="BT244" i="1"/>
  <c r="BS217" i="1"/>
  <c r="CF217" i="1"/>
  <c r="CE217" i="1" s="1"/>
  <c r="BV217" i="1"/>
  <c r="CB217" i="1"/>
  <c r="CH217" i="1"/>
  <c r="BX217" i="1"/>
  <c r="BZ217" i="1"/>
  <c r="CA217" i="1"/>
  <c r="CC217" i="1"/>
  <c r="BY217" i="1"/>
  <c r="BW217" i="1"/>
  <c r="BU217" i="1"/>
  <c r="BT217" i="1"/>
  <c r="CD217" i="1"/>
  <c r="BT207" i="1"/>
  <c r="BY207" i="1"/>
  <c r="CC207" i="1"/>
  <c r="BS207" i="1"/>
  <c r="BW207" i="1"/>
  <c r="BX207" i="1"/>
  <c r="BV207" i="1"/>
  <c r="BU207" i="1"/>
  <c r="BZ207" i="1"/>
  <c r="CD207" i="1"/>
  <c r="CA207" i="1"/>
  <c r="CB207" i="1"/>
  <c r="CF207" i="1"/>
  <c r="BX188" i="1"/>
  <c r="CH188" i="1"/>
  <c r="BT188" i="1"/>
  <c r="CC188" i="1"/>
  <c r="BW188" i="1"/>
  <c r="BY188" i="1"/>
  <c r="CA188" i="1"/>
  <c r="CD188" i="1"/>
  <c r="CF188" i="1"/>
  <c r="CE188" i="1" s="1"/>
  <c r="BS188" i="1"/>
  <c r="CB188" i="1"/>
  <c r="BV188" i="1"/>
  <c r="BZ188" i="1"/>
  <c r="BU188" i="1"/>
  <c r="BZ160" i="1"/>
  <c r="CD160" i="1"/>
  <c r="CC160" i="1"/>
  <c r="BX160" i="1"/>
  <c r="CA160" i="1"/>
  <c r="BS160" i="1"/>
  <c r="BV160" i="1"/>
  <c r="BU160" i="1"/>
  <c r="BY160" i="1"/>
  <c r="BW160" i="1"/>
  <c r="CB160" i="1"/>
  <c r="CF160" i="1"/>
  <c r="BT160" i="1"/>
  <c r="BV272" i="1"/>
  <c r="BS272" i="1"/>
  <c r="BY272" i="1"/>
  <c r="BW272" i="1"/>
  <c r="CC272" i="1"/>
  <c r="CH272" i="1"/>
  <c r="BT272" i="1"/>
  <c r="CF272" i="1"/>
  <c r="CE272" i="1" s="1"/>
  <c r="BZ272" i="1"/>
  <c r="CB272" i="1"/>
  <c r="BU272" i="1"/>
  <c r="BX272" i="1"/>
  <c r="CD272" i="1"/>
  <c r="CA272" i="1"/>
  <c r="BV268" i="1"/>
  <c r="BT268" i="1"/>
  <c r="BY268" i="1"/>
  <c r="CF268" i="1"/>
  <c r="CC268" i="1"/>
  <c r="CA268" i="1"/>
  <c r="BZ268" i="1"/>
  <c r="BS268" i="1"/>
  <c r="BU268" i="1"/>
  <c r="CD268" i="1"/>
  <c r="BX268" i="1"/>
  <c r="BW268" i="1"/>
  <c r="CB268" i="1"/>
  <c r="CF257" i="1"/>
  <c r="CE257" i="1" s="1"/>
  <c r="CB257" i="1"/>
  <c r="BX257" i="1"/>
  <c r="CA257" i="1"/>
  <c r="BV257" i="1"/>
  <c r="BS257" i="1"/>
  <c r="BY257" i="1"/>
  <c r="CC257" i="1"/>
  <c r="BT257" i="1"/>
  <c r="BU257" i="1"/>
  <c r="BZ257" i="1"/>
  <c r="BW257" i="1"/>
  <c r="CD257" i="1"/>
  <c r="CC261" i="1"/>
  <c r="CF261" i="1"/>
  <c r="CE261" i="1" s="1"/>
  <c r="BW261" i="1"/>
  <c r="BY261" i="1"/>
  <c r="BZ261" i="1"/>
  <c r="BU261" i="1"/>
  <c r="BV261" i="1"/>
  <c r="BX261" i="1"/>
  <c r="CH261" i="1"/>
  <c r="CD261" i="1"/>
  <c r="CA261" i="1"/>
  <c r="BT261" i="1"/>
  <c r="CB261" i="1"/>
  <c r="BS261" i="1"/>
  <c r="CC237" i="1"/>
  <c r="BX237" i="1"/>
  <c r="BZ237" i="1"/>
  <c r="CA237" i="1"/>
  <c r="BW237" i="1"/>
  <c r="CD237" i="1"/>
  <c r="BY237" i="1"/>
  <c r="CB237" i="1"/>
  <c r="BV237" i="1"/>
  <c r="CF237" i="1"/>
  <c r="BU237" i="1"/>
  <c r="BT237" i="1"/>
  <c r="BS237" i="1"/>
  <c r="BX231" i="1"/>
  <c r="CB231" i="1"/>
  <c r="BY231" i="1"/>
  <c r="BU231" i="1"/>
  <c r="CA231" i="1"/>
  <c r="CC231" i="1"/>
  <c r="BS231" i="1"/>
  <c r="CD231" i="1"/>
  <c r="BT231" i="1"/>
  <c r="CF231" i="1"/>
  <c r="CE231" i="1" s="1"/>
  <c r="BV231" i="1"/>
  <c r="BW231" i="1"/>
  <c r="BZ231" i="1"/>
  <c r="CH231" i="1"/>
  <c r="CH225" i="1"/>
  <c r="BS225" i="1"/>
  <c r="BY225" i="1"/>
  <c r="BW225" i="1"/>
  <c r="CC225" i="1"/>
  <c r="BT225" i="1"/>
  <c r="BU225" i="1"/>
  <c r="BZ225" i="1"/>
  <c r="BV225" i="1"/>
  <c r="CD225" i="1"/>
  <c r="BX225" i="1"/>
  <c r="CA225" i="1"/>
  <c r="CF225" i="1"/>
  <c r="CE225" i="1" s="1"/>
  <c r="CB225" i="1"/>
  <c r="BV206" i="1"/>
  <c r="BX206" i="1"/>
  <c r="CH206" i="1"/>
  <c r="BT206" i="1"/>
  <c r="CC206" i="1"/>
  <c r="BW206" i="1"/>
  <c r="BU206" i="1"/>
  <c r="CA206" i="1"/>
  <c r="BY206" i="1"/>
  <c r="CD206" i="1"/>
  <c r="CF206" i="1"/>
  <c r="CE206" i="1" s="1"/>
  <c r="BZ206" i="1"/>
  <c r="CB206" i="1"/>
  <c r="BS206" i="1"/>
  <c r="BT201" i="1"/>
  <c r="BV201" i="1"/>
  <c r="CD201" i="1"/>
  <c r="BU201" i="1"/>
  <c r="BZ201" i="1"/>
  <c r="CA201" i="1"/>
  <c r="BW201" i="1"/>
  <c r="CF201" i="1"/>
  <c r="BX201" i="1"/>
  <c r="BY201" i="1"/>
  <c r="CC201" i="1"/>
  <c r="CB201" i="1"/>
  <c r="BS201" i="1"/>
  <c r="BY209" i="1"/>
  <c r="BZ209" i="1"/>
  <c r="BV209" i="1"/>
  <c r="CD209" i="1"/>
  <c r="BU209" i="1"/>
  <c r="CF209" i="1"/>
  <c r="CE209" i="1" s="1"/>
  <c r="BT209" i="1"/>
  <c r="BW209" i="1"/>
  <c r="CB209" i="1"/>
  <c r="BS209" i="1"/>
  <c r="CC209" i="1"/>
  <c r="CA209" i="1"/>
  <c r="BX209" i="1"/>
  <c r="BZ192" i="1"/>
  <c r="BS192" i="1"/>
  <c r="CA192" i="1"/>
  <c r="BT192" i="1"/>
  <c r="BU192" i="1"/>
  <c r="BY192" i="1"/>
  <c r="CC192" i="1"/>
  <c r="CB192" i="1"/>
  <c r="CF192" i="1"/>
  <c r="CE192" i="1" s="1"/>
  <c r="BV192" i="1"/>
  <c r="CD192" i="1"/>
  <c r="BX192" i="1"/>
  <c r="BW192" i="1"/>
  <c r="CA185" i="1"/>
  <c r="BY185" i="1"/>
  <c r="BX185" i="1"/>
  <c r="BU185" i="1"/>
  <c r="BT185" i="1"/>
  <c r="BW185" i="1"/>
  <c r="BV185" i="1"/>
  <c r="BZ185" i="1"/>
  <c r="CF185" i="1"/>
  <c r="CC185" i="1"/>
  <c r="CB185" i="1"/>
  <c r="CD185" i="1"/>
  <c r="BS185" i="1"/>
  <c r="BV169" i="1"/>
  <c r="CF169" i="1"/>
  <c r="CE169" i="1" s="1"/>
  <c r="CH169" i="1"/>
  <c r="CB169" i="1"/>
  <c r="CC169" i="1"/>
  <c r="BX169" i="1"/>
  <c r="BZ169" i="1"/>
  <c r="CD169" i="1"/>
  <c r="BY169" i="1"/>
  <c r="BW169" i="1"/>
  <c r="BU169" i="1"/>
  <c r="BS169" i="1"/>
  <c r="BT169" i="1"/>
  <c r="CA169" i="1"/>
  <c r="BU176" i="1"/>
  <c r="CB176" i="1"/>
  <c r="BV176" i="1"/>
  <c r="BS176" i="1"/>
  <c r="BW176" i="1"/>
  <c r="BZ176" i="1"/>
  <c r="CF176" i="1"/>
  <c r="CA176" i="1"/>
  <c r="BX176" i="1"/>
  <c r="CD176" i="1"/>
  <c r="CC176" i="1"/>
  <c r="BT176" i="1"/>
  <c r="BY176" i="1"/>
  <c r="BZ164" i="1"/>
  <c r="BY164" i="1"/>
  <c r="CF164" i="1"/>
  <c r="CD164" i="1"/>
  <c r="BV164" i="1"/>
  <c r="BW164" i="1"/>
  <c r="BS164" i="1"/>
  <c r="BT164" i="1"/>
  <c r="CA164" i="1"/>
  <c r="CB164" i="1"/>
  <c r="BX164" i="1"/>
  <c r="BU164" i="1"/>
  <c r="CC164" i="1"/>
  <c r="BT242" i="1"/>
  <c r="BY242" i="1"/>
  <c r="CA242" i="1"/>
  <c r="BU242" i="1"/>
  <c r="BW242" i="1"/>
  <c r="CF242" i="1"/>
  <c r="CD242" i="1"/>
  <c r="BZ242" i="1"/>
  <c r="BV242" i="1"/>
  <c r="BX242" i="1"/>
  <c r="BS242" i="1"/>
  <c r="CC242" i="1"/>
  <c r="CB242" i="1"/>
  <c r="BW194" i="1"/>
  <c r="BV194" i="1"/>
  <c r="BS194" i="1"/>
  <c r="BY194" i="1"/>
  <c r="BT194" i="1"/>
  <c r="CC194" i="1"/>
  <c r="BZ194" i="1"/>
  <c r="BX194" i="1"/>
  <c r="CA194" i="1"/>
  <c r="CB194" i="1"/>
  <c r="BU194" i="1"/>
  <c r="CD194" i="1"/>
  <c r="CF194" i="1"/>
  <c r="BV266" i="1"/>
  <c r="CF266" i="1"/>
  <c r="BS266" i="1"/>
  <c r="BT266" i="1"/>
  <c r="CB266" i="1"/>
  <c r="BZ266" i="1"/>
  <c r="BW266" i="1"/>
  <c r="CC266" i="1"/>
  <c r="BU266" i="1"/>
  <c r="CA266" i="1"/>
  <c r="CD266" i="1"/>
  <c r="BY266" i="1"/>
  <c r="BX266" i="1"/>
  <c r="BZ265" i="1"/>
  <c r="BX265" i="1"/>
  <c r="CF265" i="1"/>
  <c r="CC265" i="1"/>
  <c r="BT265" i="1"/>
  <c r="CA265" i="1"/>
  <c r="BS265" i="1"/>
  <c r="CB265" i="1"/>
  <c r="CD265" i="1"/>
  <c r="BW265" i="1"/>
  <c r="BV265" i="1"/>
  <c r="BU265" i="1"/>
  <c r="BY265" i="1"/>
  <c r="CH258" i="1"/>
  <c r="CB258" i="1"/>
  <c r="CF258" i="1"/>
  <c r="CE258" i="1" s="1"/>
  <c r="CD258" i="1"/>
  <c r="BW258" i="1"/>
  <c r="CC258" i="1"/>
  <c r="BT258" i="1"/>
  <c r="BZ258" i="1"/>
  <c r="BS258" i="1"/>
  <c r="BY258" i="1"/>
  <c r="BU258" i="1"/>
  <c r="CA258" i="1"/>
  <c r="BV258" i="1"/>
  <c r="BX258" i="1"/>
  <c r="BZ260" i="1"/>
  <c r="CD260" i="1"/>
  <c r="CC260" i="1"/>
  <c r="CA260" i="1"/>
  <c r="CF260" i="1"/>
  <c r="BV260" i="1"/>
  <c r="BU260" i="1"/>
  <c r="BS260" i="1"/>
  <c r="CB260" i="1"/>
  <c r="BY260" i="1"/>
  <c r="BT260" i="1"/>
  <c r="BW260" i="1"/>
  <c r="BX260" i="1"/>
  <c r="BX238" i="1"/>
  <c r="CC238" i="1"/>
  <c r="BT238" i="1"/>
  <c r="BV238" i="1"/>
  <c r="BW238" i="1"/>
  <c r="BY238" i="1"/>
  <c r="BZ238" i="1"/>
  <c r="CF238" i="1"/>
  <c r="CE238" i="1" s="1"/>
  <c r="BS238" i="1"/>
  <c r="CB238" i="1"/>
  <c r="CD238" i="1"/>
  <c r="BU238" i="1"/>
  <c r="CH238" i="1"/>
  <c r="CA238" i="1"/>
  <c r="CC230" i="1"/>
  <c r="BV230" i="1"/>
  <c r="BS230" i="1"/>
  <c r="CA230" i="1"/>
  <c r="CB230" i="1"/>
  <c r="BW230" i="1"/>
  <c r="BT230" i="1"/>
  <c r="CF230" i="1"/>
  <c r="CE230" i="1" s="1"/>
  <c r="BZ230" i="1"/>
  <c r="BU230" i="1"/>
  <c r="CH230" i="1"/>
  <c r="CD230" i="1"/>
  <c r="BY230" i="1"/>
  <c r="BX230" i="1"/>
  <c r="BV223" i="1"/>
  <c r="BZ223" i="1"/>
  <c r="BX223" i="1"/>
  <c r="BU223" i="1"/>
  <c r="BT223" i="1"/>
  <c r="BS223" i="1"/>
  <c r="CF223" i="1"/>
  <c r="CA223" i="1"/>
  <c r="CB223" i="1"/>
  <c r="BY223" i="1"/>
  <c r="CC223" i="1"/>
  <c r="BW223" i="1"/>
  <c r="CD223" i="1"/>
  <c r="CD200" i="1"/>
  <c r="BX200" i="1"/>
  <c r="BT200" i="1"/>
  <c r="CF200" i="1"/>
  <c r="CA200" i="1"/>
  <c r="BU200" i="1"/>
  <c r="BS200" i="1"/>
  <c r="CB200" i="1"/>
  <c r="BY200" i="1"/>
  <c r="CC200" i="1"/>
  <c r="BZ200" i="1"/>
  <c r="BV200" i="1"/>
  <c r="BW200" i="1"/>
  <c r="CD215" i="1"/>
  <c r="CA215" i="1"/>
  <c r="BT215" i="1"/>
  <c r="CF215" i="1"/>
  <c r="CE215" i="1" s="1"/>
  <c r="BV215" i="1"/>
  <c r="CH215" i="1"/>
  <c r="BX215" i="1"/>
  <c r="BU215" i="1"/>
  <c r="BY215" i="1"/>
  <c r="CC215" i="1"/>
  <c r="BZ215" i="1"/>
  <c r="CB215" i="1"/>
  <c r="BS215" i="1"/>
  <c r="BW215" i="1"/>
  <c r="BY199" i="1"/>
  <c r="BZ199" i="1"/>
  <c r="BT199" i="1"/>
  <c r="BW199" i="1"/>
  <c r="CD199" i="1"/>
  <c r="BU199" i="1"/>
  <c r="CF199" i="1"/>
  <c r="BX199" i="1"/>
  <c r="CB199" i="1"/>
  <c r="CC199" i="1"/>
  <c r="BS199" i="1"/>
  <c r="BV199" i="1"/>
  <c r="CA199" i="1"/>
  <c r="CC191" i="1"/>
  <c r="BV191" i="1"/>
  <c r="BY191" i="1"/>
  <c r="BX191" i="1"/>
  <c r="BZ191" i="1"/>
  <c r="BS191" i="1"/>
  <c r="BT191" i="1"/>
  <c r="BU191" i="1"/>
  <c r="CD191" i="1"/>
  <c r="BW191" i="1"/>
  <c r="CF191" i="1"/>
  <c r="CB191" i="1"/>
  <c r="CA191" i="1"/>
  <c r="BZ180" i="1"/>
  <c r="CA180" i="1"/>
  <c r="CC180" i="1"/>
  <c r="CB180" i="1"/>
  <c r="BU180" i="1"/>
  <c r="BS180" i="1"/>
  <c r="CF180" i="1"/>
  <c r="BX180" i="1"/>
  <c r="BT180" i="1"/>
  <c r="BW180" i="1"/>
  <c r="CD180" i="1"/>
  <c r="BV180" i="1"/>
  <c r="BY180" i="1"/>
  <c r="BY170" i="1"/>
  <c r="CC170" i="1"/>
  <c r="BT170" i="1"/>
  <c r="CA170" i="1"/>
  <c r="CD170" i="1"/>
  <c r="BZ170" i="1"/>
  <c r="BX170" i="1"/>
  <c r="CB170" i="1"/>
  <c r="CF170" i="1"/>
  <c r="BV170" i="1"/>
  <c r="BU170" i="1"/>
  <c r="BS170" i="1"/>
  <c r="BW170" i="1"/>
  <c r="CA166" i="1"/>
  <c r="BV166" i="1"/>
  <c r="BS166" i="1"/>
  <c r="CD166" i="1"/>
  <c r="BX166" i="1"/>
  <c r="BT166" i="1"/>
  <c r="BY166" i="1"/>
  <c r="CB166" i="1"/>
  <c r="CF166" i="1"/>
  <c r="BW166" i="1"/>
  <c r="BZ166" i="1"/>
  <c r="BU166" i="1"/>
  <c r="CC166" i="1"/>
  <c r="BZ161" i="1"/>
  <c r="BX161" i="1"/>
  <c r="BW161" i="1"/>
  <c r="CA161" i="1"/>
  <c r="BT161" i="1"/>
  <c r="CD161" i="1"/>
  <c r="BS161" i="1"/>
  <c r="BV161" i="1"/>
  <c r="CF161" i="1"/>
  <c r="CE161" i="1" s="1"/>
  <c r="CB161" i="1"/>
  <c r="BY161" i="1"/>
  <c r="BU161" i="1"/>
  <c r="CC161" i="1"/>
  <c r="CH229" i="1"/>
  <c r="CF229" i="1"/>
  <c r="CE229" i="1" s="1"/>
  <c r="BY229" i="1"/>
  <c r="CA229" i="1"/>
  <c r="BW229" i="1"/>
  <c r="CC229" i="1"/>
  <c r="BU229" i="1"/>
  <c r="CD229" i="1"/>
  <c r="BX229" i="1"/>
  <c r="BZ229" i="1"/>
  <c r="CB229" i="1"/>
  <c r="BS229" i="1"/>
  <c r="BV229" i="1"/>
  <c r="BT229" i="1"/>
  <c r="CD259" i="1"/>
  <c r="CA259" i="1"/>
  <c r="BT259" i="1"/>
  <c r="CC259" i="1"/>
  <c r="CF259" i="1"/>
  <c r="BU259" i="1"/>
  <c r="BS259" i="1"/>
  <c r="BV259" i="1"/>
  <c r="BY259" i="1"/>
  <c r="BW259" i="1"/>
  <c r="BZ259" i="1"/>
  <c r="CB259" i="1"/>
  <c r="BX259" i="1"/>
  <c r="CC267" i="1"/>
  <c r="BW267" i="1"/>
  <c r="BS267" i="1"/>
  <c r="BT267" i="1"/>
  <c r="CF267" i="1"/>
  <c r="CE267" i="1" s="1"/>
  <c r="BV267" i="1"/>
  <c r="CA267" i="1"/>
  <c r="BX267" i="1"/>
  <c r="BU267" i="1"/>
  <c r="BY267" i="1"/>
  <c r="CH267" i="1"/>
  <c r="CD267" i="1"/>
  <c r="BZ267" i="1"/>
  <c r="CB267" i="1"/>
  <c r="BW246" i="1"/>
  <c r="CD246" i="1"/>
  <c r="BX246" i="1"/>
  <c r="CC246" i="1"/>
  <c r="CA246" i="1"/>
  <c r="BT246" i="1"/>
  <c r="BV246" i="1"/>
  <c r="BS246" i="1"/>
  <c r="BZ246" i="1"/>
  <c r="CF246" i="1"/>
  <c r="BU246" i="1"/>
  <c r="BY246" i="1"/>
  <c r="CB246" i="1"/>
  <c r="CC248" i="1"/>
  <c r="CB248" i="1"/>
  <c r="BV248" i="1"/>
  <c r="CA248" i="1"/>
  <c r="BU248" i="1"/>
  <c r="BT248" i="1"/>
  <c r="BW248" i="1"/>
  <c r="CD248" i="1"/>
  <c r="CF248" i="1"/>
  <c r="BS248" i="1"/>
  <c r="BX248" i="1"/>
  <c r="BY248" i="1"/>
  <c r="BZ248" i="1"/>
  <c r="BS247" i="1"/>
  <c r="BU247" i="1"/>
  <c r="BX247" i="1"/>
  <c r="BT247" i="1"/>
  <c r="CH247" i="1"/>
  <c r="BW247" i="1"/>
  <c r="CC247" i="1"/>
  <c r="BY247" i="1"/>
  <c r="BZ247" i="1"/>
  <c r="CD247" i="1"/>
  <c r="CB247" i="1"/>
  <c r="CF247" i="1"/>
  <c r="CE247" i="1" s="1"/>
  <c r="CA247" i="1"/>
  <c r="BV247" i="1"/>
  <c r="CA239" i="1"/>
  <c r="BW239" i="1"/>
  <c r="BY239" i="1"/>
  <c r="CD239" i="1"/>
  <c r="CF239" i="1"/>
  <c r="CE239" i="1" s="1"/>
  <c r="CC239" i="1"/>
  <c r="BZ239" i="1"/>
  <c r="BT239" i="1"/>
  <c r="BV239" i="1"/>
  <c r="CB239" i="1"/>
  <c r="BX239" i="1"/>
  <c r="BU239" i="1"/>
  <c r="BS239" i="1"/>
  <c r="BT233" i="1"/>
  <c r="BV233" i="1"/>
  <c r="CA233" i="1"/>
  <c r="CC233" i="1"/>
  <c r="BZ233" i="1"/>
  <c r="CD233" i="1"/>
  <c r="CF233" i="1"/>
  <c r="BS233" i="1"/>
  <c r="BX233" i="1"/>
  <c r="BY233" i="1"/>
  <c r="BU233" i="1"/>
  <c r="CB233" i="1"/>
  <c r="BW233" i="1"/>
  <c r="CA222" i="1"/>
  <c r="CD222" i="1"/>
  <c r="BZ222" i="1"/>
  <c r="BS222" i="1"/>
  <c r="CB222" i="1"/>
  <c r="BW222" i="1"/>
  <c r="BX222" i="1"/>
  <c r="BU222" i="1"/>
  <c r="BT222" i="1"/>
  <c r="CC222" i="1"/>
  <c r="BY222" i="1"/>
  <c r="BV222" i="1"/>
  <c r="CF222" i="1"/>
  <c r="CH205" i="1"/>
  <c r="BT205" i="1"/>
  <c r="BY205" i="1"/>
  <c r="BW205" i="1"/>
  <c r="CC205" i="1"/>
  <c r="CA205" i="1"/>
  <c r="CF205" i="1"/>
  <c r="CE205" i="1" s="1"/>
  <c r="CD205" i="1"/>
  <c r="BU205" i="1"/>
  <c r="BS205" i="1"/>
  <c r="BX205" i="1"/>
  <c r="CB205" i="1"/>
  <c r="BV205" i="1"/>
  <c r="BZ205" i="1"/>
  <c r="CB204" i="1"/>
  <c r="BV204" i="1"/>
  <c r="CF204" i="1"/>
  <c r="BZ204" i="1"/>
  <c r="BT204" i="1"/>
  <c r="CC204" i="1"/>
  <c r="BX204" i="1"/>
  <c r="BW204" i="1"/>
  <c r="CA204" i="1"/>
  <c r="BU204" i="1"/>
  <c r="BS204" i="1"/>
  <c r="BY204" i="1"/>
  <c r="CD204" i="1"/>
  <c r="CF198" i="1"/>
  <c r="CE198" i="1" s="1"/>
  <c r="CC198" i="1"/>
  <c r="BZ198" i="1"/>
  <c r="CB198" i="1"/>
  <c r="CD198" i="1"/>
  <c r="BW198" i="1"/>
  <c r="BV198" i="1"/>
  <c r="CH198" i="1"/>
  <c r="BS198" i="1"/>
  <c r="BU198" i="1"/>
  <c r="CA198" i="1"/>
  <c r="BY198" i="1"/>
  <c r="BT198" i="1"/>
  <c r="BX198" i="1"/>
  <c r="BV189" i="1"/>
  <c r="BT189" i="1"/>
  <c r="BZ189" i="1"/>
  <c r="BX189" i="1"/>
  <c r="BU189" i="1"/>
  <c r="CA189" i="1"/>
  <c r="CC189" i="1"/>
  <c r="BW189" i="1"/>
  <c r="CB189" i="1"/>
  <c r="BS189" i="1"/>
  <c r="BY189" i="1"/>
  <c r="CD189" i="1"/>
  <c r="CF189" i="1"/>
  <c r="CA182" i="1"/>
  <c r="CB182" i="1"/>
  <c r="BV182" i="1"/>
  <c r="BX182" i="1"/>
  <c r="BU182" i="1"/>
  <c r="CH182" i="1"/>
  <c r="BZ182" i="1"/>
  <c r="BW182" i="1"/>
  <c r="CD182" i="1"/>
  <c r="BS182" i="1"/>
  <c r="CC182" i="1"/>
  <c r="BY182" i="1"/>
  <c r="CF182" i="1"/>
  <c r="CE182" i="1" s="1"/>
  <c r="BT182" i="1"/>
  <c r="BS168" i="1"/>
  <c r="BU168" i="1"/>
  <c r="BT168" i="1"/>
  <c r="BZ168" i="1"/>
  <c r="CD168" i="1"/>
  <c r="CC168" i="1"/>
  <c r="BX168" i="1"/>
  <c r="CA168" i="1"/>
  <c r="BW168" i="1"/>
  <c r="BY168" i="1"/>
  <c r="BV168" i="1"/>
  <c r="CB168" i="1"/>
  <c r="CF168" i="1"/>
  <c r="BX162" i="1"/>
  <c r="BU162" i="1"/>
  <c r="BS162" i="1"/>
  <c r="CC162" i="1"/>
  <c r="BW162" i="1"/>
  <c r="BT162" i="1"/>
  <c r="CD162" i="1"/>
  <c r="CF162" i="1"/>
  <c r="CB162" i="1"/>
  <c r="BV162" i="1"/>
  <c r="CA162" i="1"/>
  <c r="BY162" i="1"/>
  <c r="BZ162" i="1"/>
  <c r="BX269" i="1"/>
  <c r="BY269" i="1"/>
  <c r="CF269" i="1"/>
  <c r="CE269" i="1" s="1"/>
  <c r="CB269" i="1"/>
  <c r="BW269" i="1"/>
  <c r="CC269" i="1"/>
  <c r="BZ269" i="1"/>
  <c r="CD269" i="1"/>
  <c r="BT269" i="1"/>
  <c r="BU269" i="1"/>
  <c r="CA269" i="1"/>
  <c r="BV269" i="1"/>
  <c r="BS269" i="1"/>
  <c r="BX262" i="1"/>
  <c r="CC262" i="1"/>
  <c r="BZ262" i="1"/>
  <c r="BU262" i="1"/>
  <c r="BW262" i="1"/>
  <c r="BV262" i="1"/>
  <c r="CH262" i="1"/>
  <c r="CF262" i="1"/>
  <c r="CE262" i="1" s="1"/>
  <c r="CD262" i="1"/>
  <c r="BS262" i="1"/>
  <c r="CB262" i="1"/>
  <c r="BT262" i="1"/>
  <c r="CA262" i="1"/>
  <c r="BY262" i="1"/>
  <c r="BY249" i="1"/>
  <c r="BT249" i="1"/>
  <c r="BV249" i="1"/>
  <c r="CB249" i="1"/>
  <c r="BU249" i="1"/>
  <c r="BW249" i="1"/>
  <c r="BX249" i="1"/>
  <c r="CF249" i="1"/>
  <c r="CE249" i="1" s="1"/>
  <c r="BZ249" i="1"/>
  <c r="CA249" i="1"/>
  <c r="CH249" i="1"/>
  <c r="CD249" i="1"/>
  <c r="BS249" i="1"/>
  <c r="CC249" i="1"/>
  <c r="CA245" i="1"/>
  <c r="BX245" i="1"/>
  <c r="BY245" i="1"/>
  <c r="BT245" i="1"/>
  <c r="BU245" i="1"/>
  <c r="CF245" i="1"/>
  <c r="CE245" i="1" s="1"/>
  <c r="BW245" i="1"/>
  <c r="CB245" i="1"/>
  <c r="BZ245" i="1"/>
  <c r="CD245" i="1"/>
  <c r="BS245" i="1"/>
  <c r="CC245" i="1"/>
  <c r="BV245" i="1"/>
  <c r="BY240" i="1"/>
  <c r="BV240" i="1"/>
  <c r="CC240" i="1"/>
  <c r="CF240" i="1"/>
  <c r="CE240" i="1" s="1"/>
  <c r="BT240" i="1"/>
  <c r="BS240" i="1"/>
  <c r="CB240" i="1"/>
  <c r="CA240" i="1"/>
  <c r="CD240" i="1"/>
  <c r="BZ240" i="1"/>
  <c r="CH240" i="1"/>
  <c r="BW240" i="1"/>
  <c r="BX240" i="1"/>
  <c r="BU240" i="1"/>
  <c r="BZ228" i="1"/>
  <c r="CB228" i="1"/>
  <c r="CD228" i="1"/>
  <c r="BV228" i="1"/>
  <c r="CF228" i="1"/>
  <c r="CC228" i="1"/>
  <c r="BU228" i="1"/>
  <c r="BY228" i="1"/>
  <c r="BT228" i="1"/>
  <c r="BW228" i="1"/>
  <c r="CA228" i="1"/>
  <c r="BX228" i="1"/>
  <c r="BS228" i="1"/>
  <c r="CD221" i="1"/>
  <c r="BX221" i="1"/>
  <c r="BY221" i="1"/>
  <c r="BZ221" i="1"/>
  <c r="BT221" i="1"/>
  <c r="BW221" i="1"/>
  <c r="BV221" i="1"/>
  <c r="CC221" i="1"/>
  <c r="CF221" i="1"/>
  <c r="CE221" i="1" s="1"/>
  <c r="CA221" i="1"/>
  <c r="BU221" i="1"/>
  <c r="CH221" i="1"/>
  <c r="CB221" i="1"/>
  <c r="BS221" i="1"/>
  <c r="BV211" i="1"/>
  <c r="BX211" i="1"/>
  <c r="BT211" i="1"/>
  <c r="BW211" i="1"/>
  <c r="CC211" i="1"/>
  <c r="BS211" i="1"/>
  <c r="BY211" i="1"/>
  <c r="CD211" i="1"/>
  <c r="BU211" i="1"/>
  <c r="CA211" i="1"/>
  <c r="CB211" i="1"/>
  <c r="BZ211" i="1"/>
  <c r="CF211" i="1"/>
  <c r="CE211" i="1" s="1"/>
  <c r="CF208" i="1"/>
  <c r="CE208" i="1" s="1"/>
  <c r="CH208" i="1"/>
  <c r="BZ208" i="1"/>
  <c r="CB208" i="1"/>
  <c r="BV208" i="1"/>
  <c r="BU208" i="1"/>
  <c r="CD208" i="1"/>
  <c r="CC208" i="1"/>
  <c r="BY208" i="1"/>
  <c r="BX208" i="1"/>
  <c r="BT208" i="1"/>
  <c r="CA208" i="1"/>
  <c r="BW208" i="1"/>
  <c r="BS208" i="1"/>
  <c r="BV197" i="1"/>
  <c r="BX197" i="1"/>
  <c r="BS197" i="1"/>
  <c r="BU197" i="1"/>
  <c r="CD197" i="1"/>
  <c r="CF197" i="1"/>
  <c r="BT197" i="1"/>
  <c r="CB197" i="1"/>
  <c r="BY197" i="1"/>
  <c r="BW197" i="1"/>
  <c r="CA197" i="1"/>
  <c r="BZ197" i="1"/>
  <c r="CC197" i="1"/>
  <c r="CB190" i="1"/>
  <c r="BV190" i="1"/>
  <c r="BU190" i="1"/>
  <c r="CD190" i="1"/>
  <c r="BW190" i="1"/>
  <c r="CC190" i="1"/>
  <c r="BZ190" i="1"/>
  <c r="CF190" i="1"/>
  <c r="BT190" i="1"/>
  <c r="BY190" i="1"/>
  <c r="BS190" i="1"/>
  <c r="BX190" i="1"/>
  <c r="CA190" i="1"/>
  <c r="BT184" i="1"/>
  <c r="BV184" i="1"/>
  <c r="BY184" i="1"/>
  <c r="CA184" i="1"/>
  <c r="BW184" i="1"/>
  <c r="CB184" i="1"/>
  <c r="BU184" i="1"/>
  <c r="CD184" i="1"/>
  <c r="CC184" i="1"/>
  <c r="BX184" i="1"/>
  <c r="BZ184" i="1"/>
  <c r="BS184" i="1"/>
  <c r="CF184" i="1"/>
  <c r="BT179" i="1"/>
  <c r="BW179" i="1"/>
  <c r="BU179" i="1"/>
  <c r="CB179" i="1"/>
  <c r="CD179" i="1"/>
  <c r="BZ179" i="1"/>
  <c r="CF179" i="1"/>
  <c r="CE179" i="1" s="1"/>
  <c r="BY179" i="1"/>
  <c r="BX179" i="1"/>
  <c r="CC179" i="1"/>
  <c r="CH179" i="1"/>
  <c r="CA179" i="1"/>
  <c r="BS179" i="1"/>
  <c r="BV179" i="1"/>
  <c r="CC330" i="1"/>
  <c r="CA330" i="1"/>
  <c r="BT330" i="1"/>
  <c r="BU330" i="1"/>
  <c r="BV330" i="1"/>
  <c r="CB330" i="1"/>
  <c r="BW330" i="1"/>
  <c r="BS330" i="1"/>
  <c r="BY330" i="1"/>
  <c r="CD330" i="1"/>
  <c r="CF330" i="1"/>
  <c r="BX330" i="1"/>
  <c r="BZ330" i="1"/>
  <c r="BS323" i="1"/>
  <c r="BV323" i="1"/>
  <c r="CB323" i="1"/>
  <c r="CD323" i="1"/>
  <c r="CF323" i="1"/>
  <c r="CC323" i="1"/>
  <c r="BU323" i="1"/>
  <c r="BY323" i="1"/>
  <c r="BT323" i="1"/>
  <c r="BZ323" i="1"/>
  <c r="CA323" i="1"/>
  <c r="BW323" i="1"/>
  <c r="BX323" i="1"/>
  <c r="BZ303" i="1"/>
  <c r="CB303" i="1"/>
  <c r="BV303" i="1"/>
  <c r="BW303" i="1"/>
  <c r="CA303" i="1"/>
  <c r="CF303" i="1"/>
  <c r="BS303" i="1"/>
  <c r="BU303" i="1"/>
  <c r="BX303" i="1"/>
  <c r="CC303" i="1"/>
  <c r="BY303" i="1"/>
  <c r="CD303" i="1"/>
  <c r="BT303" i="1"/>
  <c r="BS285" i="1"/>
  <c r="BW285" i="1"/>
  <c r="CB285" i="1"/>
  <c r="CD285" i="1"/>
  <c r="BU285" i="1"/>
  <c r="BZ285" i="1"/>
  <c r="BT285" i="1"/>
  <c r="BV285" i="1"/>
  <c r="CA285" i="1"/>
  <c r="BX285" i="1"/>
  <c r="BY285" i="1"/>
  <c r="CC285" i="1"/>
  <c r="CF285" i="1"/>
  <c r="CB315" i="1"/>
  <c r="CD315" i="1"/>
  <c r="BZ315" i="1"/>
  <c r="BY315" i="1"/>
  <c r="BS315" i="1"/>
  <c r="BT315" i="1"/>
  <c r="BW315" i="1"/>
  <c r="BV315" i="1"/>
  <c r="CF315" i="1"/>
  <c r="CE315" i="1" s="1"/>
  <c r="BU315" i="1"/>
  <c r="BX315" i="1"/>
  <c r="CC315" i="1"/>
  <c r="CA315" i="1"/>
  <c r="BW306" i="1"/>
  <c r="BT306" i="1"/>
  <c r="CD306" i="1"/>
  <c r="BS306" i="1"/>
  <c r="BX306" i="1"/>
  <c r="BY306" i="1"/>
  <c r="BZ306" i="1"/>
  <c r="BU306" i="1"/>
  <c r="CC306" i="1"/>
  <c r="BV306" i="1"/>
  <c r="CB306" i="1"/>
  <c r="CA306" i="1"/>
  <c r="CF306" i="1"/>
  <c r="CE306" i="1" s="1"/>
  <c r="BW283" i="1"/>
  <c r="BT283" i="1"/>
  <c r="BZ283" i="1"/>
  <c r="CA283" i="1"/>
  <c r="CC283" i="1"/>
  <c r="BV283" i="1"/>
  <c r="BY283" i="1"/>
  <c r="CD283" i="1"/>
  <c r="BU283" i="1"/>
  <c r="BS283" i="1"/>
  <c r="CF283" i="1"/>
  <c r="CE283" i="1" s="1"/>
  <c r="CB283" i="1"/>
  <c r="BX283" i="1"/>
  <c r="BU334" i="1"/>
  <c r="CC334" i="1"/>
  <c r="BT334" i="1"/>
  <c r="BW334" i="1"/>
  <c r="BY334" i="1"/>
  <c r="BV334" i="1"/>
  <c r="BZ334" i="1"/>
  <c r="BX334" i="1"/>
  <c r="CB334" i="1"/>
  <c r="BS334" i="1"/>
  <c r="CF334" i="1"/>
  <c r="CE334" i="1" s="1"/>
  <c r="CD334" i="1"/>
  <c r="CA334" i="1"/>
  <c r="BV327" i="1"/>
  <c r="CH327" i="1"/>
  <c r="CF327" i="1"/>
  <c r="CE327" i="1" s="1"/>
  <c r="BX327" i="1"/>
  <c r="BY327" i="1"/>
  <c r="CB327" i="1"/>
  <c r="BT327" i="1"/>
  <c r="CA327" i="1"/>
  <c r="BW327" i="1"/>
  <c r="CC327" i="1"/>
  <c r="CD327" i="1"/>
  <c r="BU327" i="1"/>
  <c r="BS327" i="1"/>
  <c r="BZ327" i="1"/>
  <c r="CD324" i="1"/>
  <c r="BW324" i="1"/>
  <c r="BX324" i="1"/>
  <c r="BY324" i="1"/>
  <c r="CB324" i="1"/>
  <c r="BV324" i="1"/>
  <c r="CF324" i="1"/>
  <c r="CE324" i="1" s="1"/>
  <c r="BS324" i="1"/>
  <c r="CA324" i="1"/>
  <c r="BU324" i="1"/>
  <c r="CC324" i="1"/>
  <c r="BZ324" i="1"/>
  <c r="BT324" i="1"/>
  <c r="CH297" i="1"/>
  <c r="CB297" i="1"/>
  <c r="BU297" i="1"/>
  <c r="BX297" i="1"/>
  <c r="BZ297" i="1"/>
  <c r="BT297" i="1"/>
  <c r="CD297" i="1"/>
  <c r="BW297" i="1"/>
  <c r="BY297" i="1"/>
  <c r="BS297" i="1"/>
  <c r="CC297" i="1"/>
  <c r="BV297" i="1"/>
  <c r="CF297" i="1"/>
  <c r="CE297" i="1" s="1"/>
  <c r="CA297" i="1"/>
  <c r="CB301" i="1"/>
  <c r="CC301" i="1"/>
  <c r="BW301" i="1"/>
  <c r="BY301" i="1"/>
  <c r="BT301" i="1"/>
  <c r="BU301" i="1"/>
  <c r="CD301" i="1"/>
  <c r="CA301" i="1"/>
  <c r="BS301" i="1"/>
  <c r="CH301" i="1"/>
  <c r="BV301" i="1"/>
  <c r="CF301" i="1"/>
  <c r="CE301" i="1" s="1"/>
  <c r="BX301" i="1"/>
  <c r="BZ301" i="1"/>
  <c r="BS310" i="1"/>
  <c r="CB310" i="1"/>
  <c r="CC310" i="1"/>
  <c r="BY310" i="1"/>
  <c r="BU310" i="1"/>
  <c r="CD310" i="1"/>
  <c r="BT310" i="1"/>
  <c r="BV310" i="1"/>
  <c r="CF310" i="1"/>
  <c r="BZ310" i="1"/>
  <c r="CA310" i="1"/>
  <c r="BW310" i="1"/>
  <c r="BX310" i="1"/>
  <c r="BW281" i="1"/>
  <c r="BX281" i="1"/>
  <c r="BV281" i="1"/>
  <c r="CH281" i="1"/>
  <c r="CF281" i="1"/>
  <c r="CE281" i="1" s="1"/>
  <c r="CC281" i="1"/>
  <c r="CD281" i="1"/>
  <c r="BS281" i="1"/>
  <c r="CA281" i="1"/>
  <c r="BT281" i="1"/>
  <c r="BU281" i="1"/>
  <c r="CB281" i="1"/>
  <c r="BZ281" i="1"/>
  <c r="BY281" i="1"/>
  <c r="BS278" i="1"/>
  <c r="BW278" i="1"/>
  <c r="BX278" i="1"/>
  <c r="BU278" i="1"/>
  <c r="CA278" i="1"/>
  <c r="CC278" i="1"/>
  <c r="CF278" i="1"/>
  <c r="CD278" i="1"/>
  <c r="BY278" i="1"/>
  <c r="BZ278" i="1"/>
  <c r="CB278" i="1"/>
  <c r="BV278" i="1"/>
  <c r="BT278" i="1"/>
  <c r="CB291" i="1"/>
  <c r="BX291" i="1"/>
  <c r="CD291" i="1"/>
  <c r="CA291" i="1"/>
  <c r="BZ291" i="1"/>
  <c r="BW291" i="1"/>
  <c r="BV291" i="1"/>
  <c r="BU291" i="1"/>
  <c r="CC291" i="1"/>
  <c r="BS291" i="1"/>
  <c r="BT291" i="1"/>
  <c r="CF291" i="1"/>
  <c r="BY291" i="1"/>
  <c r="BW328" i="1"/>
  <c r="BZ328" i="1"/>
  <c r="CB328" i="1"/>
  <c r="CA328" i="1"/>
  <c r="BX328" i="1"/>
  <c r="BV328" i="1"/>
  <c r="BU328" i="1"/>
  <c r="CD328" i="1"/>
  <c r="BS328" i="1"/>
  <c r="CF328" i="1"/>
  <c r="BY328" i="1"/>
  <c r="BT328" i="1"/>
  <c r="CC328" i="1"/>
  <c r="BZ302" i="1"/>
  <c r="CC302" i="1"/>
  <c r="CA302" i="1"/>
  <c r="BY302" i="1"/>
  <c r="BW302" i="1"/>
  <c r="BU302" i="1"/>
  <c r="BS302" i="1"/>
  <c r="CF302" i="1"/>
  <c r="CE302" i="1" s="1"/>
  <c r="BX302" i="1"/>
  <c r="BV302" i="1"/>
  <c r="CB302" i="1"/>
  <c r="BT302" i="1"/>
  <c r="CD302" i="1"/>
  <c r="BS290" i="1"/>
  <c r="BY290" i="1"/>
  <c r="CC290" i="1"/>
  <c r="BW290" i="1"/>
  <c r="BU290" i="1"/>
  <c r="BZ290" i="1"/>
  <c r="CF290" i="1"/>
  <c r="CD290" i="1"/>
  <c r="CB290" i="1"/>
  <c r="CA290" i="1"/>
  <c r="BV290" i="1"/>
  <c r="BX290" i="1"/>
  <c r="BT290" i="1"/>
  <c r="CD274" i="1"/>
  <c r="CH274" i="1"/>
  <c r="CC274" i="1"/>
  <c r="CB274" i="1"/>
  <c r="BS274" i="1"/>
  <c r="BX274" i="1"/>
  <c r="BW274" i="1"/>
  <c r="CA274" i="1"/>
  <c r="BZ274" i="1"/>
  <c r="CF274" i="1"/>
  <c r="CE274" i="1" s="1"/>
  <c r="BV274" i="1"/>
  <c r="BY274" i="1"/>
  <c r="BU274" i="1"/>
  <c r="BT274" i="1"/>
  <c r="BY326" i="1"/>
  <c r="BS326" i="1"/>
  <c r="BZ326" i="1"/>
  <c r="CF326" i="1"/>
  <c r="BW326" i="1"/>
  <c r="CB326" i="1"/>
  <c r="CD326" i="1"/>
  <c r="BX326" i="1"/>
  <c r="BU326" i="1"/>
  <c r="BT326" i="1"/>
  <c r="BV326" i="1"/>
  <c r="CA326" i="1"/>
  <c r="CC326" i="1"/>
  <c r="BT309" i="1"/>
  <c r="BY309" i="1"/>
  <c r="CA309" i="1"/>
  <c r="CC309" i="1"/>
  <c r="BW309" i="1"/>
  <c r="BS309" i="1"/>
  <c r="CD309" i="1"/>
  <c r="CF309" i="1"/>
  <c r="CB309" i="1"/>
  <c r="BX309" i="1"/>
  <c r="BU309" i="1"/>
  <c r="BV309" i="1"/>
  <c r="BZ309" i="1"/>
  <c r="BY308" i="1"/>
  <c r="CB308" i="1"/>
  <c r="BW308" i="1"/>
  <c r="CF308" i="1"/>
  <c r="CE308" i="1" s="1"/>
  <c r="BV308" i="1"/>
  <c r="BT308" i="1"/>
  <c r="BZ308" i="1"/>
  <c r="BX308" i="1"/>
  <c r="CC308" i="1"/>
  <c r="CD308" i="1"/>
  <c r="BS308" i="1"/>
  <c r="CA308" i="1"/>
  <c r="BU308" i="1"/>
  <c r="CB294" i="1"/>
  <c r="BV294" i="1"/>
  <c r="BU294" i="1"/>
  <c r="CF294" i="1"/>
  <c r="BS294" i="1"/>
  <c r="BY294" i="1"/>
  <c r="BT294" i="1"/>
  <c r="CC294" i="1"/>
  <c r="BX294" i="1"/>
  <c r="BZ294" i="1"/>
  <c r="BW294" i="1"/>
  <c r="CD294" i="1"/>
  <c r="CA294" i="1"/>
  <c r="CB332" i="1"/>
  <c r="BU332" i="1"/>
  <c r="CC332" i="1"/>
  <c r="BX332" i="1"/>
  <c r="CD332" i="1"/>
  <c r="BT332" i="1"/>
  <c r="BZ332" i="1"/>
  <c r="BV332" i="1"/>
  <c r="BS332" i="1"/>
  <c r="CF332" i="1"/>
  <c r="CA332" i="1"/>
  <c r="BY332" i="1"/>
  <c r="BW332" i="1"/>
  <c r="BS319" i="1"/>
  <c r="BV319" i="1"/>
  <c r="BW319" i="1"/>
  <c r="CH319" i="1"/>
  <c r="BY319" i="1"/>
  <c r="CB319" i="1"/>
  <c r="BX319" i="1"/>
  <c r="CA319" i="1"/>
  <c r="BU319" i="1"/>
  <c r="BZ319" i="1"/>
  <c r="CF319" i="1"/>
  <c r="CE319" i="1" s="1"/>
  <c r="BT319" i="1"/>
  <c r="CC319" i="1"/>
  <c r="CD319" i="1"/>
  <c r="BU316" i="1"/>
  <c r="BZ316" i="1"/>
  <c r="BX316" i="1"/>
  <c r="BW316" i="1"/>
  <c r="BT316" i="1"/>
  <c r="CD316" i="1"/>
  <c r="BV316" i="1"/>
  <c r="CF316" i="1"/>
  <c r="CE316" i="1" s="1"/>
  <c r="CB316" i="1"/>
  <c r="CA316" i="1"/>
  <c r="BS316" i="1"/>
  <c r="CC316" i="1"/>
  <c r="BY316" i="1"/>
  <c r="BY311" i="1"/>
  <c r="CC311" i="1"/>
  <c r="CB311" i="1"/>
  <c r="BX311" i="1"/>
  <c r="CD311" i="1"/>
  <c r="BV311" i="1"/>
  <c r="CF311" i="1"/>
  <c r="BS311" i="1"/>
  <c r="BT311" i="1"/>
  <c r="BW311" i="1"/>
  <c r="BU311" i="1"/>
  <c r="BZ311" i="1"/>
  <c r="CA311" i="1"/>
  <c r="BX304" i="1"/>
  <c r="BS304" i="1"/>
  <c r="BZ304" i="1"/>
  <c r="BT304" i="1"/>
  <c r="CF304" i="1"/>
  <c r="CE304" i="1" s="1"/>
  <c r="BW304" i="1"/>
  <c r="BY304" i="1"/>
  <c r="CA304" i="1"/>
  <c r="BU304" i="1"/>
  <c r="CB304" i="1"/>
  <c r="CD304" i="1"/>
  <c r="CC304" i="1"/>
  <c r="BV304" i="1"/>
  <c r="BW293" i="1"/>
  <c r="BX293" i="1"/>
  <c r="CA293" i="1"/>
  <c r="BT293" i="1"/>
  <c r="BZ293" i="1"/>
  <c r="BV293" i="1"/>
  <c r="CC293" i="1"/>
  <c r="CF293" i="1"/>
  <c r="CE293" i="1" s="1"/>
  <c r="BS293" i="1"/>
  <c r="CB293" i="1"/>
  <c r="CD293" i="1"/>
  <c r="BY293" i="1"/>
  <c r="BU293" i="1"/>
  <c r="BX284" i="1"/>
  <c r="CC284" i="1"/>
  <c r="CB284" i="1"/>
  <c r="BV284" i="1"/>
  <c r="BW284" i="1"/>
  <c r="BT284" i="1"/>
  <c r="BY284" i="1"/>
  <c r="BZ284" i="1"/>
  <c r="BU284" i="1"/>
  <c r="CF284" i="1"/>
  <c r="CE284" i="1" s="1"/>
  <c r="CH284" i="1"/>
  <c r="CA284" i="1"/>
  <c r="BS284" i="1"/>
  <c r="CD284" i="1"/>
  <c r="BX279" i="1"/>
  <c r="BS279" i="1"/>
  <c r="CC279" i="1"/>
  <c r="CF279" i="1"/>
  <c r="CE279" i="1" s="1"/>
  <c r="CB279" i="1"/>
  <c r="CD279" i="1"/>
  <c r="CA279" i="1"/>
  <c r="BY279" i="1"/>
  <c r="BZ279" i="1"/>
  <c r="BW279" i="1"/>
  <c r="BU279" i="1"/>
  <c r="BT279" i="1"/>
  <c r="BV279" i="1"/>
  <c r="CB300" i="1"/>
  <c r="BX300" i="1"/>
  <c r="BV300" i="1"/>
  <c r="BT300" i="1"/>
  <c r="BZ300" i="1"/>
  <c r="BW300" i="1"/>
  <c r="CC300" i="1"/>
  <c r="CD300" i="1"/>
  <c r="CF300" i="1"/>
  <c r="CA300" i="1"/>
  <c r="BS300" i="1"/>
  <c r="BU300" i="1"/>
  <c r="BY300" i="1"/>
  <c r="BW273" i="1"/>
  <c r="BZ273" i="1"/>
  <c r="BY273" i="1"/>
  <c r="BS273" i="1"/>
  <c r="CB273" i="1"/>
  <c r="CC273" i="1"/>
  <c r="CF273" i="1"/>
  <c r="BU273" i="1"/>
  <c r="BT273" i="1"/>
  <c r="BX273" i="1"/>
  <c r="CA273" i="1"/>
  <c r="CD273" i="1"/>
  <c r="BV273" i="1"/>
  <c r="BX307" i="1"/>
  <c r="BV307" i="1"/>
  <c r="BS307" i="1"/>
  <c r="BW307" i="1"/>
  <c r="BZ307" i="1"/>
  <c r="CH307" i="1"/>
  <c r="BU307" i="1"/>
  <c r="CB307" i="1"/>
  <c r="BY307" i="1"/>
  <c r="CF307" i="1"/>
  <c r="CE307" i="1" s="1"/>
  <c r="CA307" i="1"/>
  <c r="CD307" i="1"/>
  <c r="BT307" i="1"/>
  <c r="CC307" i="1"/>
  <c r="CB331" i="1"/>
  <c r="BS331" i="1"/>
  <c r="BX331" i="1"/>
  <c r="CA331" i="1"/>
  <c r="CH331" i="1"/>
  <c r="CF331" i="1"/>
  <c r="CE331" i="1" s="1"/>
  <c r="BV331" i="1"/>
  <c r="BT331" i="1"/>
  <c r="CC331" i="1"/>
  <c r="BZ331" i="1"/>
  <c r="BU331" i="1"/>
  <c r="CD331" i="1"/>
  <c r="BY331" i="1"/>
  <c r="BW331" i="1"/>
  <c r="BV320" i="1"/>
  <c r="BT320" i="1"/>
  <c r="CC320" i="1"/>
  <c r="CB320" i="1"/>
  <c r="BS320" i="1"/>
  <c r="BY320" i="1"/>
  <c r="BU320" i="1"/>
  <c r="CD320" i="1"/>
  <c r="BZ320" i="1"/>
  <c r="CF320" i="1"/>
  <c r="BX320" i="1"/>
  <c r="CA320" i="1"/>
  <c r="BW320" i="1"/>
  <c r="BV318" i="1"/>
  <c r="CB318" i="1"/>
  <c r="CH318" i="1"/>
  <c r="CA318" i="1"/>
  <c r="BT318" i="1"/>
  <c r="CF318" i="1"/>
  <c r="CE318" i="1" s="1"/>
  <c r="BU318" i="1"/>
  <c r="BW318" i="1"/>
  <c r="BX318" i="1"/>
  <c r="BY318" i="1"/>
  <c r="CD318" i="1"/>
  <c r="BZ318" i="1"/>
  <c r="CC318" i="1"/>
  <c r="BS318" i="1"/>
  <c r="CC312" i="1"/>
  <c r="CB312" i="1"/>
  <c r="BY312" i="1"/>
  <c r="BV312" i="1"/>
  <c r="CF312" i="1"/>
  <c r="BZ312" i="1"/>
  <c r="BS312" i="1"/>
  <c r="CA312" i="1"/>
  <c r="BX312" i="1"/>
  <c r="BU312" i="1"/>
  <c r="BW312" i="1"/>
  <c r="BT312" i="1"/>
  <c r="CD312" i="1"/>
  <c r="CB305" i="1"/>
  <c r="CC305" i="1"/>
  <c r="BX305" i="1"/>
  <c r="BZ305" i="1"/>
  <c r="BT305" i="1"/>
  <c r="BV305" i="1"/>
  <c r="CD305" i="1"/>
  <c r="BU305" i="1"/>
  <c r="CA305" i="1"/>
  <c r="BY305" i="1"/>
  <c r="CF305" i="1"/>
  <c r="BW305" i="1"/>
  <c r="BS305" i="1"/>
  <c r="BW289" i="1"/>
  <c r="BT289" i="1"/>
  <c r="BZ289" i="1"/>
  <c r="CA289" i="1"/>
  <c r="BU289" i="1"/>
  <c r="CD289" i="1"/>
  <c r="CF289" i="1"/>
  <c r="CE289" i="1" s="1"/>
  <c r="BS289" i="1"/>
  <c r="BY289" i="1"/>
  <c r="CC289" i="1"/>
  <c r="BV289" i="1"/>
  <c r="CH289" i="1"/>
  <c r="BX289" i="1"/>
  <c r="CB289" i="1"/>
  <c r="CD287" i="1"/>
  <c r="BS287" i="1"/>
  <c r="CB287" i="1"/>
  <c r="BU287" i="1"/>
  <c r="BW287" i="1"/>
  <c r="CC287" i="1"/>
  <c r="BY287" i="1"/>
  <c r="BX287" i="1"/>
  <c r="CF287" i="1"/>
  <c r="CE287" i="1" s="1"/>
  <c r="CA287" i="1"/>
  <c r="BZ287" i="1"/>
  <c r="BT287" i="1"/>
  <c r="BV287" i="1"/>
  <c r="CD277" i="1"/>
  <c r="BS277" i="1"/>
  <c r="CF277" i="1"/>
  <c r="CB277" i="1"/>
  <c r="CA277" i="1"/>
  <c r="BV277" i="1"/>
  <c r="BY277" i="1"/>
  <c r="BT277" i="1"/>
  <c r="BU277" i="1"/>
  <c r="BZ277" i="1"/>
  <c r="CC277" i="1"/>
  <c r="BX277" i="1"/>
  <c r="BW277" i="1"/>
  <c r="BW333" i="1"/>
  <c r="CC333" i="1"/>
  <c r="BX333" i="1"/>
  <c r="BV333" i="1"/>
  <c r="CB333" i="1"/>
  <c r="CD333" i="1"/>
  <c r="BT333" i="1"/>
  <c r="BU333" i="1"/>
  <c r="BY333" i="1"/>
  <c r="BS333" i="1"/>
  <c r="CA333" i="1"/>
  <c r="BZ333" i="1"/>
  <c r="CF333" i="1"/>
  <c r="CE333" i="1" s="1"/>
  <c r="BS321" i="1"/>
  <c r="BW321" i="1"/>
  <c r="CC321" i="1"/>
  <c r="BX321" i="1"/>
  <c r="CD321" i="1"/>
  <c r="BV321" i="1"/>
  <c r="CF321" i="1"/>
  <c r="CB321" i="1"/>
  <c r="BY321" i="1"/>
  <c r="BT321" i="1"/>
  <c r="BZ321" i="1"/>
  <c r="CA321" i="1"/>
  <c r="BU321" i="1"/>
  <c r="CB317" i="1"/>
  <c r="BY317" i="1"/>
  <c r="BV317" i="1"/>
  <c r="CC317" i="1"/>
  <c r="CA317" i="1"/>
  <c r="CD317" i="1"/>
  <c r="BZ317" i="1"/>
  <c r="BW317" i="1"/>
  <c r="BU317" i="1"/>
  <c r="BS317" i="1"/>
  <c r="CF317" i="1"/>
  <c r="CE317" i="1" s="1"/>
  <c r="BT317" i="1"/>
  <c r="BX317" i="1"/>
  <c r="BU299" i="1"/>
  <c r="BY299" i="1"/>
  <c r="BS299" i="1"/>
  <c r="BT299" i="1"/>
  <c r="CD299" i="1"/>
  <c r="CF299" i="1"/>
  <c r="CB299" i="1"/>
  <c r="BW299" i="1"/>
  <c r="BV299" i="1"/>
  <c r="CA299" i="1"/>
  <c r="CC299" i="1"/>
  <c r="BX299" i="1"/>
  <c r="BZ299" i="1"/>
  <c r="CH295" i="1"/>
  <c r="CB295" i="1"/>
  <c r="BU295" i="1"/>
  <c r="BT295" i="1"/>
  <c r="BV295" i="1"/>
  <c r="BW295" i="1"/>
  <c r="BZ295" i="1"/>
  <c r="CA295" i="1"/>
  <c r="BY295" i="1"/>
  <c r="BS295" i="1"/>
  <c r="CD295" i="1"/>
  <c r="CC295" i="1"/>
  <c r="CF295" i="1"/>
  <c r="CE295" i="1" s="1"/>
  <c r="BX295" i="1"/>
  <c r="BT292" i="1"/>
  <c r="CD292" i="1"/>
  <c r="BS292" i="1"/>
  <c r="BY292" i="1"/>
  <c r="BX292" i="1"/>
  <c r="CB292" i="1"/>
  <c r="CA292" i="1"/>
  <c r="BU292" i="1"/>
  <c r="BZ292" i="1"/>
  <c r="BW292" i="1"/>
  <c r="CC292" i="1"/>
  <c r="BV292" i="1"/>
  <c r="CF292" i="1"/>
  <c r="BT282" i="1"/>
  <c r="BW282" i="1"/>
  <c r="BZ282" i="1"/>
  <c r="CC282" i="1"/>
  <c r="BS282" i="1"/>
  <c r="BY282" i="1"/>
  <c r="CD282" i="1"/>
  <c r="BU282" i="1"/>
  <c r="CF282" i="1"/>
  <c r="CA282" i="1"/>
  <c r="BX282" i="1"/>
  <c r="CB282" i="1"/>
  <c r="BV282" i="1"/>
  <c r="BW276" i="1"/>
  <c r="BU276" i="1"/>
  <c r="BV276" i="1"/>
  <c r="BS276" i="1"/>
  <c r="BX276" i="1"/>
  <c r="CC276" i="1"/>
  <c r="BZ276" i="1"/>
  <c r="BT276" i="1"/>
  <c r="CD276" i="1"/>
  <c r="CF276" i="1"/>
  <c r="BY276" i="1"/>
  <c r="CA276" i="1"/>
  <c r="CB276" i="1"/>
  <c r="BW314" i="1"/>
  <c r="CF314" i="1"/>
  <c r="CE314" i="1" s="1"/>
  <c r="BZ314" i="1"/>
  <c r="BV314" i="1"/>
  <c r="CH314" i="1"/>
  <c r="BT314" i="1"/>
  <c r="BU314" i="1"/>
  <c r="BS314" i="1"/>
  <c r="BY314" i="1"/>
  <c r="CC314" i="1"/>
  <c r="CD314" i="1"/>
  <c r="BX314" i="1"/>
  <c r="CA314" i="1"/>
  <c r="CB314" i="1"/>
  <c r="BY325" i="1"/>
  <c r="CB325" i="1"/>
  <c r="BT325" i="1"/>
  <c r="CA325" i="1"/>
  <c r="BW325" i="1"/>
  <c r="CD325" i="1"/>
  <c r="CF325" i="1"/>
  <c r="CC325" i="1"/>
  <c r="BV325" i="1"/>
  <c r="BZ325" i="1"/>
  <c r="BU325" i="1"/>
  <c r="BX325" i="1"/>
  <c r="BS325" i="1"/>
  <c r="BW280" i="1"/>
  <c r="CF280" i="1"/>
  <c r="CC280" i="1"/>
  <c r="CA280" i="1"/>
  <c r="CD280" i="1"/>
  <c r="BX280" i="1"/>
  <c r="BU280" i="1"/>
  <c r="BV280" i="1"/>
  <c r="BS280" i="1"/>
  <c r="BZ280" i="1"/>
  <c r="CB280" i="1"/>
  <c r="BY280" i="1"/>
  <c r="BT280" i="1"/>
  <c r="BT329" i="1"/>
  <c r="BU329" i="1"/>
  <c r="CF329" i="1"/>
  <c r="CE329" i="1" s="1"/>
  <c r="BS329" i="1"/>
  <c r="CA329" i="1"/>
  <c r="BY329" i="1"/>
  <c r="BW329" i="1"/>
  <c r="CB329" i="1"/>
  <c r="BX329" i="1"/>
  <c r="BZ329" i="1"/>
  <c r="CD329" i="1"/>
  <c r="CC329" i="1"/>
  <c r="BV329" i="1"/>
  <c r="BU322" i="1"/>
  <c r="BY322" i="1"/>
  <c r="CB322" i="1"/>
  <c r="BV322" i="1"/>
  <c r="CF322" i="1"/>
  <c r="CE322" i="1" s="1"/>
  <c r="BZ322" i="1"/>
  <c r="BT322" i="1"/>
  <c r="CA322" i="1"/>
  <c r="BX322" i="1"/>
  <c r="CD322" i="1"/>
  <c r="BW322" i="1"/>
  <c r="BS322" i="1"/>
  <c r="CC322" i="1"/>
  <c r="CF313" i="1"/>
  <c r="BT313" i="1"/>
  <c r="BZ313" i="1"/>
  <c r="CB313" i="1"/>
  <c r="BY313" i="1"/>
  <c r="BU313" i="1"/>
  <c r="BW313" i="1"/>
  <c r="CD313" i="1"/>
  <c r="BV313" i="1"/>
  <c r="BS313" i="1"/>
  <c r="BX313" i="1"/>
  <c r="CC313" i="1"/>
  <c r="CA313" i="1"/>
  <c r="BU298" i="1"/>
  <c r="BZ298" i="1"/>
  <c r="CB298" i="1"/>
  <c r="CD298" i="1"/>
  <c r="CF298" i="1"/>
  <c r="BV298" i="1"/>
  <c r="BT298" i="1"/>
  <c r="BX298" i="1"/>
  <c r="BS298" i="1"/>
  <c r="BW298" i="1"/>
  <c r="CC298" i="1"/>
  <c r="CA298" i="1"/>
  <c r="BY298" i="1"/>
  <c r="BW296" i="1"/>
  <c r="CC296" i="1"/>
  <c r="CB296" i="1"/>
  <c r="BY296" i="1"/>
  <c r="BX296" i="1"/>
  <c r="CH296" i="1"/>
  <c r="BS296" i="1"/>
  <c r="BV296" i="1"/>
  <c r="CF296" i="1"/>
  <c r="CE296" i="1" s="1"/>
  <c r="CA296" i="1"/>
  <c r="BU296" i="1"/>
  <c r="CD296" i="1"/>
  <c r="BT296" i="1"/>
  <c r="BZ296" i="1"/>
  <c r="BU288" i="1"/>
  <c r="BZ288" i="1"/>
  <c r="BX288" i="1"/>
  <c r="BV288" i="1"/>
  <c r="BW288" i="1"/>
  <c r="CA288" i="1"/>
  <c r="BY288" i="1"/>
  <c r="CB288" i="1"/>
  <c r="CD288" i="1"/>
  <c r="CC288" i="1"/>
  <c r="BS288" i="1"/>
  <c r="CF288" i="1"/>
  <c r="BT288" i="1"/>
  <c r="BZ286" i="1"/>
  <c r="BW286" i="1"/>
  <c r="CF286" i="1"/>
  <c r="BY286" i="1"/>
  <c r="BV286" i="1"/>
  <c r="BT286" i="1"/>
  <c r="CB286" i="1"/>
  <c r="BU286" i="1"/>
  <c r="CA286" i="1"/>
  <c r="CD286" i="1"/>
  <c r="CC286" i="1"/>
  <c r="BS286" i="1"/>
  <c r="BX286" i="1"/>
  <c r="BV275" i="1"/>
  <c r="BZ275" i="1"/>
  <c r="BX275" i="1"/>
  <c r="CC275" i="1"/>
  <c r="CB275" i="1"/>
  <c r="CA275" i="1"/>
  <c r="CD275" i="1"/>
  <c r="BS275" i="1"/>
  <c r="CF275" i="1"/>
  <c r="CE275" i="1" s="1"/>
  <c r="CH275" i="1"/>
  <c r="BT275" i="1"/>
  <c r="BU275" i="1"/>
  <c r="BW275" i="1"/>
  <c r="BY275" i="1"/>
  <c r="CD335" i="1"/>
  <c r="BS335" i="1"/>
  <c r="BV335" i="1"/>
  <c r="BZ335" i="1"/>
  <c r="BY335" i="1"/>
  <c r="BU335" i="1"/>
  <c r="CB335" i="1"/>
  <c r="BW335" i="1"/>
  <c r="CF335" i="1"/>
  <c r="CA335" i="1"/>
  <c r="BX335" i="1"/>
  <c r="CC335" i="1"/>
  <c r="BT335" i="1"/>
  <c r="BV336" i="1"/>
  <c r="BU336" i="1"/>
  <c r="BX336" i="1"/>
  <c r="CA336" i="1"/>
  <c r="CF336" i="1"/>
  <c r="BZ336" i="1"/>
  <c r="BT336" i="1"/>
  <c r="BW336" i="1"/>
  <c r="CD336" i="1"/>
  <c r="BY336" i="1"/>
  <c r="CB336" i="1"/>
  <c r="CC336" i="1"/>
  <c r="BS336" i="1"/>
  <c r="BU343" i="1"/>
  <c r="CB343" i="1"/>
  <c r="BV343" i="1"/>
  <c r="BZ343" i="1"/>
  <c r="CC343" i="1"/>
  <c r="BW343" i="1"/>
  <c r="BX343" i="1"/>
  <c r="CD343" i="1"/>
  <c r="BT343" i="1"/>
  <c r="BS343" i="1"/>
  <c r="CF343" i="1"/>
  <c r="CA343" i="1"/>
  <c r="BY343" i="1"/>
  <c r="CD337" i="1"/>
  <c r="BU337" i="1"/>
  <c r="BY337" i="1"/>
  <c r="BX337" i="1"/>
  <c r="CC337" i="1"/>
  <c r="BZ337" i="1"/>
  <c r="BT337" i="1"/>
  <c r="BW337" i="1"/>
  <c r="BV337" i="1"/>
  <c r="CA337" i="1"/>
  <c r="CB337" i="1"/>
  <c r="BS337" i="1"/>
  <c r="CF337" i="1"/>
  <c r="BV339" i="1"/>
  <c r="BX339" i="1"/>
  <c r="BY339" i="1"/>
  <c r="BW339" i="1"/>
  <c r="CA339" i="1"/>
  <c r="BT339" i="1"/>
  <c r="CB339" i="1"/>
  <c r="CC339" i="1"/>
  <c r="BS339" i="1"/>
  <c r="CF339" i="1"/>
  <c r="BU339" i="1"/>
  <c r="CD339" i="1"/>
  <c r="BZ339" i="1"/>
  <c r="BT342" i="1"/>
  <c r="BS342" i="1"/>
  <c r="CB342" i="1"/>
  <c r="BU342" i="1"/>
  <c r="BZ342" i="1"/>
  <c r="CC342" i="1"/>
  <c r="BX342" i="1"/>
  <c r="CF342" i="1"/>
  <c r="CE342" i="1" s="1"/>
  <c r="BW342" i="1"/>
  <c r="BV342" i="1"/>
  <c r="CD342" i="1"/>
  <c r="BY342" i="1"/>
  <c r="CA342" i="1"/>
  <c r="BY344" i="1"/>
  <c r="BS344" i="1"/>
  <c r="BU344" i="1"/>
  <c r="BT344" i="1"/>
  <c r="CC344" i="1"/>
  <c r="BW344" i="1"/>
  <c r="CD344" i="1"/>
  <c r="BZ344" i="1"/>
  <c r="BX344" i="1"/>
  <c r="CA344" i="1"/>
  <c r="CB344" i="1"/>
  <c r="BV344" i="1"/>
  <c r="CF344" i="1"/>
  <c r="BY340" i="1"/>
  <c r="CC340" i="1"/>
  <c r="BZ340" i="1"/>
  <c r="CD340" i="1"/>
  <c r="CF340" i="1"/>
  <c r="BU340" i="1"/>
  <c r="BV340" i="1"/>
  <c r="BW340" i="1"/>
  <c r="CB340" i="1"/>
  <c r="BX340" i="1"/>
  <c r="BS340" i="1"/>
  <c r="CA340" i="1"/>
  <c r="BT340" i="1"/>
  <c r="BV338" i="1"/>
  <c r="BW338" i="1"/>
  <c r="BT338" i="1"/>
  <c r="CC338" i="1"/>
  <c r="BZ338" i="1"/>
  <c r="BS338" i="1"/>
  <c r="CF338" i="1"/>
  <c r="CA338" i="1"/>
  <c r="CB338" i="1"/>
  <c r="BU338" i="1"/>
  <c r="BY338" i="1"/>
  <c r="BX338" i="1"/>
  <c r="CD338" i="1"/>
  <c r="CC345" i="1"/>
  <c r="BT345" i="1"/>
  <c r="BY345" i="1"/>
  <c r="BX345" i="1"/>
  <c r="BU345" i="1"/>
  <c r="CB345" i="1"/>
  <c r="CA345" i="1"/>
  <c r="CD345" i="1"/>
  <c r="BV345" i="1"/>
  <c r="BS345" i="1"/>
  <c r="CF345" i="1"/>
  <c r="BW345" i="1"/>
  <c r="BZ345" i="1"/>
  <c r="BS341" i="1"/>
  <c r="BT341" i="1"/>
  <c r="CC341" i="1"/>
  <c r="BX341" i="1"/>
  <c r="BW341" i="1"/>
  <c r="BU341" i="1"/>
  <c r="CD341" i="1"/>
  <c r="BY341" i="1"/>
  <c r="BV341" i="1"/>
  <c r="BZ341" i="1"/>
  <c r="CB341" i="1"/>
  <c r="CA341" i="1"/>
  <c r="CF341" i="1"/>
  <c r="CE341" i="1" s="1"/>
  <c r="BV351" i="1"/>
  <c r="BY351" i="1"/>
  <c r="BS351" i="1"/>
  <c r="CB351" i="1"/>
  <c r="BZ351" i="1"/>
  <c r="BU351" i="1"/>
  <c r="BW351" i="1"/>
  <c r="CC351" i="1"/>
  <c r="CD351" i="1"/>
  <c r="CF351" i="1"/>
  <c r="CE351" i="1" s="1"/>
  <c r="CA351" i="1"/>
  <c r="BT351" i="1"/>
  <c r="BX351" i="1"/>
  <c r="BW346" i="1"/>
  <c r="BS346" i="1"/>
  <c r="BX346" i="1"/>
  <c r="CD346" i="1"/>
  <c r="BV346" i="1"/>
  <c r="BZ346" i="1"/>
  <c r="BU346" i="1"/>
  <c r="BY346" i="1"/>
  <c r="CC346" i="1"/>
  <c r="CA346" i="1"/>
  <c r="CF346" i="1"/>
  <c r="CB346" i="1"/>
  <c r="BT346" i="1"/>
  <c r="CC353" i="1"/>
  <c r="BX353" i="1"/>
  <c r="BU353" i="1"/>
  <c r="BZ353" i="1"/>
  <c r="CB353" i="1"/>
  <c r="CD353" i="1"/>
  <c r="CF353" i="1"/>
  <c r="BV353" i="1"/>
  <c r="CA353" i="1"/>
  <c r="BS353" i="1"/>
  <c r="BW353" i="1"/>
  <c r="BY353" i="1"/>
  <c r="BT353" i="1"/>
  <c r="CD356" i="1"/>
  <c r="CB356" i="1"/>
  <c r="BS356" i="1"/>
  <c r="CF356" i="1"/>
  <c r="BV356" i="1"/>
  <c r="BT356" i="1"/>
  <c r="BX356" i="1"/>
  <c r="BU356" i="1"/>
  <c r="BY356" i="1"/>
  <c r="CC356" i="1"/>
  <c r="BW356" i="1"/>
  <c r="BZ356" i="1"/>
  <c r="CA356" i="1"/>
  <c r="CA357" i="1"/>
  <c r="BU357" i="1"/>
  <c r="CF357" i="1"/>
  <c r="BS357" i="1"/>
  <c r="CB357" i="1"/>
  <c r="CD357" i="1"/>
  <c r="BX357" i="1"/>
  <c r="CC357" i="1"/>
  <c r="BW357" i="1"/>
  <c r="BY357" i="1"/>
  <c r="BZ357" i="1"/>
  <c r="BV357" i="1"/>
  <c r="BT357" i="1"/>
  <c r="BX349" i="1"/>
  <c r="CC349" i="1"/>
  <c r="BS349" i="1"/>
  <c r="BZ349" i="1"/>
  <c r="CF349" i="1"/>
  <c r="CA349" i="1"/>
  <c r="BV349" i="1"/>
  <c r="BW349" i="1"/>
  <c r="CB349" i="1"/>
  <c r="BU349" i="1"/>
  <c r="BY349" i="1"/>
  <c r="BT349" i="1"/>
  <c r="CD349" i="1"/>
  <c r="CA354" i="1"/>
  <c r="BW354" i="1"/>
  <c r="BT354" i="1"/>
  <c r="BV354" i="1"/>
  <c r="BU354" i="1"/>
  <c r="BY354" i="1"/>
  <c r="CB354" i="1"/>
  <c r="BS354" i="1"/>
  <c r="CC354" i="1"/>
  <c r="CD354" i="1"/>
  <c r="BX354" i="1"/>
  <c r="CF354" i="1"/>
  <c r="CE354" i="1" s="1"/>
  <c r="BZ354" i="1"/>
  <c r="CA355" i="1"/>
  <c r="BZ355" i="1"/>
  <c r="BW355" i="1"/>
  <c r="CC355" i="1"/>
  <c r="BS355" i="1"/>
  <c r="BY355" i="1"/>
  <c r="CD355" i="1"/>
  <c r="BU355" i="1"/>
  <c r="BX355" i="1"/>
  <c r="BT355" i="1"/>
  <c r="CB355" i="1"/>
  <c r="BV355" i="1"/>
  <c r="CF355" i="1"/>
  <c r="BY348" i="1"/>
  <c r="CD348" i="1"/>
  <c r="CA348" i="1"/>
  <c r="BS348" i="1"/>
  <c r="BV348" i="1"/>
  <c r="BX348" i="1"/>
  <c r="CF348" i="1"/>
  <c r="BU348" i="1"/>
  <c r="BZ348" i="1"/>
  <c r="CC348" i="1"/>
  <c r="BW348" i="1"/>
  <c r="BT348" i="1"/>
  <c r="CB348" i="1"/>
  <c r="BU350" i="1"/>
  <c r="BZ350" i="1"/>
  <c r="BX350" i="1"/>
  <c r="CA350" i="1"/>
  <c r="BW350" i="1"/>
  <c r="BS350" i="1"/>
  <c r="BV350" i="1"/>
  <c r="BY350" i="1"/>
  <c r="CB350" i="1"/>
  <c r="BT350" i="1"/>
  <c r="CF350" i="1"/>
  <c r="CD350" i="1"/>
  <c r="CC350" i="1"/>
  <c r="CC352" i="1"/>
  <c r="BW352" i="1"/>
  <c r="BS352" i="1"/>
  <c r="CB352" i="1"/>
  <c r="CA352" i="1"/>
  <c r="BY352" i="1"/>
  <c r="BV352" i="1"/>
  <c r="BT352" i="1"/>
  <c r="CD352" i="1"/>
  <c r="BX352" i="1"/>
  <c r="CF352" i="1"/>
  <c r="BZ352" i="1"/>
  <c r="BU352" i="1"/>
  <c r="CF347" i="1"/>
  <c r="BW347" i="1"/>
  <c r="BV347" i="1"/>
  <c r="BY347" i="1"/>
  <c r="BU347" i="1"/>
  <c r="CC347" i="1"/>
  <c r="BX347" i="1"/>
  <c r="CA347" i="1"/>
  <c r="CD347" i="1"/>
  <c r="CB347" i="1"/>
  <c r="BS347" i="1"/>
  <c r="BT347" i="1"/>
  <c r="BZ347"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BQ155" i="1" l="1"/>
  <c r="BR155" i="1" s="1"/>
  <c r="BO122" i="1"/>
  <c r="CR139" i="1"/>
  <c r="CG139" i="1"/>
  <c r="BQ47" i="1"/>
  <c r="BR47" i="1" s="1"/>
  <c r="BO47" i="1"/>
  <c r="BP47" i="1" s="1"/>
  <c r="CG52" i="1"/>
  <c r="CR52" i="1"/>
  <c r="BQ136" i="1"/>
  <c r="BR136" i="1" s="1"/>
  <c r="BO136" i="1"/>
  <c r="BP136" i="1" s="1"/>
  <c r="BO111" i="1"/>
  <c r="BQ111" i="1"/>
  <c r="BR111" i="1" s="1"/>
  <c r="CE134" i="1"/>
  <c r="CR119" i="1"/>
  <c r="CG119" i="1"/>
  <c r="BQ72" i="1"/>
  <c r="BR72" i="1" s="1"/>
  <c r="BO72" i="1"/>
  <c r="BP72" i="1" s="1"/>
  <c r="CR117" i="1"/>
  <c r="CG117" i="1"/>
  <c r="BQ144" i="1"/>
  <c r="BR144" i="1" s="1"/>
  <c r="BO144" i="1"/>
  <c r="BP144" i="1" s="1"/>
  <c r="CR91" i="1"/>
  <c r="CG91" i="1"/>
  <c r="BQ35" i="1"/>
  <c r="BR35" i="1" s="1"/>
  <c r="BO35" i="1"/>
  <c r="BP35" i="1" s="1"/>
  <c r="BO120" i="1"/>
  <c r="BP120" i="1" s="1"/>
  <c r="BQ120" i="1"/>
  <c r="BR120" i="1" s="1"/>
  <c r="BO70" i="1"/>
  <c r="BP70" i="1" s="1"/>
  <c r="BQ70" i="1"/>
  <c r="BR70" i="1" s="1"/>
  <c r="CE61" i="1"/>
  <c r="CR121" i="1"/>
  <c r="CG121" i="1"/>
  <c r="BQ103" i="1"/>
  <c r="BR103" i="1" s="1"/>
  <c r="BO103" i="1"/>
  <c r="BQ118" i="1"/>
  <c r="BR118" i="1" s="1"/>
  <c r="BO118" i="1"/>
  <c r="BP118" i="1" s="1"/>
  <c r="CG22" i="1"/>
  <c r="CR22" i="1"/>
  <c r="BO63" i="1"/>
  <c r="CR76" i="1"/>
  <c r="CG76" i="1"/>
  <c r="BO98" i="1"/>
  <c r="BP98" i="1" s="1"/>
  <c r="BQ98" i="1"/>
  <c r="BR98" i="1" s="1"/>
  <c r="BQ141" i="1"/>
  <c r="BR141" i="1" s="1"/>
  <c r="BO141" i="1"/>
  <c r="BP141" i="1" s="1"/>
  <c r="BQ128" i="1"/>
  <c r="BR128" i="1" s="1"/>
  <c r="BO128" i="1"/>
  <c r="BP128" i="1" s="1"/>
  <c r="BP122" i="1"/>
  <c r="CH122" i="1"/>
  <c r="BO84" i="1"/>
  <c r="BP84" i="1" s="1"/>
  <c r="BQ84" i="1"/>
  <c r="BR84" i="1" s="1"/>
  <c r="CG19" i="1"/>
  <c r="CR19" i="1"/>
  <c r="CG25" i="1"/>
  <c r="CR25" i="1"/>
  <c r="CR101" i="1"/>
  <c r="CG101" i="1"/>
  <c r="BO22" i="1"/>
  <c r="BP22" i="1" s="1"/>
  <c r="BQ22" i="1"/>
  <c r="BR22" i="1" s="1"/>
  <c r="BO151" i="1"/>
  <c r="BQ151" i="1"/>
  <c r="BR151" i="1" s="1"/>
  <c r="BQ68" i="1"/>
  <c r="BR68" i="1" s="1"/>
  <c r="BO68" i="1"/>
  <c r="BP68" i="1" s="1"/>
  <c r="CR33" i="1"/>
  <c r="CG33" i="1"/>
  <c r="BO56" i="1"/>
  <c r="BQ56" i="1"/>
  <c r="BR56" i="1" s="1"/>
  <c r="BO65" i="1"/>
  <c r="BP65" i="1" s="1"/>
  <c r="BQ65" i="1"/>
  <c r="BR65" i="1" s="1"/>
  <c r="CE320" i="1"/>
  <c r="CR75" i="1"/>
  <c r="CG75" i="1"/>
  <c r="BQ148" i="1"/>
  <c r="BR148" i="1" s="1"/>
  <c r="BO148" i="1"/>
  <c r="BP148" i="1" s="1"/>
  <c r="CG37" i="1"/>
  <c r="CR37" i="1"/>
  <c r="BO85" i="1"/>
  <c r="BP85" i="1" s="1"/>
  <c r="BQ85" i="1"/>
  <c r="BR85" i="1" s="1"/>
  <c r="BQ19" i="1"/>
  <c r="BR19" i="1" s="1"/>
  <c r="BO19" i="1"/>
  <c r="BP19" i="1" s="1"/>
  <c r="BQ61" i="1"/>
  <c r="BR61" i="1" s="1"/>
  <c r="BO60" i="1"/>
  <c r="BP60" i="1" s="1"/>
  <c r="BQ60" i="1"/>
  <c r="BR60" i="1" s="1"/>
  <c r="BQ36" i="1"/>
  <c r="BR36" i="1" s="1"/>
  <c r="BO36" i="1"/>
  <c r="BO116" i="1"/>
  <c r="BP116" i="1" s="1"/>
  <c r="BQ116" i="1"/>
  <c r="BR116" i="1" s="1"/>
  <c r="BO25" i="1"/>
  <c r="BP25" i="1" s="1"/>
  <c r="BQ25" i="1"/>
  <c r="BR25" i="1" s="1"/>
  <c r="BO89" i="1"/>
  <c r="BP89" i="1" s="1"/>
  <c r="BQ89" i="1"/>
  <c r="BR89" i="1" s="1"/>
  <c r="BQ107" i="1"/>
  <c r="BR107" i="1" s="1"/>
  <c r="BO107" i="1"/>
  <c r="CG27" i="1"/>
  <c r="CR27" i="1"/>
  <c r="CG67" i="1"/>
  <c r="CR67" i="1"/>
  <c r="CR157" i="1"/>
  <c r="CG157" i="1"/>
  <c r="BO33" i="1"/>
  <c r="BP33" i="1" s="1"/>
  <c r="BQ33" i="1"/>
  <c r="BR33" i="1" s="1"/>
  <c r="CE145" i="1"/>
  <c r="BQ129" i="1"/>
  <c r="BR129" i="1" s="1"/>
  <c r="BO129" i="1"/>
  <c r="BP129" i="1" s="1"/>
  <c r="CR34" i="1"/>
  <c r="CG34" i="1"/>
  <c r="CE207" i="1"/>
  <c r="CG41" i="1"/>
  <c r="CR41" i="1"/>
  <c r="BO45" i="1"/>
  <c r="BP45" i="1" s="1"/>
  <c r="BQ45" i="1"/>
  <c r="BR45" i="1" s="1"/>
  <c r="BQ156" i="1"/>
  <c r="BR156" i="1" s="1"/>
  <c r="BO156" i="1"/>
  <c r="BP156" i="1" s="1"/>
  <c r="CR30" i="1"/>
  <c r="CG30" i="1"/>
  <c r="CG131" i="1"/>
  <c r="CR131" i="1"/>
  <c r="CR58" i="1"/>
  <c r="CG58" i="1"/>
  <c r="CR102" i="1"/>
  <c r="CG102" i="1"/>
  <c r="BO27" i="1"/>
  <c r="BP27" i="1" s="1"/>
  <c r="BQ27" i="1"/>
  <c r="BR27" i="1" s="1"/>
  <c r="BO117" i="1"/>
  <c r="BP117" i="1" s="1"/>
  <c r="BQ117" i="1"/>
  <c r="BR117" i="1" s="1"/>
  <c r="CR83" i="1"/>
  <c r="CG83" i="1"/>
  <c r="BO64" i="1"/>
  <c r="BQ64" i="1"/>
  <c r="BR64" i="1" s="1"/>
  <c r="BQ34" i="1"/>
  <c r="BR34" i="1" s="1"/>
  <c r="BO34" i="1"/>
  <c r="BP34" i="1" s="1"/>
  <c r="CG44" i="1"/>
  <c r="CR44" i="1"/>
  <c r="CG128" i="1"/>
  <c r="CR128" i="1"/>
  <c r="BQ139" i="1"/>
  <c r="BR139" i="1" s="1"/>
  <c r="BO139" i="1"/>
  <c r="BP139" i="1" s="1"/>
  <c r="CR84" i="1"/>
  <c r="CG84" i="1"/>
  <c r="BQ109" i="1"/>
  <c r="BR109" i="1" s="1"/>
  <c r="BO109" i="1"/>
  <c r="BP109" i="1" s="1"/>
  <c r="BQ30" i="1"/>
  <c r="BR30" i="1" s="1"/>
  <c r="BO30" i="1"/>
  <c r="BP30" i="1" s="1"/>
  <c r="BQ131" i="1"/>
  <c r="BR131" i="1" s="1"/>
  <c r="BO131" i="1"/>
  <c r="BP131" i="1" s="1"/>
  <c r="CR158" i="1"/>
  <c r="CG158" i="1"/>
  <c r="BQ157" i="1"/>
  <c r="BR157" i="1" s="1"/>
  <c r="BO157" i="1"/>
  <c r="BP157" i="1" s="1"/>
  <c r="BQ83" i="1"/>
  <c r="BR83" i="1" s="1"/>
  <c r="BO83" i="1"/>
  <c r="BP83" i="1" s="1"/>
  <c r="BQ82" i="1"/>
  <c r="BR82" i="1" s="1"/>
  <c r="BO82" i="1"/>
  <c r="BO99" i="1"/>
  <c r="BP99" i="1" s="1"/>
  <c r="BQ99" i="1"/>
  <c r="BR99" i="1" s="1"/>
  <c r="BO143" i="1"/>
  <c r="BP143" i="1" s="1"/>
  <c r="BQ143" i="1"/>
  <c r="BR143" i="1" s="1"/>
  <c r="CR106" i="1"/>
  <c r="CG106" i="1"/>
  <c r="CG48" i="1"/>
  <c r="CR48" i="1"/>
  <c r="BO150" i="1"/>
  <c r="BP150" i="1" s="1"/>
  <c r="BQ150" i="1"/>
  <c r="BR150" i="1" s="1"/>
  <c r="CE172" i="1"/>
  <c r="CR29" i="1"/>
  <c r="CG29" i="1"/>
  <c r="CR88" i="1"/>
  <c r="CG88" i="1"/>
  <c r="BQ73" i="1"/>
  <c r="BR73" i="1" s="1"/>
  <c r="BO73" i="1"/>
  <c r="BP73" i="1" s="1"/>
  <c r="CE36" i="1"/>
  <c r="CG89" i="1"/>
  <c r="CR89" i="1"/>
  <c r="CE100" i="1"/>
  <c r="CR20" i="1"/>
  <c r="CG20" i="1"/>
  <c r="BO94" i="1"/>
  <c r="BP94" i="1" s="1"/>
  <c r="BQ94" i="1"/>
  <c r="BR94" i="1" s="1"/>
  <c r="BQ114" i="1"/>
  <c r="BR114" i="1" s="1"/>
  <c r="BO114" i="1"/>
  <c r="BP114" i="1" s="1"/>
  <c r="BO137" i="1"/>
  <c r="BQ137" i="1"/>
  <c r="BR137" i="1" s="1"/>
  <c r="CG68" i="1"/>
  <c r="CR68" i="1"/>
  <c r="CG69" i="1"/>
  <c r="CR69" i="1"/>
  <c r="BQ108" i="1"/>
  <c r="BR108" i="1" s="1"/>
  <c r="BO108" i="1"/>
  <c r="BP108" i="1" s="1"/>
  <c r="BO140" i="1"/>
  <c r="BQ44" i="1"/>
  <c r="BR44" i="1" s="1"/>
  <c r="BO44" i="1"/>
  <c r="BP44" i="1" s="1"/>
  <c r="BQ48" i="1"/>
  <c r="BR48" i="1" s="1"/>
  <c r="BO48" i="1"/>
  <c r="BP48" i="1" s="1"/>
  <c r="CE291" i="1"/>
  <c r="CE254" i="1"/>
  <c r="BQ29" i="1"/>
  <c r="BR29" i="1" s="1"/>
  <c r="BO29" i="1"/>
  <c r="BP29" i="1" s="1"/>
  <c r="CR45" i="1"/>
  <c r="CG45" i="1"/>
  <c r="CE159" i="1"/>
  <c r="BQ110" i="1"/>
  <c r="BR110" i="1" s="1"/>
  <c r="BO110" i="1"/>
  <c r="BP110" i="1" s="1"/>
  <c r="CG81" i="1"/>
  <c r="CR81" i="1"/>
  <c r="BO134" i="1"/>
  <c r="CG80" i="1"/>
  <c r="CR80" i="1"/>
  <c r="CG116" i="1"/>
  <c r="CR116" i="1"/>
  <c r="BQ158" i="1"/>
  <c r="BR158" i="1" s="1"/>
  <c r="BO158" i="1"/>
  <c r="BP158" i="1" s="1"/>
  <c r="BO20" i="1"/>
  <c r="BP20" i="1" s="1"/>
  <c r="BQ20" i="1"/>
  <c r="BR20" i="1" s="1"/>
  <c r="CE107" i="1"/>
  <c r="BQ67" i="1"/>
  <c r="BR67" i="1" s="1"/>
  <c r="BO67" i="1"/>
  <c r="BP67" i="1" s="1"/>
  <c r="BQ142" i="1"/>
  <c r="BR142" i="1" s="1"/>
  <c r="BO142" i="1"/>
  <c r="BP142" i="1" s="1"/>
  <c r="BO112" i="1"/>
  <c r="BP112" i="1" s="1"/>
  <c r="BQ112" i="1"/>
  <c r="BR112" i="1" s="1"/>
  <c r="CR28" i="1"/>
  <c r="CG28" i="1"/>
  <c r="CR133" i="1"/>
  <c r="CG133" i="1"/>
  <c r="CG50" i="1"/>
  <c r="CR50" i="1"/>
  <c r="CE122" i="1"/>
  <c r="CE74" i="1"/>
  <c r="BO125" i="1"/>
  <c r="BP125" i="1" s="1"/>
  <c r="BQ125" i="1"/>
  <c r="BR125" i="1" s="1"/>
  <c r="BO159" i="1"/>
  <c r="BO124" i="1"/>
  <c r="BQ134" i="1"/>
  <c r="BR134" i="1" s="1"/>
  <c r="CG60" i="1"/>
  <c r="CR60" i="1"/>
  <c r="BO57" i="1"/>
  <c r="BQ57" i="1"/>
  <c r="BR57" i="1" s="1"/>
  <c r="BO92" i="1"/>
  <c r="BP92" i="1" s="1"/>
  <c r="BQ92" i="1"/>
  <c r="BR92" i="1" s="1"/>
  <c r="BO154" i="1"/>
  <c r="BP154" i="1" s="1"/>
  <c r="BQ154" i="1"/>
  <c r="BR154" i="1" s="1"/>
  <c r="CR62" i="1"/>
  <c r="CG62" i="1"/>
  <c r="BO119" i="1"/>
  <c r="BP119" i="1" s="1"/>
  <c r="BQ119" i="1"/>
  <c r="BR119" i="1" s="1"/>
  <c r="CR146" i="1"/>
  <c r="CG146" i="1"/>
  <c r="BO102" i="1"/>
  <c r="BP102" i="1" s="1"/>
  <c r="BQ102" i="1"/>
  <c r="BR102" i="1" s="1"/>
  <c r="CR26" i="1"/>
  <c r="CG26" i="1"/>
  <c r="CR17" i="1"/>
  <c r="CG17" i="1"/>
  <c r="BQ55" i="1"/>
  <c r="BR55" i="1" s="1"/>
  <c r="BO55" i="1"/>
  <c r="BP55" i="1" s="1"/>
  <c r="BQ76" i="1"/>
  <c r="BR76" i="1" s="1"/>
  <c r="BO76" i="1"/>
  <c r="BP76" i="1" s="1"/>
  <c r="CR98" i="1"/>
  <c r="CG98" i="1"/>
  <c r="BO106" i="1"/>
  <c r="BP106" i="1" s="1"/>
  <c r="BQ106" i="1"/>
  <c r="BR106" i="1" s="1"/>
  <c r="BQ28" i="1"/>
  <c r="BR28" i="1" s="1"/>
  <c r="BO28" i="1"/>
  <c r="BP28" i="1" s="1"/>
  <c r="BO39" i="1"/>
  <c r="BQ39" i="1"/>
  <c r="BR39" i="1" s="1"/>
  <c r="CE90" i="1"/>
  <c r="CR104" i="1"/>
  <c r="CG104" i="1"/>
  <c r="BQ123" i="1"/>
  <c r="BR123" i="1" s="1"/>
  <c r="BO123" i="1"/>
  <c r="BP123" i="1" s="1"/>
  <c r="BO23" i="1"/>
  <c r="BP23" i="1" s="1"/>
  <c r="BQ23" i="1"/>
  <c r="BR23" i="1" s="1"/>
  <c r="CG21" i="1"/>
  <c r="CR21" i="1"/>
  <c r="CG154" i="1"/>
  <c r="CR154" i="1"/>
  <c r="CG99" i="1"/>
  <c r="CR99" i="1"/>
  <c r="BQ17" i="1"/>
  <c r="BR17" i="1" s="1"/>
  <c r="BO17" i="1"/>
  <c r="BP17" i="1" s="1"/>
  <c r="CR141" i="1"/>
  <c r="CG141" i="1"/>
  <c r="BQ86" i="1"/>
  <c r="BR86" i="1" s="1"/>
  <c r="BO86" i="1"/>
  <c r="BP86" i="1" s="1"/>
  <c r="CE300" i="1"/>
  <c r="BO50" i="1"/>
  <c r="BP50" i="1" s="1"/>
  <c r="BQ50" i="1"/>
  <c r="BR50" i="1" s="1"/>
  <c r="BQ52" i="1"/>
  <c r="BR52" i="1" s="1"/>
  <c r="BO52" i="1"/>
  <c r="BP52" i="1" s="1"/>
  <c r="CE124" i="1"/>
  <c r="BO40" i="1"/>
  <c r="BQ40" i="1"/>
  <c r="BR40" i="1" s="1"/>
  <c r="BQ53" i="1"/>
  <c r="BR53" i="1" s="1"/>
  <c r="BO53" i="1"/>
  <c r="BP53" i="1" s="1"/>
  <c r="CG123" i="1"/>
  <c r="CR123" i="1"/>
  <c r="BO21" i="1"/>
  <c r="BP21" i="1" s="1"/>
  <c r="BQ21" i="1"/>
  <c r="BR21" i="1" s="1"/>
  <c r="CR92" i="1"/>
  <c r="CG92" i="1"/>
  <c r="CR118" i="1"/>
  <c r="CG118" i="1"/>
  <c r="BO54" i="1"/>
  <c r="BQ54" i="1"/>
  <c r="BR54" i="1" s="1"/>
  <c r="BQ101" i="1"/>
  <c r="BR101" i="1" s="1"/>
  <c r="BO101" i="1"/>
  <c r="BP101" i="1" s="1"/>
  <c r="BO38" i="1"/>
  <c r="BP38" i="1" s="1"/>
  <c r="BQ38" i="1"/>
  <c r="BR38" i="1" s="1"/>
  <c r="BQ135" i="1"/>
  <c r="BR135" i="1" s="1"/>
  <c r="BO135" i="1"/>
  <c r="BP135" i="1" s="1"/>
  <c r="CG49" i="1"/>
  <c r="CR49" i="1"/>
  <c r="BO77" i="1"/>
  <c r="BP77" i="1" s="1"/>
  <c r="BQ77" i="1"/>
  <c r="BR77" i="1" s="1"/>
  <c r="BQ132" i="1"/>
  <c r="BR132" i="1" s="1"/>
  <c r="BO132" i="1"/>
  <c r="BP132" i="1" s="1"/>
  <c r="BO75" i="1"/>
  <c r="BP75" i="1" s="1"/>
  <c r="BQ75" i="1"/>
  <c r="BR75" i="1" s="1"/>
  <c r="BQ130" i="1"/>
  <c r="BR130" i="1" s="1"/>
  <c r="BO130" i="1"/>
  <c r="BP130" i="1" s="1"/>
  <c r="CG51" i="1"/>
  <c r="CR51" i="1"/>
  <c r="BQ104" i="1"/>
  <c r="BR104" i="1" s="1"/>
  <c r="BO104" i="1"/>
  <c r="BP104" i="1" s="1"/>
  <c r="CR87" i="1"/>
  <c r="CG87" i="1"/>
  <c r="CE149" i="1"/>
  <c r="CR136" i="1"/>
  <c r="CG136" i="1"/>
  <c r="CG46" i="1"/>
  <c r="CR46" i="1"/>
  <c r="CR23" i="1"/>
  <c r="CG23" i="1"/>
  <c r="BO78" i="1"/>
  <c r="BP78" i="1" s="1"/>
  <c r="BQ78" i="1"/>
  <c r="BR78" i="1" s="1"/>
  <c r="BO153" i="1"/>
  <c r="BQ153" i="1"/>
  <c r="BR153" i="1" s="1"/>
  <c r="CG95" i="1"/>
  <c r="CR95" i="1"/>
  <c r="BQ49" i="1"/>
  <c r="BR49" i="1" s="1"/>
  <c r="BO49" i="1"/>
  <c r="BP49" i="1" s="1"/>
  <c r="BQ26" i="1"/>
  <c r="BR26" i="1" s="1"/>
  <c r="BO26" i="1"/>
  <c r="BP26" i="1" s="1"/>
  <c r="BO145" i="1"/>
  <c r="BQ145" i="1"/>
  <c r="BR145" i="1" s="1"/>
  <c r="BO43" i="1"/>
  <c r="BQ43" i="1"/>
  <c r="BR43" i="1" s="1"/>
  <c r="CR132" i="1"/>
  <c r="CG132" i="1"/>
  <c r="BO41" i="1"/>
  <c r="BP41" i="1" s="1"/>
  <c r="BQ41" i="1"/>
  <c r="BR41" i="1" s="1"/>
  <c r="CR130" i="1"/>
  <c r="CG130" i="1"/>
  <c r="BO74" i="1"/>
  <c r="BQ74" i="1"/>
  <c r="BR74" i="1" s="1"/>
  <c r="BQ127" i="1"/>
  <c r="BR127" i="1" s="1"/>
  <c r="BO127" i="1"/>
  <c r="BP127" i="1" s="1"/>
  <c r="CG120" i="1"/>
  <c r="CR120" i="1"/>
  <c r="CG70" i="1"/>
  <c r="CR70" i="1"/>
  <c r="CG53" i="1"/>
  <c r="CR53" i="1"/>
  <c r="BO61" i="1"/>
  <c r="CE18" i="1"/>
  <c r="CE153" i="1"/>
  <c r="BO58" i="1"/>
  <c r="BP58" i="1" s="1"/>
  <c r="BQ58" i="1"/>
  <c r="BR58" i="1" s="1"/>
  <c r="CR115" i="1"/>
  <c r="CG115" i="1"/>
  <c r="BQ63" i="1"/>
  <c r="BR63" i="1" s="1"/>
  <c r="BO59" i="1"/>
  <c r="BP59" i="1" s="1"/>
  <c r="BQ59" i="1"/>
  <c r="BR59" i="1" s="1"/>
  <c r="BO90" i="1"/>
  <c r="CR47" i="1"/>
  <c r="CG47" i="1"/>
  <c r="CG35" i="1"/>
  <c r="CR35" i="1"/>
  <c r="BQ81" i="1"/>
  <c r="BR81" i="1" s="1"/>
  <c r="BO81" i="1"/>
  <c r="BP81" i="1" s="1"/>
  <c r="BO121" i="1"/>
  <c r="BP121" i="1" s="1"/>
  <c r="BQ121" i="1"/>
  <c r="BR121" i="1" s="1"/>
  <c r="BO18" i="1"/>
  <c r="BQ18" i="1"/>
  <c r="BR18" i="1" s="1"/>
  <c r="BQ42" i="1"/>
  <c r="BR42" i="1" s="1"/>
  <c r="BO42" i="1"/>
  <c r="BP42" i="1" s="1"/>
  <c r="BO62" i="1"/>
  <c r="BP62" i="1" s="1"/>
  <c r="BQ62" i="1"/>
  <c r="BR62" i="1" s="1"/>
  <c r="BO66" i="1"/>
  <c r="BP66" i="1" s="1"/>
  <c r="BQ66" i="1"/>
  <c r="BR66" i="1" s="1"/>
  <c r="BQ100" i="1"/>
  <c r="BR100" i="1" s="1"/>
  <c r="BO100" i="1"/>
  <c r="BQ152" i="1"/>
  <c r="BR152" i="1" s="1"/>
  <c r="BO152" i="1"/>
  <c r="BP152" i="1" s="1"/>
  <c r="BQ31" i="1"/>
  <c r="BR31" i="1" s="1"/>
  <c r="BO31" i="1"/>
  <c r="BO93" i="1"/>
  <c r="BP93" i="1" s="1"/>
  <c r="BQ93" i="1"/>
  <c r="BR93" i="1" s="1"/>
  <c r="CG94" i="1"/>
  <c r="CR94" i="1"/>
  <c r="CE82" i="1"/>
  <c r="BO147" i="1"/>
  <c r="BQ147" i="1"/>
  <c r="BR147" i="1" s="1"/>
  <c r="BQ69" i="1"/>
  <c r="BR69" i="1" s="1"/>
  <c r="BO69" i="1"/>
  <c r="BP69" i="1" s="1"/>
  <c r="CG142" i="1"/>
  <c r="CR142" i="1"/>
  <c r="CE355" i="1"/>
  <c r="BQ91" i="1"/>
  <c r="BR91" i="1" s="1"/>
  <c r="BO91" i="1"/>
  <c r="BP91" i="1" s="1"/>
  <c r="BQ126" i="1"/>
  <c r="BR126" i="1" s="1"/>
  <c r="BO126" i="1"/>
  <c r="BP126" i="1" s="1"/>
  <c r="BQ122" i="1"/>
  <c r="BR122" i="1" s="1"/>
  <c r="CG24" i="1"/>
  <c r="CR24" i="1"/>
  <c r="BO37" i="1"/>
  <c r="BP37" i="1" s="1"/>
  <c r="BQ37" i="1"/>
  <c r="BR37" i="1" s="1"/>
  <c r="BO113" i="1"/>
  <c r="BP113" i="1" s="1"/>
  <c r="BQ113" i="1"/>
  <c r="BR113" i="1" s="1"/>
  <c r="BO87" i="1"/>
  <c r="BP87" i="1" s="1"/>
  <c r="BQ87" i="1"/>
  <c r="BR87" i="1" s="1"/>
  <c r="BQ159" i="1"/>
  <c r="BR159" i="1" s="1"/>
  <c r="BO149" i="1"/>
  <c r="BQ149" i="1"/>
  <c r="BR149" i="1" s="1"/>
  <c r="BQ79" i="1"/>
  <c r="BR79" i="1" s="1"/>
  <c r="BO79" i="1"/>
  <c r="BP79" i="1" s="1"/>
  <c r="CR96" i="1"/>
  <c r="CG96" i="1"/>
  <c r="BO80" i="1"/>
  <c r="BP80" i="1" s="1"/>
  <c r="BQ80" i="1"/>
  <c r="BR80" i="1" s="1"/>
  <c r="CG32" i="1"/>
  <c r="CR32" i="1"/>
  <c r="BO105" i="1"/>
  <c r="BO115" i="1"/>
  <c r="BP115" i="1" s="1"/>
  <c r="BQ115" i="1"/>
  <c r="BR115" i="1" s="1"/>
  <c r="CG135" i="1"/>
  <c r="CR135" i="1"/>
  <c r="CG108" i="1"/>
  <c r="CR108" i="1"/>
  <c r="BQ71" i="1"/>
  <c r="BR71" i="1" s="1"/>
  <c r="BO71" i="1"/>
  <c r="BQ90" i="1"/>
  <c r="BR90" i="1" s="1"/>
  <c r="BQ24" i="1"/>
  <c r="BR24" i="1" s="1"/>
  <c r="BO24" i="1"/>
  <c r="BP24" i="1" s="1"/>
  <c r="BQ51" i="1"/>
  <c r="BR51" i="1" s="1"/>
  <c r="BO51" i="1"/>
  <c r="BP51" i="1" s="1"/>
  <c r="BO88" i="1"/>
  <c r="BP88" i="1" s="1"/>
  <c r="BQ88" i="1"/>
  <c r="BR88" i="1" s="1"/>
  <c r="BQ124" i="1"/>
  <c r="BR124" i="1" s="1"/>
  <c r="BQ46" i="1"/>
  <c r="BR46" i="1" s="1"/>
  <c r="BO46" i="1"/>
  <c r="BP46" i="1" s="1"/>
  <c r="BQ96" i="1"/>
  <c r="BR96" i="1" s="1"/>
  <c r="BO96" i="1"/>
  <c r="BP96" i="1" s="1"/>
  <c r="CG78" i="1"/>
  <c r="CR78" i="1"/>
  <c r="BO32" i="1"/>
  <c r="BP32" i="1" s="1"/>
  <c r="BQ32" i="1"/>
  <c r="BR32" i="1" s="1"/>
  <c r="BQ95" i="1"/>
  <c r="BR95" i="1" s="1"/>
  <c r="BO95" i="1"/>
  <c r="BP95" i="1" s="1"/>
  <c r="BQ146" i="1"/>
  <c r="BR146" i="1" s="1"/>
  <c r="BO146" i="1"/>
  <c r="BP146" i="1" s="1"/>
  <c r="CE63" i="1"/>
  <c r="BQ140" i="1"/>
  <c r="BR140" i="1" s="1"/>
  <c r="BQ97" i="1"/>
  <c r="BR97" i="1" s="1"/>
  <c r="BO97" i="1"/>
  <c r="BP97" i="1" s="1"/>
  <c r="CG55" i="1"/>
  <c r="CR55" i="1"/>
  <c r="BQ138" i="1"/>
  <c r="BR138" i="1" s="1"/>
  <c r="BO138" i="1"/>
  <c r="BP138" i="1" s="1"/>
  <c r="CG112" i="1"/>
  <c r="CR112" i="1"/>
  <c r="BO133" i="1"/>
  <c r="BP133" i="1" s="1"/>
  <c r="BQ133" i="1"/>
  <c r="BR133" i="1" s="1"/>
  <c r="AV3489" i="31"/>
  <c r="AU3489" i="31" s="1"/>
  <c r="AT3489" i="31" s="1"/>
  <c r="T3490" i="31" a="1"/>
  <c r="T3490" i="31" s="1"/>
  <c r="U3490" i="31" s="1"/>
  <c r="B3491" i="31"/>
  <c r="AS3490" i="31"/>
  <c r="AM3490" i="31"/>
  <c r="AL3490" i="31"/>
  <c r="J3489" i="31"/>
  <c r="D3489" i="31"/>
  <c r="CE200" i="1"/>
  <c r="CE294" i="1"/>
  <c r="CE310" i="1"/>
  <c r="CE265" i="1"/>
  <c r="CE212" i="1"/>
  <c r="CE336" i="1"/>
  <c r="CE210" i="1"/>
  <c r="CE167" i="1"/>
  <c r="CE187" i="1"/>
  <c r="CE286" i="1"/>
  <c r="CE352" i="1"/>
  <c r="CE338" i="1"/>
  <c r="CE273" i="1"/>
  <c r="CE202" i="1"/>
  <c r="CE184" i="1"/>
  <c r="CE260" i="1"/>
  <c r="CE163" i="1"/>
  <c r="CE196" i="1"/>
  <c r="CE190" i="1"/>
  <c r="CE176" i="1"/>
  <c r="CE303" i="1"/>
  <c r="CE332" i="1"/>
  <c r="CE223" i="1"/>
  <c r="CE251" i="1"/>
  <c r="CE180" i="1"/>
  <c r="CE277" i="1"/>
  <c r="CE236" i="1"/>
  <c r="CE321" i="1"/>
  <c r="CE228" i="1"/>
  <c r="CE233" i="1"/>
  <c r="CE348" i="1"/>
  <c r="CE248" i="1"/>
  <c r="CE340" i="1"/>
  <c r="CE288" i="1"/>
  <c r="CE290" i="1"/>
  <c r="CE278" i="1"/>
  <c r="CE168" i="1"/>
  <c r="CE268" i="1"/>
  <c r="CE264" i="1"/>
  <c r="CE162" i="1"/>
  <c r="CE204" i="1"/>
  <c r="CE185" i="1"/>
  <c r="CE237" i="1"/>
  <c r="CE178" i="1"/>
  <c r="CE220" i="1"/>
  <c r="CE199" i="1"/>
  <c r="CE226" i="1"/>
  <c r="CE328" i="1"/>
  <c r="CE160" i="1"/>
  <c r="CE203" i="1"/>
  <c r="CE235" i="1"/>
  <c r="CE350" i="1"/>
  <c r="CE339" i="1"/>
  <c r="CE313" i="1"/>
  <c r="CE282" i="1"/>
  <c r="CE222" i="1"/>
  <c r="CE170" i="1"/>
  <c r="CE194" i="1"/>
  <c r="CE280" i="1"/>
  <c r="CE246" i="1"/>
  <c r="CE191" i="1"/>
  <c r="CE305" i="1"/>
  <c r="CE323" i="1"/>
  <c r="CE259" i="1"/>
  <c r="CE227" i="1"/>
  <c r="BQ240" i="1"/>
  <c r="BR240" i="1" s="1"/>
  <c r="BO240" i="1"/>
  <c r="BP240" i="1" s="1"/>
  <c r="BQ269" i="1"/>
  <c r="BR269" i="1" s="1"/>
  <c r="BO269" i="1"/>
  <c r="BQ180" i="1"/>
  <c r="BR180" i="1" s="1"/>
  <c r="BO180" i="1"/>
  <c r="CG271" i="1"/>
  <c r="CR271" i="1"/>
  <c r="CG262" i="1"/>
  <c r="CR262" i="1"/>
  <c r="BQ162" i="1"/>
  <c r="BR162" i="1" s="1"/>
  <c r="BO162" i="1"/>
  <c r="BQ189" i="1"/>
  <c r="BR189" i="1" s="1"/>
  <c r="BO189" i="1"/>
  <c r="CR198" i="1"/>
  <c r="CG198" i="1"/>
  <c r="BO239" i="1"/>
  <c r="BQ239" i="1"/>
  <c r="BR239" i="1" s="1"/>
  <c r="BQ246" i="1"/>
  <c r="BR246" i="1" s="1"/>
  <c r="BO246" i="1"/>
  <c r="CE166" i="1"/>
  <c r="BQ185" i="1"/>
  <c r="BR185" i="1" s="1"/>
  <c r="BO185" i="1"/>
  <c r="BO268" i="1"/>
  <c r="BQ268" i="1"/>
  <c r="BR268" i="1" s="1"/>
  <c r="CG217" i="1"/>
  <c r="CR217" i="1"/>
  <c r="CG255" i="1"/>
  <c r="CR255" i="1"/>
  <c r="CE177" i="1"/>
  <c r="BO181" i="1"/>
  <c r="BP181" i="1" s="1"/>
  <c r="BQ181" i="1"/>
  <c r="BR181" i="1" s="1"/>
  <c r="BQ219" i="1"/>
  <c r="BR219" i="1" s="1"/>
  <c r="BO219" i="1"/>
  <c r="BP219" i="1" s="1"/>
  <c r="BO227" i="1"/>
  <c r="BQ227" i="1"/>
  <c r="BR227" i="1" s="1"/>
  <c r="BQ174" i="1"/>
  <c r="BR174" i="1" s="1"/>
  <c r="BO174" i="1"/>
  <c r="BP174" i="1" s="1"/>
  <c r="CR174" i="1"/>
  <c r="CG174" i="1"/>
  <c r="CR186" i="1"/>
  <c r="CG186" i="1"/>
  <c r="BQ250" i="1"/>
  <c r="BR250" i="1" s="1"/>
  <c r="BO250" i="1"/>
  <c r="BP250" i="1" s="1"/>
  <c r="BO248" i="1"/>
  <c r="BQ248" i="1"/>
  <c r="BR248" i="1" s="1"/>
  <c r="BO206" i="1"/>
  <c r="BP206" i="1" s="1"/>
  <c r="BQ206" i="1"/>
  <c r="BR206" i="1" s="1"/>
  <c r="BQ188" i="1"/>
  <c r="BR188" i="1" s="1"/>
  <c r="BO188" i="1"/>
  <c r="BP188" i="1" s="1"/>
  <c r="CG188" i="1"/>
  <c r="CR188" i="1"/>
  <c r="CG215" i="1"/>
  <c r="CR215" i="1"/>
  <c r="CE164" i="1"/>
  <c r="BQ225" i="1"/>
  <c r="BR225" i="1" s="1"/>
  <c r="BO225" i="1"/>
  <c r="BP225" i="1" s="1"/>
  <c r="BQ237" i="1"/>
  <c r="BR237" i="1" s="1"/>
  <c r="BO237" i="1"/>
  <c r="CR272" i="1"/>
  <c r="CG272" i="1"/>
  <c r="BO177" i="1"/>
  <c r="BQ177" i="1"/>
  <c r="BR177" i="1" s="1"/>
  <c r="BO172" i="1"/>
  <c r="BQ172" i="1"/>
  <c r="BR172" i="1" s="1"/>
  <c r="BO224" i="1"/>
  <c r="BP224" i="1" s="1"/>
  <c r="BQ224" i="1"/>
  <c r="BR224" i="1" s="1"/>
  <c r="BO253" i="1"/>
  <c r="BP253" i="1" s="1"/>
  <c r="BQ253" i="1"/>
  <c r="BR253" i="1" s="1"/>
  <c r="CR216" i="1"/>
  <c r="CG216" i="1"/>
  <c r="BO175" i="1"/>
  <c r="BQ175" i="1"/>
  <c r="BR175" i="1" s="1"/>
  <c r="CG171" i="1"/>
  <c r="CR171" i="1"/>
  <c r="BQ171" i="1"/>
  <c r="BR171" i="1" s="1"/>
  <c r="BO171" i="1"/>
  <c r="BP171" i="1" s="1"/>
  <c r="BQ203" i="1"/>
  <c r="BR203" i="1" s="1"/>
  <c r="BO203" i="1"/>
  <c r="CG214" i="1"/>
  <c r="CR214" i="1"/>
  <c r="CR243" i="1"/>
  <c r="CG243" i="1"/>
  <c r="BQ220" i="1"/>
  <c r="BR220" i="1" s="1"/>
  <c r="BO220" i="1"/>
  <c r="CG182" i="1"/>
  <c r="CR182" i="1"/>
  <c r="BO233" i="1"/>
  <c r="BQ233" i="1"/>
  <c r="BR233" i="1" s="1"/>
  <c r="BQ179" i="1"/>
  <c r="BR179" i="1" s="1"/>
  <c r="BO179" i="1"/>
  <c r="BP179" i="1" s="1"/>
  <c r="CE197" i="1"/>
  <c r="BO228" i="1"/>
  <c r="BQ228" i="1"/>
  <c r="BR228" i="1" s="1"/>
  <c r="CG229" i="1"/>
  <c r="CR229" i="1"/>
  <c r="BO194" i="1"/>
  <c r="BQ194" i="1"/>
  <c r="BR194" i="1" s="1"/>
  <c r="CE337" i="1"/>
  <c r="CE276" i="1"/>
  <c r="CE292" i="1"/>
  <c r="CR240" i="1"/>
  <c r="CG240" i="1"/>
  <c r="BO204" i="1"/>
  <c r="BQ204" i="1"/>
  <c r="BR204" i="1" s="1"/>
  <c r="BO205" i="1"/>
  <c r="BP205" i="1" s="1"/>
  <c r="BQ205" i="1"/>
  <c r="BR205" i="1" s="1"/>
  <c r="BO170" i="1"/>
  <c r="BQ170" i="1"/>
  <c r="BR170" i="1" s="1"/>
  <c r="BO215" i="1"/>
  <c r="BP215" i="1" s="1"/>
  <c r="BQ215" i="1"/>
  <c r="BR215" i="1" s="1"/>
  <c r="CR238" i="1"/>
  <c r="CG238" i="1"/>
  <c r="BO258" i="1"/>
  <c r="BP258" i="1" s="1"/>
  <c r="BQ258" i="1"/>
  <c r="BR258" i="1" s="1"/>
  <c r="CR258" i="1"/>
  <c r="CG258" i="1"/>
  <c r="BO265" i="1"/>
  <c r="BQ265" i="1"/>
  <c r="BR265" i="1" s="1"/>
  <c r="BQ192" i="1"/>
  <c r="BR192" i="1" s="1"/>
  <c r="BO192" i="1"/>
  <c r="BO201" i="1"/>
  <c r="BQ201" i="1"/>
  <c r="BR201" i="1" s="1"/>
  <c r="CR206" i="1"/>
  <c r="CG206" i="1"/>
  <c r="CR225" i="1"/>
  <c r="CG225" i="1"/>
  <c r="BO231" i="1"/>
  <c r="BP231" i="1" s="1"/>
  <c r="BQ231" i="1"/>
  <c r="BR231" i="1" s="1"/>
  <c r="BQ207" i="1"/>
  <c r="BR207" i="1" s="1"/>
  <c r="BO207" i="1"/>
  <c r="CE244" i="1"/>
  <c r="BQ255" i="1"/>
  <c r="BR255" i="1" s="1"/>
  <c r="BO255" i="1"/>
  <c r="BP255" i="1" s="1"/>
  <c r="CR193" i="1"/>
  <c r="CG193" i="1"/>
  <c r="CR213" i="1"/>
  <c r="CG213" i="1"/>
  <c r="BO254" i="1"/>
  <c r="BQ254" i="1"/>
  <c r="BR254" i="1" s="1"/>
  <c r="BQ216" i="1"/>
  <c r="BR216" i="1" s="1"/>
  <c r="BO216" i="1"/>
  <c r="BP216" i="1" s="1"/>
  <c r="BO218" i="1"/>
  <c r="BQ218" i="1"/>
  <c r="BR218" i="1" s="1"/>
  <c r="BO235" i="1"/>
  <c r="BQ235" i="1"/>
  <c r="BR235" i="1" s="1"/>
  <c r="BO271" i="1"/>
  <c r="BP271" i="1" s="1"/>
  <c r="BQ271" i="1"/>
  <c r="BR271" i="1" s="1"/>
  <c r="BQ210" i="1"/>
  <c r="BR210" i="1" s="1"/>
  <c r="BO210" i="1"/>
  <c r="CG231" i="1"/>
  <c r="CR231" i="1"/>
  <c r="BQ244" i="1"/>
  <c r="BR244" i="1" s="1"/>
  <c r="BO244" i="1"/>
  <c r="CE241" i="1"/>
  <c r="BO270" i="1"/>
  <c r="BP270" i="1" s="1"/>
  <c r="BQ270" i="1"/>
  <c r="BR270" i="1" s="1"/>
  <c r="BQ236" i="1"/>
  <c r="BR236" i="1" s="1"/>
  <c r="BO236" i="1"/>
  <c r="BQ187" i="1"/>
  <c r="BR187" i="1" s="1"/>
  <c r="BO187" i="1"/>
  <c r="CE218" i="1"/>
  <c r="BQ256" i="1"/>
  <c r="BR256" i="1" s="1"/>
  <c r="BO256" i="1"/>
  <c r="CE183" i="1"/>
  <c r="BO198" i="1"/>
  <c r="BP198" i="1" s="1"/>
  <c r="BQ198" i="1"/>
  <c r="BR198" i="1" s="1"/>
  <c r="CE201" i="1"/>
  <c r="BQ226" i="1"/>
  <c r="BR226" i="1" s="1"/>
  <c r="BO226" i="1"/>
  <c r="CE330" i="1"/>
  <c r="CR208" i="1"/>
  <c r="CG208" i="1"/>
  <c r="BQ182" i="1"/>
  <c r="BR182" i="1" s="1"/>
  <c r="BO182" i="1"/>
  <c r="BP182" i="1" s="1"/>
  <c r="CG205" i="1"/>
  <c r="CR205" i="1"/>
  <c r="CE312" i="1"/>
  <c r="BQ197" i="1"/>
  <c r="BR197" i="1" s="1"/>
  <c r="BO197" i="1"/>
  <c r="BQ211" i="1"/>
  <c r="BR211" i="1" s="1"/>
  <c r="BO211" i="1"/>
  <c r="BQ249" i="1"/>
  <c r="BR249" i="1" s="1"/>
  <c r="BO249" i="1"/>
  <c r="BP249" i="1" s="1"/>
  <c r="BQ260" i="1"/>
  <c r="BR260" i="1" s="1"/>
  <c r="BO260" i="1"/>
  <c r="CE266" i="1"/>
  <c r="BQ169" i="1"/>
  <c r="BR169" i="1" s="1"/>
  <c r="BO169" i="1"/>
  <c r="BP169" i="1" s="1"/>
  <c r="CR261" i="1"/>
  <c r="CG261" i="1"/>
  <c r="BO257" i="1"/>
  <c r="BQ257" i="1"/>
  <c r="BR257" i="1" s="1"/>
  <c r="BO160" i="1"/>
  <c r="BQ160" i="1"/>
  <c r="BR160" i="1" s="1"/>
  <c r="BQ217" i="1"/>
  <c r="BR217" i="1" s="1"/>
  <c r="BO217" i="1"/>
  <c r="BP217" i="1" s="1"/>
  <c r="BQ212" i="1"/>
  <c r="BR212" i="1" s="1"/>
  <c r="BO212" i="1"/>
  <c r="CR181" i="1"/>
  <c r="CG181" i="1"/>
  <c r="CG219" i="1"/>
  <c r="CR219" i="1"/>
  <c r="CR232" i="1"/>
  <c r="CG232" i="1"/>
  <c r="BQ241" i="1"/>
  <c r="BR241" i="1" s="1"/>
  <c r="BO241" i="1"/>
  <c r="CR263" i="1"/>
  <c r="CG263" i="1"/>
  <c r="CG252" i="1"/>
  <c r="CR252" i="1"/>
  <c r="BO195" i="1"/>
  <c r="BP195" i="1" s="1"/>
  <c r="BQ195" i="1"/>
  <c r="BR195" i="1" s="1"/>
  <c r="BO243" i="1"/>
  <c r="BP243" i="1" s="1"/>
  <c r="BQ243" i="1"/>
  <c r="BR243" i="1" s="1"/>
  <c r="BQ173" i="1"/>
  <c r="BR173" i="1" s="1"/>
  <c r="BO173" i="1"/>
  <c r="BP173" i="1" s="1"/>
  <c r="BQ234" i="1"/>
  <c r="BR234" i="1" s="1"/>
  <c r="BO234" i="1"/>
  <c r="BQ184" i="1"/>
  <c r="BR184" i="1" s="1"/>
  <c r="BO184" i="1"/>
  <c r="BO208" i="1"/>
  <c r="BP208" i="1" s="1"/>
  <c r="BQ208" i="1"/>
  <c r="BR208" i="1" s="1"/>
  <c r="BO261" i="1"/>
  <c r="BP261" i="1" s="1"/>
  <c r="BQ261" i="1"/>
  <c r="BR261" i="1" s="1"/>
  <c r="BO163" i="1"/>
  <c r="BQ163" i="1"/>
  <c r="BR163" i="1" s="1"/>
  <c r="BO252" i="1"/>
  <c r="BP252" i="1" s="1"/>
  <c r="BQ252" i="1"/>
  <c r="BR252" i="1" s="1"/>
  <c r="CE353" i="1"/>
  <c r="CG179" i="1"/>
  <c r="CR179" i="1"/>
  <c r="BO221" i="1"/>
  <c r="BP221" i="1" s="1"/>
  <c r="BQ221" i="1"/>
  <c r="BR221" i="1" s="1"/>
  <c r="BQ266" i="1"/>
  <c r="BR266" i="1" s="1"/>
  <c r="BO266" i="1"/>
  <c r="CG221" i="1"/>
  <c r="CR221" i="1"/>
  <c r="BQ262" i="1"/>
  <c r="BR262" i="1" s="1"/>
  <c r="BO262" i="1"/>
  <c r="BP262" i="1" s="1"/>
  <c r="CE189" i="1"/>
  <c r="BQ259" i="1"/>
  <c r="BR259" i="1" s="1"/>
  <c r="BO259" i="1"/>
  <c r="BQ161" i="1"/>
  <c r="BR161" i="1" s="1"/>
  <c r="BO161" i="1"/>
  <c r="BQ191" i="1"/>
  <c r="BR191" i="1" s="1"/>
  <c r="BO191" i="1"/>
  <c r="BQ199" i="1"/>
  <c r="BR199" i="1" s="1"/>
  <c r="BO199" i="1"/>
  <c r="BQ223" i="1"/>
  <c r="BR223" i="1" s="1"/>
  <c r="BO223" i="1"/>
  <c r="BQ164" i="1"/>
  <c r="BR164" i="1" s="1"/>
  <c r="BO164" i="1"/>
  <c r="CG169" i="1"/>
  <c r="CR169" i="1"/>
  <c r="BO272" i="1"/>
  <c r="BP272" i="1" s="1"/>
  <c r="BQ272" i="1"/>
  <c r="BR272" i="1" s="1"/>
  <c r="BO264" i="1"/>
  <c r="BQ264" i="1"/>
  <c r="BR264" i="1" s="1"/>
  <c r="BO193" i="1"/>
  <c r="BP193" i="1" s="1"/>
  <c r="BQ193" i="1"/>
  <c r="BR193" i="1" s="1"/>
  <c r="BQ202" i="1"/>
  <c r="BR202" i="1" s="1"/>
  <c r="BO202" i="1"/>
  <c r="BQ213" i="1"/>
  <c r="BR213" i="1" s="1"/>
  <c r="BO213" i="1"/>
  <c r="BP213" i="1" s="1"/>
  <c r="BQ232" i="1"/>
  <c r="BR232" i="1" s="1"/>
  <c r="BO232" i="1"/>
  <c r="BP232" i="1" s="1"/>
  <c r="CG253" i="1"/>
  <c r="CR253" i="1"/>
  <c r="BQ263" i="1"/>
  <c r="BR263" i="1" s="1"/>
  <c r="BO263" i="1"/>
  <c r="BP263" i="1" s="1"/>
  <c r="BO165" i="1"/>
  <c r="BQ165" i="1"/>
  <c r="BR165" i="1" s="1"/>
  <c r="BO214" i="1"/>
  <c r="BP214" i="1" s="1"/>
  <c r="BQ214" i="1"/>
  <c r="BR214" i="1" s="1"/>
  <c r="BO167" i="1"/>
  <c r="BQ167" i="1"/>
  <c r="BR167" i="1" s="1"/>
  <c r="CG173" i="1"/>
  <c r="CR173" i="1"/>
  <c r="BQ183" i="1"/>
  <c r="BR183" i="1" s="1"/>
  <c r="BO183" i="1"/>
  <c r="CG250" i="1"/>
  <c r="CR250" i="1"/>
  <c r="BO190" i="1"/>
  <c r="BQ190" i="1"/>
  <c r="BR190" i="1" s="1"/>
  <c r="BQ245" i="1"/>
  <c r="BR245" i="1" s="1"/>
  <c r="BO245" i="1"/>
  <c r="CR247" i="1"/>
  <c r="CG247" i="1"/>
  <c r="BQ209" i="1"/>
  <c r="BR209" i="1" s="1"/>
  <c r="BO209" i="1"/>
  <c r="CE343" i="1"/>
  <c r="BO247" i="1"/>
  <c r="BP247" i="1" s="1"/>
  <c r="BQ247" i="1"/>
  <c r="BR247" i="1" s="1"/>
  <c r="CR267" i="1"/>
  <c r="CG267" i="1"/>
  <c r="BO267" i="1"/>
  <c r="BP267" i="1" s="1"/>
  <c r="BQ267" i="1"/>
  <c r="BR267" i="1" s="1"/>
  <c r="CE242" i="1"/>
  <c r="CR249" i="1"/>
  <c r="CG249" i="1"/>
  <c r="BO168" i="1"/>
  <c r="BQ168" i="1"/>
  <c r="BR168" i="1" s="1"/>
  <c r="BQ222" i="1"/>
  <c r="BR222" i="1" s="1"/>
  <c r="BO222" i="1"/>
  <c r="BQ229" i="1"/>
  <c r="BR229" i="1" s="1"/>
  <c r="BO229" i="1"/>
  <c r="BP229" i="1" s="1"/>
  <c r="BQ166" i="1"/>
  <c r="BR166" i="1" s="1"/>
  <c r="BO166" i="1"/>
  <c r="BO200" i="1"/>
  <c r="BQ200" i="1"/>
  <c r="BR200" i="1" s="1"/>
  <c r="CG230" i="1"/>
  <c r="CR230" i="1"/>
  <c r="BO230" i="1"/>
  <c r="BP230" i="1" s="1"/>
  <c r="BQ230" i="1"/>
  <c r="BR230" i="1" s="1"/>
  <c r="BQ238" i="1"/>
  <c r="BR238" i="1" s="1"/>
  <c r="BO238" i="1"/>
  <c r="BP238" i="1" s="1"/>
  <c r="BQ242" i="1"/>
  <c r="BR242" i="1" s="1"/>
  <c r="BO242" i="1"/>
  <c r="BQ176" i="1"/>
  <c r="BR176" i="1" s="1"/>
  <c r="BO176" i="1"/>
  <c r="CR224" i="1"/>
  <c r="CG224" i="1"/>
  <c r="BQ178" i="1"/>
  <c r="BR178" i="1" s="1"/>
  <c r="BO178" i="1"/>
  <c r="BO196" i="1"/>
  <c r="BQ196" i="1"/>
  <c r="BR196" i="1" s="1"/>
  <c r="CG270" i="1"/>
  <c r="CR270" i="1"/>
  <c r="CR195" i="1"/>
  <c r="CG195" i="1"/>
  <c r="BQ251" i="1"/>
  <c r="BR251" i="1" s="1"/>
  <c r="BO251" i="1"/>
  <c r="BO186" i="1"/>
  <c r="BP186" i="1" s="1"/>
  <c r="BQ186" i="1"/>
  <c r="BR186" i="1" s="1"/>
  <c r="BO275" i="1"/>
  <c r="BP275" i="1" s="1"/>
  <c r="BQ275" i="1"/>
  <c r="BR275" i="1" s="1"/>
  <c r="CG289" i="1"/>
  <c r="CR289" i="1"/>
  <c r="BQ312" i="1"/>
  <c r="BR312" i="1" s="1"/>
  <c r="BO312" i="1"/>
  <c r="BO318" i="1"/>
  <c r="BP318" i="1" s="1"/>
  <c r="BQ318" i="1"/>
  <c r="BR318" i="1" s="1"/>
  <c r="BO331" i="1"/>
  <c r="BP331" i="1" s="1"/>
  <c r="BQ331" i="1"/>
  <c r="BR331" i="1" s="1"/>
  <c r="BQ279" i="1"/>
  <c r="BR279" i="1" s="1"/>
  <c r="BO279" i="1"/>
  <c r="BQ328" i="1"/>
  <c r="BR328" i="1" s="1"/>
  <c r="BO328" i="1"/>
  <c r="BQ310" i="1"/>
  <c r="BR310" i="1" s="1"/>
  <c r="BO310" i="1"/>
  <c r="CE285" i="1"/>
  <c r="BO286" i="1"/>
  <c r="BQ286" i="1"/>
  <c r="BR286" i="1" s="1"/>
  <c r="BO288" i="1"/>
  <c r="BQ288" i="1"/>
  <c r="BR288" i="1" s="1"/>
  <c r="BQ295" i="1"/>
  <c r="BR295" i="1" s="1"/>
  <c r="BO295" i="1"/>
  <c r="BP295" i="1" s="1"/>
  <c r="BO300" i="1"/>
  <c r="BQ300" i="1"/>
  <c r="BR300" i="1" s="1"/>
  <c r="BQ311" i="1"/>
  <c r="BR311" i="1" s="1"/>
  <c r="BO311" i="1"/>
  <c r="CR319" i="1"/>
  <c r="CG319" i="1"/>
  <c r="BQ332" i="1"/>
  <c r="BR332" i="1" s="1"/>
  <c r="BO332" i="1"/>
  <c r="BO314" i="1"/>
  <c r="BP314" i="1" s="1"/>
  <c r="BQ314" i="1"/>
  <c r="BR314" i="1" s="1"/>
  <c r="CE299" i="1"/>
  <c r="CR307" i="1"/>
  <c r="CG307" i="1"/>
  <c r="BQ273" i="1"/>
  <c r="BR273" i="1" s="1"/>
  <c r="BO273" i="1"/>
  <c r="BQ304" i="1"/>
  <c r="BR304" i="1" s="1"/>
  <c r="BO304" i="1"/>
  <c r="BO274" i="1"/>
  <c r="BP274" i="1" s="1"/>
  <c r="BQ274" i="1"/>
  <c r="BR274" i="1" s="1"/>
  <c r="CE345" i="1"/>
  <c r="BQ296" i="1"/>
  <c r="BR296" i="1" s="1"/>
  <c r="BO296" i="1"/>
  <c r="BP296" i="1" s="1"/>
  <c r="BQ317" i="1"/>
  <c r="BR317" i="1" s="1"/>
  <c r="BO317" i="1"/>
  <c r="BO321" i="1"/>
  <c r="BQ321" i="1"/>
  <c r="BR321" i="1" s="1"/>
  <c r="BO287" i="1"/>
  <c r="BQ287" i="1"/>
  <c r="BR287" i="1" s="1"/>
  <c r="CR318" i="1"/>
  <c r="CG318" i="1"/>
  <c r="BQ284" i="1"/>
  <c r="BR284" i="1" s="1"/>
  <c r="BO284" i="1"/>
  <c r="BP284" i="1" s="1"/>
  <c r="BQ316" i="1"/>
  <c r="BR316" i="1" s="1"/>
  <c r="BO316" i="1"/>
  <c r="BQ308" i="1"/>
  <c r="BR308" i="1" s="1"/>
  <c r="BO308" i="1"/>
  <c r="BO281" i="1"/>
  <c r="BP281" i="1" s="1"/>
  <c r="BQ281" i="1"/>
  <c r="BR281" i="1" s="1"/>
  <c r="BO297" i="1"/>
  <c r="BP297" i="1" s="1"/>
  <c r="BQ297" i="1"/>
  <c r="BR297" i="1" s="1"/>
  <c r="CE298" i="1"/>
  <c r="BO313" i="1"/>
  <c r="BQ313" i="1"/>
  <c r="BR313" i="1" s="1"/>
  <c r="BO282" i="1"/>
  <c r="BQ282" i="1"/>
  <c r="BR282" i="1" s="1"/>
  <c r="BQ292" i="1"/>
  <c r="BR292" i="1" s="1"/>
  <c r="BO292" i="1"/>
  <c r="CG295" i="1"/>
  <c r="CR295" i="1"/>
  <c r="CE311" i="1"/>
  <c r="BQ324" i="1"/>
  <c r="BR324" i="1" s="1"/>
  <c r="BO324" i="1"/>
  <c r="BO283" i="1"/>
  <c r="BQ283" i="1"/>
  <c r="BR283" i="1" s="1"/>
  <c r="BO315" i="1"/>
  <c r="BQ315" i="1"/>
  <c r="BR315" i="1" s="1"/>
  <c r="CR296" i="1"/>
  <c r="CG296" i="1"/>
  <c r="BO329" i="1"/>
  <c r="BQ329" i="1"/>
  <c r="BR329" i="1" s="1"/>
  <c r="BQ289" i="1"/>
  <c r="BR289" i="1" s="1"/>
  <c r="BO289" i="1"/>
  <c r="BP289" i="1" s="1"/>
  <c r="BO305" i="1"/>
  <c r="BQ305" i="1"/>
  <c r="BR305" i="1" s="1"/>
  <c r="BO293" i="1"/>
  <c r="BQ293" i="1"/>
  <c r="BR293" i="1" s="1"/>
  <c r="BQ319" i="1"/>
  <c r="BR319" i="1" s="1"/>
  <c r="BO319" i="1"/>
  <c r="BP319" i="1" s="1"/>
  <c r="BQ294" i="1"/>
  <c r="BR294" i="1" s="1"/>
  <c r="BO294" i="1"/>
  <c r="CE309" i="1"/>
  <c r="BQ290" i="1"/>
  <c r="BR290" i="1" s="1"/>
  <c r="BO290" i="1"/>
  <c r="BO302" i="1"/>
  <c r="BQ302" i="1"/>
  <c r="BR302" i="1" s="1"/>
  <c r="BQ291" i="1"/>
  <c r="BR291" i="1" s="1"/>
  <c r="BO291" i="1"/>
  <c r="BO278" i="1"/>
  <c r="BQ278" i="1"/>
  <c r="BR278" i="1" s="1"/>
  <c r="CR297" i="1"/>
  <c r="CG297" i="1"/>
  <c r="BQ327" i="1"/>
  <c r="BR327" i="1" s="1"/>
  <c r="BO327" i="1"/>
  <c r="BP327" i="1" s="1"/>
  <c r="BQ334" i="1"/>
  <c r="BR334" i="1" s="1"/>
  <c r="BO334" i="1"/>
  <c r="BQ285" i="1"/>
  <c r="BR285" i="1" s="1"/>
  <c r="BQ303" i="1"/>
  <c r="BR303" i="1" s="1"/>
  <c r="BO303" i="1"/>
  <c r="BQ280" i="1"/>
  <c r="BR280" i="1" s="1"/>
  <c r="BO280" i="1"/>
  <c r="CE325" i="1"/>
  <c r="CR314" i="1"/>
  <c r="CG314" i="1"/>
  <c r="BO276" i="1"/>
  <c r="BQ276" i="1"/>
  <c r="BR276" i="1" s="1"/>
  <c r="BQ299" i="1"/>
  <c r="BR299" i="1" s="1"/>
  <c r="BO299" i="1"/>
  <c r="CR331" i="1"/>
  <c r="CG331" i="1"/>
  <c r="BQ307" i="1"/>
  <c r="BR307" i="1" s="1"/>
  <c r="BO307" i="1"/>
  <c r="BP307" i="1" s="1"/>
  <c r="CG284" i="1"/>
  <c r="CR284" i="1"/>
  <c r="CE326" i="1"/>
  <c r="CR274" i="1"/>
  <c r="CG274" i="1"/>
  <c r="CR301" i="1"/>
  <c r="CG301" i="1"/>
  <c r="BO285" i="1"/>
  <c r="CR275" i="1"/>
  <c r="CG275" i="1"/>
  <c r="BQ298" i="1"/>
  <c r="BR298" i="1" s="1"/>
  <c r="BO298" i="1"/>
  <c r="CH298" i="1" s="1"/>
  <c r="BQ322" i="1"/>
  <c r="BR322" i="1" s="1"/>
  <c r="BO322" i="1"/>
  <c r="BQ277" i="1"/>
  <c r="BR277" i="1" s="1"/>
  <c r="BO277" i="1"/>
  <c r="BO309" i="1"/>
  <c r="BQ309" i="1"/>
  <c r="BR309" i="1" s="1"/>
  <c r="BO301" i="1"/>
  <c r="BP301" i="1" s="1"/>
  <c r="BQ301" i="1"/>
  <c r="BR301" i="1" s="1"/>
  <c r="BQ306" i="1"/>
  <c r="BR306" i="1" s="1"/>
  <c r="BO306" i="1"/>
  <c r="BQ330" i="1"/>
  <c r="BR330" i="1" s="1"/>
  <c r="BO330" i="1"/>
  <c r="BQ325" i="1"/>
  <c r="BR325" i="1" s="1"/>
  <c r="BO325" i="1"/>
  <c r="BO333" i="1"/>
  <c r="BQ333" i="1"/>
  <c r="BR333" i="1" s="1"/>
  <c r="BQ320" i="1"/>
  <c r="BR320" i="1" s="1"/>
  <c r="BO320" i="1"/>
  <c r="BO326" i="1"/>
  <c r="BQ326" i="1"/>
  <c r="BR326" i="1" s="1"/>
  <c r="CR281" i="1"/>
  <c r="CG281" i="1"/>
  <c r="CR327" i="1"/>
  <c r="CG327" i="1"/>
  <c r="BO323" i="1"/>
  <c r="BQ323" i="1"/>
  <c r="BR323" i="1" s="1"/>
  <c r="CE357" i="1"/>
  <c r="CE356" i="1"/>
  <c r="CE346" i="1"/>
  <c r="CE344" i="1"/>
  <c r="CE335" i="1"/>
  <c r="CE347" i="1"/>
  <c r="BO336" i="1"/>
  <c r="BQ336" i="1"/>
  <c r="BR336" i="1" s="1"/>
  <c r="BO335" i="1"/>
  <c r="BQ335" i="1"/>
  <c r="BR335" i="1" s="1"/>
  <c r="CE349" i="1"/>
  <c r="BO339" i="1"/>
  <c r="BQ339" i="1"/>
  <c r="BR339" i="1" s="1"/>
  <c r="BO345" i="1"/>
  <c r="BQ345" i="1"/>
  <c r="BR345" i="1" s="1"/>
  <c r="BQ342" i="1"/>
  <c r="BR342" i="1" s="1"/>
  <c r="BO342" i="1"/>
  <c r="BQ338" i="1"/>
  <c r="BR338" i="1" s="1"/>
  <c r="BO338" i="1"/>
  <c r="BQ337" i="1"/>
  <c r="BR337" i="1" s="1"/>
  <c r="BO337" i="1"/>
  <c r="BO343" i="1"/>
  <c r="BQ343" i="1"/>
  <c r="BR343" i="1" s="1"/>
  <c r="BO344" i="1"/>
  <c r="BQ344" i="1"/>
  <c r="BR344" i="1" s="1"/>
  <c r="BO341" i="1"/>
  <c r="BQ341" i="1"/>
  <c r="BR341" i="1" s="1"/>
  <c r="BO340" i="1"/>
  <c r="BQ340" i="1"/>
  <c r="BR340" i="1" s="1"/>
  <c r="BO347" i="1"/>
  <c r="BQ347" i="1"/>
  <c r="BR347" i="1" s="1"/>
  <c r="BQ352" i="1"/>
  <c r="BR352" i="1" s="1"/>
  <c r="BO352" i="1"/>
  <c r="BQ349" i="1"/>
  <c r="BR349" i="1" s="1"/>
  <c r="BO349" i="1"/>
  <c r="BO348" i="1"/>
  <c r="BQ348" i="1"/>
  <c r="BR348" i="1" s="1"/>
  <c r="BQ353" i="1"/>
  <c r="BR353" i="1" s="1"/>
  <c r="BO353" i="1"/>
  <c r="BO350" i="1"/>
  <c r="BQ350" i="1"/>
  <c r="BR350" i="1" s="1"/>
  <c r="BO351" i="1"/>
  <c r="BQ351" i="1"/>
  <c r="BR351" i="1" s="1"/>
  <c r="BQ355" i="1"/>
  <c r="BR355" i="1" s="1"/>
  <c r="BO355" i="1"/>
  <c r="BQ357" i="1"/>
  <c r="BR357" i="1" s="1"/>
  <c r="BO357" i="1"/>
  <c r="BO356" i="1"/>
  <c r="BQ356" i="1"/>
  <c r="BR356" i="1" s="1"/>
  <c r="BQ354" i="1"/>
  <c r="BR354" i="1" s="1"/>
  <c r="BO354" i="1"/>
  <c r="BO346" i="1"/>
  <c r="BQ346" i="1"/>
  <c r="BR346"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CH71" i="1" l="1"/>
  <c r="BP71" i="1"/>
  <c r="BP31" i="1"/>
  <c r="CH31" i="1"/>
  <c r="BP61" i="1"/>
  <c r="CH61" i="1"/>
  <c r="CH43" i="1"/>
  <c r="BP43" i="1"/>
  <c r="CH57" i="1"/>
  <c r="BP57" i="1"/>
  <c r="CH151" i="1"/>
  <c r="BP151" i="1"/>
  <c r="CH149" i="1"/>
  <c r="BP149" i="1"/>
  <c r="BP140" i="1"/>
  <c r="CH140" i="1"/>
  <c r="BP100" i="1"/>
  <c r="CH100" i="1"/>
  <c r="BP145" i="1"/>
  <c r="CH145" i="1"/>
  <c r="CH82" i="1"/>
  <c r="BP82" i="1"/>
  <c r="BP90" i="1"/>
  <c r="CH90" i="1"/>
  <c r="CH39" i="1"/>
  <c r="BP39" i="1"/>
  <c r="BP124" i="1"/>
  <c r="CH124" i="1"/>
  <c r="BP111" i="1"/>
  <c r="CH111" i="1"/>
  <c r="CH105" i="1"/>
  <c r="BP105" i="1"/>
  <c r="BP159" i="1"/>
  <c r="CH159" i="1"/>
  <c r="BP147" i="1"/>
  <c r="CH147" i="1"/>
  <c r="BP107" i="1"/>
  <c r="CH107" i="1"/>
  <c r="BP40" i="1"/>
  <c r="CH40" i="1"/>
  <c r="CH137" i="1"/>
  <c r="BP137" i="1"/>
  <c r="BP36" i="1"/>
  <c r="CH36" i="1"/>
  <c r="CH63" i="1"/>
  <c r="BP63" i="1"/>
  <c r="BP74" i="1"/>
  <c r="CH74" i="1"/>
  <c r="BP134" i="1"/>
  <c r="CH134" i="1"/>
  <c r="BP153" i="1"/>
  <c r="CH153" i="1"/>
  <c r="CH56" i="1"/>
  <c r="BP56" i="1"/>
  <c r="BP18" i="1"/>
  <c r="CH18" i="1"/>
  <c r="CH54" i="1"/>
  <c r="BP54" i="1"/>
  <c r="CH64" i="1"/>
  <c r="BP64" i="1"/>
  <c r="CH103" i="1"/>
  <c r="BP103" i="1"/>
  <c r="BP315" i="1"/>
  <c r="CH315" i="1"/>
  <c r="BP207" i="1"/>
  <c r="CH207" i="1"/>
  <c r="BP320" i="1"/>
  <c r="CH320" i="1"/>
  <c r="BP306" i="1"/>
  <c r="CH306" i="1"/>
  <c r="BP300" i="1"/>
  <c r="CH300" i="1"/>
  <c r="BP254" i="1"/>
  <c r="CH254" i="1"/>
  <c r="BP291" i="1"/>
  <c r="CH291" i="1"/>
  <c r="BP329" i="1"/>
  <c r="CH329" i="1"/>
  <c r="BP234" i="1"/>
  <c r="CH234" i="1"/>
  <c r="BP355" i="1"/>
  <c r="CH355" i="1"/>
  <c r="BP283" i="1"/>
  <c r="CH283" i="1"/>
  <c r="BP211" i="1"/>
  <c r="CH211" i="1"/>
  <c r="BP269" i="1"/>
  <c r="CH269" i="1"/>
  <c r="BP161" i="1"/>
  <c r="CH161" i="1"/>
  <c r="BP316" i="1"/>
  <c r="CH316" i="1"/>
  <c r="BP304" i="1"/>
  <c r="CH304" i="1"/>
  <c r="BP192" i="1"/>
  <c r="CH192" i="1"/>
  <c r="BP165" i="1"/>
  <c r="CH165" i="1"/>
  <c r="BP245" i="1"/>
  <c r="CH245" i="1"/>
  <c r="BP257" i="1"/>
  <c r="CH257" i="1"/>
  <c r="BP175" i="1"/>
  <c r="CH175" i="1"/>
  <c r="BP322" i="1"/>
  <c r="CH322" i="1"/>
  <c r="BP308" i="1"/>
  <c r="CH308" i="1"/>
  <c r="BP209" i="1"/>
  <c r="CH209" i="1"/>
  <c r="BP302" i="1"/>
  <c r="CH302" i="1"/>
  <c r="BP293" i="1"/>
  <c r="CH293" i="1"/>
  <c r="BP341" i="1"/>
  <c r="CH341" i="1"/>
  <c r="BP354" i="1"/>
  <c r="CH354" i="1"/>
  <c r="BP256" i="1"/>
  <c r="CH256" i="1"/>
  <c r="BP287" i="1"/>
  <c r="CH287" i="1"/>
  <c r="BP324" i="1"/>
  <c r="CH324" i="1"/>
  <c r="BP317" i="1"/>
  <c r="CH317" i="1"/>
  <c r="AV3490" i="31"/>
  <c r="AU3490" i="31"/>
  <c r="AT3490" i="31" s="1"/>
  <c r="B3492" i="31"/>
  <c r="AS3491" i="31"/>
  <c r="AM3491" i="31"/>
  <c r="AL3491" i="31"/>
  <c r="T3491" i="31" a="1"/>
  <c r="T3491" i="31" s="1"/>
  <c r="U3491" i="31" s="1"/>
  <c r="J3490" i="31"/>
  <c r="D3490" i="31"/>
  <c r="BP265" i="1"/>
  <c r="CH265" i="1"/>
  <c r="BP210" i="1"/>
  <c r="CH210" i="1"/>
  <c r="BP200" i="1"/>
  <c r="CH200" i="1"/>
  <c r="BP336" i="1"/>
  <c r="CH336" i="1"/>
  <c r="BP187" i="1"/>
  <c r="CH187" i="1"/>
  <c r="BP212" i="1"/>
  <c r="CH212" i="1"/>
  <c r="BP310" i="1"/>
  <c r="CH310" i="1"/>
  <c r="BP286" i="1"/>
  <c r="CH286" i="1"/>
  <c r="BP202" i="1"/>
  <c r="CH202" i="1"/>
  <c r="BP239" i="1"/>
  <c r="CH239" i="1"/>
  <c r="BP176" i="1"/>
  <c r="CH176" i="1"/>
  <c r="BP167" i="1"/>
  <c r="CH167" i="1"/>
  <c r="BP184" i="1"/>
  <c r="CH184" i="1"/>
  <c r="BP279" i="1"/>
  <c r="CH279" i="1"/>
  <c r="BP223" i="1"/>
  <c r="CH223" i="1"/>
  <c r="BP321" i="1"/>
  <c r="CH321" i="1"/>
  <c r="BP196" i="1"/>
  <c r="CH196" i="1"/>
  <c r="BP190" i="1"/>
  <c r="CH190" i="1"/>
  <c r="BP236" i="1"/>
  <c r="CH236" i="1"/>
  <c r="BP277" i="1"/>
  <c r="CH277" i="1"/>
  <c r="BP228" i="1"/>
  <c r="CH228" i="1"/>
  <c r="BP348" i="1"/>
  <c r="CH348" i="1"/>
  <c r="BP303" i="1"/>
  <c r="CH303" i="1"/>
  <c r="BP233" i="1"/>
  <c r="CH233" i="1"/>
  <c r="BP251" i="1"/>
  <c r="CH251" i="1"/>
  <c r="BP163" i="1"/>
  <c r="CH163" i="1"/>
  <c r="BP273" i="1"/>
  <c r="CH273" i="1"/>
  <c r="BP332" i="1"/>
  <c r="CH332" i="1"/>
  <c r="BP260" i="1"/>
  <c r="CH260" i="1"/>
  <c r="BP180" i="1"/>
  <c r="CH180" i="1"/>
  <c r="BP160" i="1"/>
  <c r="CH160" i="1"/>
  <c r="BP305" i="1"/>
  <c r="CH305" i="1"/>
  <c r="BP194" i="1"/>
  <c r="CH194" i="1"/>
  <c r="BP220" i="1"/>
  <c r="CH220" i="1"/>
  <c r="BP268" i="1"/>
  <c r="CH268" i="1"/>
  <c r="BP162" i="1"/>
  <c r="CH162" i="1"/>
  <c r="BP246" i="1"/>
  <c r="CH246" i="1"/>
  <c r="BP191" i="1"/>
  <c r="CH191" i="1"/>
  <c r="BP342" i="1"/>
  <c r="CH342" i="1"/>
  <c r="BP280" i="1"/>
  <c r="CH280" i="1"/>
  <c r="BP222" i="1"/>
  <c r="CH222" i="1"/>
  <c r="BP264" i="1"/>
  <c r="CH264" i="1"/>
  <c r="BP235" i="1"/>
  <c r="CH235" i="1"/>
  <c r="BP185" i="1"/>
  <c r="CH185" i="1"/>
  <c r="BP350" i="1"/>
  <c r="CH350" i="1"/>
  <c r="BP340" i="1"/>
  <c r="CH340" i="1"/>
  <c r="BP290" i="1"/>
  <c r="CH290" i="1"/>
  <c r="BP237" i="1"/>
  <c r="CH237" i="1"/>
  <c r="BP323" i="1"/>
  <c r="CH323" i="1"/>
  <c r="BP282" i="1"/>
  <c r="CH282" i="1"/>
  <c r="BP259" i="1"/>
  <c r="CH259" i="1"/>
  <c r="BP226" i="1"/>
  <c r="CH226" i="1"/>
  <c r="BP288" i="1"/>
  <c r="CH288" i="1"/>
  <c r="BP328" i="1"/>
  <c r="CH328" i="1"/>
  <c r="BP178" i="1"/>
  <c r="CH178" i="1"/>
  <c r="BP168" i="1"/>
  <c r="CH168" i="1"/>
  <c r="BP170" i="1"/>
  <c r="CH170" i="1"/>
  <c r="BP204" i="1"/>
  <c r="CH204" i="1"/>
  <c r="BP203" i="1"/>
  <c r="CH203" i="1"/>
  <c r="BP248" i="1"/>
  <c r="CH248" i="1"/>
  <c r="BP278" i="1"/>
  <c r="CH278" i="1"/>
  <c r="BP333" i="1"/>
  <c r="CH333" i="1"/>
  <c r="BP313" i="1"/>
  <c r="CH313" i="1"/>
  <c r="BP199" i="1"/>
  <c r="CH199" i="1"/>
  <c r="BP227" i="1"/>
  <c r="CH227" i="1"/>
  <c r="BP189" i="1"/>
  <c r="CH189" i="1"/>
  <c r="BP218" i="1"/>
  <c r="CH218" i="1"/>
  <c r="CH172" i="1"/>
  <c r="BP172" i="1"/>
  <c r="BP242" i="1"/>
  <c r="CH242" i="1"/>
  <c r="BP177" i="1"/>
  <c r="CH177" i="1"/>
  <c r="BP266" i="1"/>
  <c r="CH266" i="1"/>
  <c r="CH197" i="1"/>
  <c r="BP197" i="1"/>
  <c r="BP183" i="1"/>
  <c r="CH183" i="1"/>
  <c r="BP164" i="1"/>
  <c r="CH164" i="1"/>
  <c r="CH244" i="1"/>
  <c r="BP244" i="1"/>
  <c r="CH201" i="1"/>
  <c r="BP201" i="1"/>
  <c r="BP166" i="1"/>
  <c r="CH166" i="1"/>
  <c r="CH241" i="1"/>
  <c r="BP241" i="1"/>
  <c r="BP294" i="1"/>
  <c r="CH294" i="1"/>
  <c r="BP292" i="1"/>
  <c r="CH292" i="1"/>
  <c r="BP276" i="1"/>
  <c r="CH276" i="1"/>
  <c r="BP330" i="1"/>
  <c r="CH330" i="1"/>
  <c r="BP343" i="1"/>
  <c r="CH343" i="1"/>
  <c r="BP312" i="1"/>
  <c r="CH312" i="1"/>
  <c r="BP337" i="1"/>
  <c r="CH337" i="1"/>
  <c r="BP352" i="1"/>
  <c r="CH352" i="1"/>
  <c r="CH326" i="1"/>
  <c r="BP326" i="1"/>
  <c r="CH299" i="1"/>
  <c r="BP299" i="1"/>
  <c r="CH309" i="1"/>
  <c r="BP309" i="1"/>
  <c r="CH334" i="1"/>
  <c r="BP334" i="1"/>
  <c r="BP311" i="1"/>
  <c r="CH311" i="1"/>
  <c r="BP298" i="1"/>
  <c r="CH285" i="1"/>
  <c r="BP285" i="1"/>
  <c r="CH325" i="1"/>
  <c r="BP325" i="1"/>
  <c r="BP345" i="1"/>
  <c r="CH345" i="1"/>
  <c r="BP351" i="1"/>
  <c r="CH351" i="1"/>
  <c r="BP338" i="1"/>
  <c r="CH338" i="1"/>
  <c r="BP339" i="1"/>
  <c r="CH339" i="1"/>
  <c r="BP357" i="1"/>
  <c r="CH357" i="1"/>
  <c r="BP335" i="1"/>
  <c r="CH335" i="1"/>
  <c r="BP356" i="1"/>
  <c r="CH356" i="1"/>
  <c r="BP346" i="1"/>
  <c r="CH346" i="1"/>
  <c r="BP344" i="1"/>
  <c r="CH344" i="1"/>
  <c r="BP347" i="1"/>
  <c r="CH347" i="1"/>
  <c r="CH349" i="1"/>
  <c r="BP349" i="1"/>
  <c r="CH353" i="1"/>
  <c r="BP353"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291" i="1" l="1"/>
  <c r="CG254" i="1"/>
  <c r="CG300" i="1"/>
  <c r="CG306" i="1"/>
  <c r="CG320" i="1"/>
  <c r="CG207" i="1"/>
  <c r="CG107" i="1"/>
  <c r="CG134" i="1"/>
  <c r="CG145" i="1"/>
  <c r="CG122" i="1"/>
  <c r="CG31" i="1"/>
  <c r="CG18" i="1"/>
  <c r="CG111" i="1"/>
  <c r="CG153" i="1"/>
  <c r="CG159" i="1"/>
  <c r="CG124" i="1"/>
  <c r="CG40" i="1"/>
  <c r="CG61" i="1"/>
  <c r="CG140" i="1"/>
  <c r="CG63" i="1"/>
  <c r="CG100" i="1"/>
  <c r="CG90" i="1"/>
  <c r="CG82" i="1"/>
  <c r="CG36" i="1"/>
  <c r="CG74" i="1"/>
  <c r="CG315" i="1"/>
  <c r="CG161" i="1"/>
  <c r="CG269" i="1"/>
  <c r="CG257" i="1"/>
  <c r="CG211" i="1"/>
  <c r="CG316" i="1"/>
  <c r="CG245" i="1"/>
  <c r="CG283" i="1"/>
  <c r="CG165" i="1"/>
  <c r="CG355" i="1"/>
  <c r="CG192" i="1"/>
  <c r="CG234" i="1"/>
  <c r="CG56" i="1"/>
  <c r="CG126" i="1"/>
  <c r="CG105" i="1"/>
  <c r="CG57" i="1"/>
  <c r="CG138" i="1"/>
  <c r="CG39" i="1"/>
  <c r="CG149" i="1"/>
  <c r="CG71" i="1"/>
  <c r="CG43" i="1"/>
  <c r="CG72" i="1"/>
  <c r="CG151" i="1"/>
  <c r="CG144" i="1"/>
  <c r="CG113" i="1"/>
  <c r="CG129" i="1"/>
  <c r="CG86" i="1"/>
  <c r="CG65" i="1"/>
  <c r="CG155" i="1"/>
  <c r="CG79" i="1"/>
  <c r="CG97" i="1"/>
  <c r="CG147" i="1"/>
  <c r="CG109" i="1"/>
  <c r="CG304" i="1"/>
  <c r="CG329" i="1"/>
  <c r="CG354" i="1"/>
  <c r="CG143" i="1"/>
  <c r="CG148" i="1"/>
  <c r="CG114" i="1"/>
  <c r="CG125" i="1"/>
  <c r="CG66" i="1"/>
  <c r="CG54" i="1"/>
  <c r="CG85" i="1"/>
  <c r="CG73" i="1"/>
  <c r="CG93" i="1"/>
  <c r="CG127" i="1"/>
  <c r="CG38" i="1"/>
  <c r="CG150" i="1"/>
  <c r="CG64" i="1"/>
  <c r="CG152" i="1"/>
  <c r="CG137" i="1"/>
  <c r="CG103" i="1"/>
  <c r="CG59" i="1"/>
  <c r="CG110" i="1"/>
  <c r="CG77" i="1"/>
  <c r="CG156" i="1"/>
  <c r="CG42" i="1"/>
  <c r="CG293" i="1"/>
  <c r="CG302" i="1"/>
  <c r="CG317" i="1"/>
  <c r="CG209" i="1"/>
  <c r="CG324" i="1"/>
  <c r="CG308" i="1"/>
  <c r="CG287" i="1"/>
  <c r="CG322" i="1"/>
  <c r="CG341" i="1"/>
  <c r="CG256" i="1"/>
  <c r="CG175" i="1"/>
  <c r="D3491" i="31"/>
  <c r="J3491" i="31"/>
  <c r="B3493" i="31"/>
  <c r="AS3492" i="31"/>
  <c r="AM3492" i="31"/>
  <c r="AL3492" i="31"/>
  <c r="T3492" i="31" a="1"/>
  <c r="T3492" i="31" s="1"/>
  <c r="U3492" i="31" s="1"/>
  <c r="AV3491" i="31"/>
  <c r="AU3491" i="31"/>
  <c r="AT3491" i="31" s="1"/>
  <c r="CG336" i="1"/>
  <c r="CG200" i="1"/>
  <c r="CG210" i="1"/>
  <c r="CG286" i="1"/>
  <c r="CG265" i="1"/>
  <c r="CG187" i="1"/>
  <c r="CG310" i="1"/>
  <c r="CG212" i="1"/>
  <c r="CG180" i="1"/>
  <c r="CG233" i="1"/>
  <c r="CG236" i="1"/>
  <c r="CG184" i="1"/>
  <c r="CG251" i="1"/>
  <c r="CG190" i="1"/>
  <c r="CG260" i="1"/>
  <c r="CG303" i="1"/>
  <c r="CG167" i="1"/>
  <c r="CG277" i="1"/>
  <c r="CG332" i="1"/>
  <c r="CG196" i="1"/>
  <c r="CG176" i="1"/>
  <c r="CG273" i="1"/>
  <c r="CG348" i="1"/>
  <c r="CG321" i="1"/>
  <c r="CG239" i="1"/>
  <c r="CG279" i="1"/>
  <c r="CG163" i="1"/>
  <c r="CG228" i="1"/>
  <c r="CG223" i="1"/>
  <c r="CG202" i="1"/>
  <c r="CG248" i="1"/>
  <c r="CG178" i="1"/>
  <c r="CG237" i="1"/>
  <c r="CG246" i="1"/>
  <c r="CG226" i="1"/>
  <c r="CG222" i="1"/>
  <c r="CG313" i="1"/>
  <c r="CG203" i="1"/>
  <c r="CG328" i="1"/>
  <c r="CG259" i="1"/>
  <c r="CG185" i="1"/>
  <c r="CG280" i="1"/>
  <c r="CG162" i="1"/>
  <c r="CG220" i="1"/>
  <c r="CG305" i="1"/>
  <c r="CG350" i="1"/>
  <c r="CG227" i="1"/>
  <c r="CG199" i="1"/>
  <c r="CG333" i="1"/>
  <c r="CG204" i="1"/>
  <c r="CG288" i="1"/>
  <c r="CG282" i="1"/>
  <c r="CG290" i="1"/>
  <c r="CG235" i="1"/>
  <c r="CG342" i="1"/>
  <c r="CG194" i="1"/>
  <c r="CG160" i="1"/>
  <c r="CG278" i="1"/>
  <c r="CG170" i="1"/>
  <c r="CG168" i="1"/>
  <c r="CG323" i="1"/>
  <c r="CG340" i="1"/>
  <c r="CG264" i="1"/>
  <c r="CG191" i="1"/>
  <c r="CG268" i="1"/>
  <c r="CG352" i="1"/>
  <c r="CG330" i="1"/>
  <c r="CG337" i="1"/>
  <c r="CG177" i="1"/>
  <c r="CG241" i="1"/>
  <c r="CG276" i="1"/>
  <c r="CG166" i="1"/>
  <c r="CG266" i="1"/>
  <c r="CG244" i="1"/>
  <c r="CG183" i="1"/>
  <c r="CG164" i="1"/>
  <c r="CG189" i="1"/>
  <c r="CG218" i="1"/>
  <c r="CG242" i="1"/>
  <c r="CG201" i="1"/>
  <c r="CG172" i="1"/>
  <c r="CG197" i="1"/>
  <c r="CG312" i="1"/>
  <c r="CG292" i="1"/>
  <c r="CG343" i="1"/>
  <c r="CG294" i="1"/>
  <c r="CG334" i="1"/>
  <c r="CG285" i="1"/>
  <c r="CG309" i="1"/>
  <c r="CG299" i="1"/>
  <c r="CG311" i="1"/>
  <c r="CG298" i="1"/>
  <c r="CG326" i="1"/>
  <c r="CG345" i="1"/>
  <c r="CG325" i="1"/>
  <c r="CG338" i="1"/>
  <c r="CG339" i="1"/>
  <c r="CG351" i="1"/>
  <c r="CG346" i="1"/>
  <c r="CG335" i="1"/>
  <c r="CG357" i="1"/>
  <c r="CG344" i="1"/>
  <c r="CG356" i="1"/>
  <c r="CG347" i="1"/>
  <c r="CG349" i="1"/>
  <c r="CG353"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D3492" i="31" l="1"/>
  <c r="J3492" i="31"/>
  <c r="AV3492" i="31"/>
  <c r="AU3492" i="31"/>
  <c r="AT3492" i="31" s="1"/>
  <c r="AS3493" i="31"/>
  <c r="AM3493" i="31"/>
  <c r="AL3493" i="31"/>
  <c r="T3493" i="31" a="1"/>
  <c r="T3493" i="31" s="1"/>
  <c r="U3493" i="31" s="1"/>
  <c r="B3494" i="31"/>
  <c r="T30" i="3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AS3494" i="31" l="1"/>
  <c r="AM3494" i="31"/>
  <c r="AL3494" i="31"/>
  <c r="T3494" i="31" a="1"/>
  <c r="T3494" i="31" s="1"/>
  <c r="U3494" i="31" s="1"/>
  <c r="B3495" i="31"/>
  <c r="AV3493" i="31"/>
  <c r="AU3493" i="31" s="1"/>
  <c r="AT3493" i="31" s="1"/>
  <c r="J3493" i="31"/>
  <c r="D3493" i="31"/>
  <c r="B32" i="3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J3494" i="31" l="1"/>
  <c r="D3494" i="31"/>
  <c r="AM3495" i="31"/>
  <c r="AL3495" i="31"/>
  <c r="T3495" i="31" a="1"/>
  <c r="T3495" i="31" s="1"/>
  <c r="U3495" i="31" s="1"/>
  <c r="B3496" i="31"/>
  <c r="AS3495" i="31"/>
  <c r="AV3494" i="31"/>
  <c r="AU3494" i="31"/>
  <c r="AT3494" i="31" s="1"/>
  <c r="AM32" i="31"/>
  <c r="B33" i="31"/>
  <c r="AS33" i="31" s="1"/>
  <c r="AU33" i="31" s="1"/>
  <c r="AV32" i="31"/>
  <c r="AT32" i="31" s="1"/>
  <c r="AL32" i="31"/>
  <c r="D32" i="31"/>
  <c r="AM33" i="31"/>
  <c r="AL33" i="31"/>
  <c r="HG17" i="10"/>
  <c r="HH15" i="10"/>
  <c r="HH16" i="10" s="1"/>
  <c r="HH13" i="10"/>
  <c r="HH14" i="10" s="1"/>
  <c r="HI8" i="10"/>
  <c r="HI11" i="10" s="1"/>
  <c r="HI10" i="10"/>
  <c r="HI9" i="10"/>
  <c r="HI21" i="10" s="1"/>
  <c r="HI22" i="10" s="1"/>
  <c r="HJ7" i="10"/>
  <c r="AV3495" i="31" l="1"/>
  <c r="AU3495" i="31" s="1"/>
  <c r="AT3495" i="31" s="1"/>
  <c r="J3495" i="31"/>
  <c r="D3495" i="31"/>
  <c r="AM3496" i="31"/>
  <c r="AL3496" i="31"/>
  <c r="T3496" i="31" a="1"/>
  <c r="T3496" i="31" s="1"/>
  <c r="U3496" i="31" s="1"/>
  <c r="B3497" i="31"/>
  <c r="AS3496" i="31"/>
  <c r="AV33" i="3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V3496" i="31" l="1"/>
  <c r="AU3496" i="31"/>
  <c r="AT3496" i="31" s="1"/>
  <c r="T3497" i="31" a="1"/>
  <c r="T3497" i="31" s="1"/>
  <c r="U3497" i="31" s="1"/>
  <c r="AL3497" i="31"/>
  <c r="B3498" i="31"/>
  <c r="AS3497" i="31"/>
  <c r="AM3497" i="31"/>
  <c r="J3496" i="31"/>
  <c r="D3496" i="31"/>
  <c r="AL34" i="3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498" i="31" l="1" a="1"/>
  <c r="T3498" i="31" s="1"/>
  <c r="U3498" i="31" s="1"/>
  <c r="B3499" i="31"/>
  <c r="AS3498" i="31"/>
  <c r="AM3498" i="31"/>
  <c r="AL3498" i="31"/>
  <c r="AV3497" i="31"/>
  <c r="AU3497" i="31"/>
  <c r="AT3497" i="31" s="1"/>
  <c r="J3497" i="31"/>
  <c r="D3497" i="31"/>
  <c r="T35" i="3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V3498" i="31" l="1"/>
  <c r="AU3498" i="31"/>
  <c r="AT3498" i="31" s="1"/>
  <c r="B3500" i="31"/>
  <c r="AS3499" i="31"/>
  <c r="AM3499" i="31"/>
  <c r="AL3499" i="31"/>
  <c r="T3499" i="31" a="1"/>
  <c r="T3499" i="31" s="1"/>
  <c r="U3499" i="31" s="1"/>
  <c r="J3498" i="31"/>
  <c r="D3498" i="31"/>
  <c r="AT36" i="3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D3499" i="31" l="1"/>
  <c r="J3499" i="31"/>
  <c r="AV3499" i="31"/>
  <c r="AU3499" i="31"/>
  <c r="AT3499" i="31" s="1"/>
  <c r="B3501" i="31"/>
  <c r="AS3500" i="31"/>
  <c r="AM3500" i="31"/>
  <c r="AL3500" i="31"/>
  <c r="T3500" i="31" a="1"/>
  <c r="T3500" i="31" s="1"/>
  <c r="U3500" i="31" s="1"/>
  <c r="AT37" i="3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D3500" i="31" l="1"/>
  <c r="J3500" i="31"/>
  <c r="AS3501" i="31"/>
  <c r="AM3501" i="31"/>
  <c r="AL3501" i="31"/>
  <c r="T3501" i="31" a="1"/>
  <c r="T3501" i="31" s="1"/>
  <c r="U3501" i="31" s="1"/>
  <c r="B3502" i="31"/>
  <c r="AV3500" i="31"/>
  <c r="AU3500" i="31"/>
  <c r="AT3500" i="31" s="1"/>
  <c r="AT38" i="3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J3501" i="31" l="1"/>
  <c r="D3501" i="31"/>
  <c r="AS3502" i="31"/>
  <c r="AM3502" i="31"/>
  <c r="AL3502" i="31"/>
  <c r="T3502" i="31" a="1"/>
  <c r="T3502" i="31" s="1"/>
  <c r="U3502" i="31" s="1"/>
  <c r="B3503" i="31"/>
  <c r="AV3501" i="31"/>
  <c r="AU3501" i="31" s="1"/>
  <c r="AT3501" i="31" s="1"/>
  <c r="AT39" i="3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J3502" i="31" l="1"/>
  <c r="D3502" i="31"/>
  <c r="AM3503" i="31"/>
  <c r="AL3503" i="31"/>
  <c r="T3503" i="31" a="1"/>
  <c r="T3503" i="31" s="1"/>
  <c r="U3503" i="31" s="1"/>
  <c r="B3504" i="31"/>
  <c r="AS3503" i="31"/>
  <c r="AV3502" i="31"/>
  <c r="AU3502" i="31" s="1"/>
  <c r="AT3502" i="31" s="1"/>
  <c r="AT40" i="3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J3503" i="31" l="1"/>
  <c r="D3503" i="31"/>
  <c r="AV3503" i="31"/>
  <c r="AU3503" i="31"/>
  <c r="AT3503" i="31" s="1"/>
  <c r="AM3504" i="31"/>
  <c r="AL3504" i="31"/>
  <c r="T3504" i="31" a="1"/>
  <c r="T3504" i="31" s="1"/>
  <c r="U3504" i="31" s="1"/>
  <c r="B3505" i="31"/>
  <c r="AS3504" i="31"/>
  <c r="AT41" i="3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L3505" i="31" l="1"/>
  <c r="T3505" i="31" a="1"/>
  <c r="T3505" i="31" s="1"/>
  <c r="U3505" i="31" s="1"/>
  <c r="B3506" i="31"/>
  <c r="AS3505" i="31"/>
  <c r="AM3505" i="31"/>
  <c r="AV3504" i="31"/>
  <c r="AU3504" i="31"/>
  <c r="AT3504" i="31" s="1"/>
  <c r="J3504" i="31"/>
  <c r="D3504" i="31"/>
  <c r="AT42" i="3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V3505" i="31" l="1"/>
  <c r="AU3505" i="31"/>
  <c r="AT3505" i="31" s="1"/>
  <c r="T3506" i="31" a="1"/>
  <c r="T3506" i="31" s="1"/>
  <c r="U3506" i="31" s="1"/>
  <c r="B3507" i="31"/>
  <c r="AS3506" i="31"/>
  <c r="AM3506" i="31"/>
  <c r="AL3506" i="31"/>
  <c r="J3505" i="31"/>
  <c r="D3505" i="31"/>
  <c r="AU44" i="3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V3506" i="31" l="1"/>
  <c r="AU3506" i="31" s="1"/>
  <c r="AT3506" i="31" s="1"/>
  <c r="B3508" i="31"/>
  <c r="AS3507" i="31"/>
  <c r="AM3507" i="31"/>
  <c r="AL3507" i="31"/>
  <c r="T3507" i="31" a="1"/>
  <c r="T3507" i="31" s="1"/>
  <c r="U3507" i="31" s="1"/>
  <c r="J3506" i="31"/>
  <c r="D3506" i="31"/>
  <c r="AT44" i="3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D3507" i="31" l="1"/>
  <c r="J3507" i="31"/>
  <c r="AV3507" i="31"/>
  <c r="AU3507" i="31"/>
  <c r="AT3507" i="31" s="1"/>
  <c r="AS3508" i="31"/>
  <c r="AM3508" i="31"/>
  <c r="B3509" i="31"/>
  <c r="AL3508" i="31"/>
  <c r="T3508" i="31" a="1"/>
  <c r="T3508" i="31" s="1"/>
  <c r="U3508" i="31" s="1"/>
  <c r="AT45" i="31"/>
  <c r="AU46" i="31"/>
  <c r="AV46" i="31"/>
  <c r="D45" i="31"/>
  <c r="B47" i="31"/>
  <c r="AS47" i="31" s="1"/>
  <c r="AM46" i="31"/>
  <c r="AL46" i="31"/>
  <c r="T46" i="31" a="1"/>
  <c r="T46" i="31" s="1"/>
  <c r="U46" i="31" s="1"/>
  <c r="HU13" i="10"/>
  <c r="HU14" i="10" s="1"/>
  <c r="HU15" i="10"/>
  <c r="HU16" i="10" s="1"/>
  <c r="HV10" i="10"/>
  <c r="HV9" i="10"/>
  <c r="HW7" i="10"/>
  <c r="HV8" i="10"/>
  <c r="HV11" i="10" s="1"/>
  <c r="HT17" i="10"/>
  <c r="AS3509" i="31" l="1"/>
  <c r="AM3509" i="31"/>
  <c r="AL3509" i="31"/>
  <c r="T3509" i="31" a="1"/>
  <c r="T3509" i="31" s="1"/>
  <c r="U3509" i="31" s="1"/>
  <c r="B3510" i="31"/>
  <c r="D3508" i="31"/>
  <c r="J3508" i="31"/>
  <c r="AV3508" i="31"/>
  <c r="AU3508" i="31"/>
  <c r="AT3508" i="31" s="1"/>
  <c r="AU47" i="3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S3510" i="31" l="1"/>
  <c r="AM3510" i="31"/>
  <c r="AL3510" i="31"/>
  <c r="T3510" i="31" a="1"/>
  <c r="T3510" i="31" s="1"/>
  <c r="U3510" i="31" s="1"/>
  <c r="B3511" i="31"/>
  <c r="J3509" i="31"/>
  <c r="D3509" i="31"/>
  <c r="AV3509" i="31"/>
  <c r="AU3509" i="31" s="1"/>
  <c r="AT3509" i="31" s="1"/>
  <c r="AU48" i="3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M3511" i="31" l="1"/>
  <c r="AL3511" i="31"/>
  <c r="T3511" i="31" a="1"/>
  <c r="T3511" i="31" s="1"/>
  <c r="U3511" i="31" s="1"/>
  <c r="B3512" i="31"/>
  <c r="AS3511" i="31"/>
  <c r="J3510" i="31"/>
  <c r="D3510" i="31"/>
  <c r="AV3510" i="31"/>
  <c r="AU3510" i="31"/>
  <c r="AT3510" i="31" s="1"/>
  <c r="AU49" i="3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V3511" i="31" l="1"/>
  <c r="AU3511" i="31" s="1"/>
  <c r="AT3511" i="31" s="1"/>
  <c r="AM3512" i="31"/>
  <c r="AL3512" i="31"/>
  <c r="T3512" i="31" a="1"/>
  <c r="T3512" i="31" s="1"/>
  <c r="U3512" i="31" s="1"/>
  <c r="B3513" i="31"/>
  <c r="AS3512" i="31"/>
  <c r="J3511" i="31"/>
  <c r="D3511" i="31"/>
  <c r="AT49" i="31"/>
  <c r="AU50" i="31"/>
  <c r="AV50" i="31"/>
  <c r="D49" i="31"/>
  <c r="B51" i="31"/>
  <c r="AS51" i="31" s="1"/>
  <c r="AM50" i="31"/>
  <c r="AL50" i="31"/>
  <c r="T50" i="31" a="1"/>
  <c r="T50" i="31" s="1"/>
  <c r="U50" i="31" s="1"/>
  <c r="HY15" i="10"/>
  <c r="HY16" i="10" s="1"/>
  <c r="HY13" i="10"/>
  <c r="HY14" i="10" s="1"/>
  <c r="HZ10" i="10"/>
  <c r="HZ9" i="10"/>
  <c r="IA7" i="10"/>
  <c r="HZ8" i="10"/>
  <c r="HZ11" i="10" s="1"/>
  <c r="HX17" i="10"/>
  <c r="T3513" i="31" l="1" a="1"/>
  <c r="T3513" i="31" s="1"/>
  <c r="U3513" i="31" s="1"/>
  <c r="B3514" i="31"/>
  <c r="AS3513" i="31"/>
  <c r="AL3513" i="31"/>
  <c r="AM3513" i="31"/>
  <c r="AV3512" i="31"/>
  <c r="AU3512" i="31"/>
  <c r="AT3512" i="31" s="1"/>
  <c r="J3512" i="31"/>
  <c r="D3512" i="31"/>
  <c r="AT50" i="3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V3513" i="31" l="1"/>
  <c r="AU3513" i="31"/>
  <c r="AT3513" i="31" s="1"/>
  <c r="T3514" i="31" a="1"/>
  <c r="T3514" i="31" s="1"/>
  <c r="U3514" i="31" s="1"/>
  <c r="B3515" i="31"/>
  <c r="AS3514" i="31"/>
  <c r="AM3514" i="31"/>
  <c r="AL3514" i="31"/>
  <c r="J3513" i="31"/>
  <c r="D3513" i="31"/>
  <c r="AU52" i="31"/>
  <c r="AV52" i="31"/>
  <c r="AT51" i="31"/>
  <c r="D51" i="31"/>
  <c r="B53" i="31"/>
  <c r="AS53" i="31" s="1"/>
  <c r="AM52" i="31"/>
  <c r="AL52" i="31"/>
  <c r="T52" i="31" a="1"/>
  <c r="T52" i="31" s="1"/>
  <c r="U52" i="31" s="1"/>
  <c r="IA13" i="10"/>
  <c r="IA14" i="10" s="1"/>
  <c r="IA15" i="10"/>
  <c r="IA16" i="10" s="1"/>
  <c r="IC7" i="10"/>
  <c r="IB10" i="10"/>
  <c r="IB8" i="10"/>
  <c r="IB11" i="10" s="1"/>
  <c r="IB9" i="10"/>
  <c r="HZ17" i="10"/>
  <c r="AV3514" i="31" l="1"/>
  <c r="AU3514" i="31"/>
  <c r="AT3514" i="31" s="1"/>
  <c r="B3516" i="31"/>
  <c r="AS3515" i="31"/>
  <c r="AM3515" i="31"/>
  <c r="AL3515" i="31"/>
  <c r="T3515" i="31" a="1"/>
  <c r="T3515" i="31" s="1"/>
  <c r="U3515" i="31" s="1"/>
  <c r="J3514" i="31"/>
  <c r="D3514" i="31"/>
  <c r="AT52" i="3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D3515" i="31" l="1"/>
  <c r="J3515" i="31"/>
  <c r="AV3515" i="31"/>
  <c r="AU3515" i="31"/>
  <c r="AT3515" i="31" s="1"/>
  <c r="AS3516" i="31"/>
  <c r="AM3516" i="31"/>
  <c r="AL3516" i="31"/>
  <c r="T3516" i="31" a="1"/>
  <c r="T3516" i="31" s="1"/>
  <c r="U3516" i="31" s="1"/>
  <c r="AU54" i="31"/>
  <c r="AV54" i="31"/>
  <c r="AT53" i="31"/>
  <c r="D53" i="31"/>
  <c r="B55" i="31"/>
  <c r="AS55" i="31" s="1"/>
  <c r="AM54" i="31"/>
  <c r="AL54" i="31"/>
  <c r="T54" i="31" a="1"/>
  <c r="T54" i="31" s="1"/>
  <c r="U54" i="31" s="1"/>
  <c r="IB17" i="10"/>
  <c r="ID8" i="10"/>
  <c r="ID11" i="10" s="1"/>
  <c r="ID10" i="10"/>
  <c r="ID9" i="10"/>
  <c r="ID21" i="10" s="1"/>
  <c r="ID22" i="10" s="1"/>
  <c r="IC15" i="10"/>
  <c r="IC16" i="10" s="1"/>
  <c r="IC13" i="10"/>
  <c r="IC14" i="10" s="1"/>
  <c r="AV3516" i="31" l="1"/>
  <c r="AU3516" i="31"/>
  <c r="AT3516" i="31" s="1"/>
  <c r="J3516" i="31"/>
  <c r="D3516" i="31"/>
  <c r="AU55" i="3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AS3284" i="31" l="1"/>
  <c r="AL3284" i="31"/>
  <c r="AM3284" i="31"/>
  <c r="B3285" i="31"/>
  <c r="T3284" i="31" a="1"/>
  <c r="T3284" i="31" s="1"/>
  <c r="U3284" i="31" s="1"/>
  <c r="D3283" i="31"/>
  <c r="J3283" i="31"/>
  <c r="AU3283" i="31"/>
  <c r="AV3283" i="31"/>
  <c r="J3284" i="31" l="1"/>
  <c r="D3284" i="31"/>
  <c r="AT3283" i="31"/>
  <c r="AL3285" i="31"/>
  <c r="AM3285" i="31"/>
  <c r="B3286" i="31"/>
  <c r="AS3285" i="31"/>
  <c r="T3285" i="31" a="1"/>
  <c r="T3285" i="31" s="1"/>
  <c r="U3285" i="31" s="1"/>
  <c r="AV3284" i="31"/>
  <c r="AU3284" i="31"/>
  <c r="AT3284" i="31" s="1"/>
  <c r="G26" i="10"/>
  <c r="H26" i="10"/>
  <c r="J3285" i="31" l="1"/>
  <c r="D3285" i="31"/>
  <c r="AV3285" i="31"/>
  <c r="AU3285" i="31"/>
  <c r="AT3285" i="31" s="1"/>
  <c r="AM3286" i="31"/>
  <c r="B3287" i="31"/>
  <c r="AL3286" i="31"/>
  <c r="AS3286" i="31"/>
  <c r="T3286" i="31" a="1"/>
  <c r="T3286" i="31" s="1"/>
  <c r="U3286" i="31" s="1"/>
  <c r="H27" i="10"/>
  <c r="G27" i="10"/>
  <c r="J3286" i="31" l="1"/>
  <c r="D3286" i="31"/>
  <c r="AV3286" i="31"/>
  <c r="AU3286" i="31"/>
  <c r="B3288" i="31"/>
  <c r="AS3287" i="31"/>
  <c r="AM3287" i="31"/>
  <c r="AL3287" i="31"/>
  <c r="T3287" i="31" a="1"/>
  <c r="T3287" i="31" s="1"/>
  <c r="U3287" i="31" s="1"/>
  <c r="G28" i="10"/>
  <c r="H28" i="10"/>
  <c r="AT3286" i="31" l="1"/>
  <c r="J3287" i="31"/>
  <c r="D3287" i="31"/>
  <c r="AV3287" i="31"/>
  <c r="AU3287" i="31"/>
  <c r="AT3287" i="31" s="1"/>
  <c r="B3289" i="31"/>
  <c r="AS3288" i="31"/>
  <c r="AM3288" i="31"/>
  <c r="AL3288" i="31"/>
  <c r="T3288" i="31" a="1"/>
  <c r="T3288" i="31" s="1"/>
  <c r="U3288" i="31" s="1"/>
  <c r="G29" i="10"/>
  <c r="H29" i="10"/>
  <c r="J3288" i="31" l="1"/>
  <c r="D3288" i="31"/>
  <c r="AV3288" i="31"/>
  <c r="AU3288" i="31"/>
  <c r="B3290" i="31"/>
  <c r="AS3289" i="31"/>
  <c r="AM3289" i="31"/>
  <c r="AL3289" i="31"/>
  <c r="T3289" i="31" a="1"/>
  <c r="T3289" i="31" s="1"/>
  <c r="U3289" i="31" s="1"/>
  <c r="H30" i="10"/>
  <c r="G30" i="10"/>
  <c r="AT3288" i="31" l="1"/>
  <c r="J3289" i="31"/>
  <c r="D3289" i="31"/>
  <c r="AV3289" i="31"/>
  <c r="AU3289" i="31"/>
  <c r="AT3289" i="31" s="1"/>
  <c r="AS3290" i="31"/>
  <c r="AM3290" i="31"/>
  <c r="B3291" i="31"/>
  <c r="AL3290" i="31"/>
  <c r="T3290" i="31" a="1"/>
  <c r="T3290" i="31" s="1"/>
  <c r="U3290" i="31" s="1"/>
  <c r="H31" i="10"/>
  <c r="G31" i="10"/>
  <c r="J3290" i="31" l="1"/>
  <c r="D3290" i="31"/>
  <c r="AS3291" i="31"/>
  <c r="AM3291" i="31"/>
  <c r="AL3291" i="31"/>
  <c r="B3292" i="31"/>
  <c r="T3291" i="31" a="1"/>
  <c r="T3291" i="31" s="1"/>
  <c r="U3291" i="31" s="1"/>
  <c r="AV3290" i="31"/>
  <c r="AU3290" i="31"/>
  <c r="AT3290" i="31" s="1"/>
  <c r="H32" i="10"/>
  <c r="G32" i="10"/>
  <c r="J3291" i="31" l="1"/>
  <c r="D3291" i="31"/>
  <c r="AS3292" i="31"/>
  <c r="AM3292" i="31"/>
  <c r="AL3292" i="31"/>
  <c r="B3293" i="31"/>
  <c r="T3292" i="31" a="1"/>
  <c r="T3292" i="31" s="1"/>
  <c r="U3292" i="31" s="1"/>
  <c r="AU3291" i="31"/>
  <c r="AV3291" i="31"/>
  <c r="H33" i="10"/>
  <c r="G33" i="10"/>
  <c r="AT3291" i="31" l="1"/>
  <c r="J3292" i="31"/>
  <c r="D3292" i="31"/>
  <c r="AM3293" i="31"/>
  <c r="AL3293" i="31"/>
  <c r="B3294" i="31"/>
  <c r="AS3293" i="31"/>
  <c r="T3293" i="31" a="1"/>
  <c r="T3293" i="31" s="1"/>
  <c r="U3293" i="31" s="1"/>
  <c r="AV3292" i="31"/>
  <c r="AU3292" i="31"/>
  <c r="AT3292" i="31" s="1"/>
  <c r="G35" i="10"/>
  <c r="H35" i="10"/>
  <c r="H34" i="10"/>
  <c r="G34" i="10"/>
  <c r="D3293" i="31" l="1"/>
  <c r="J3293" i="31"/>
  <c r="AV3293" i="31"/>
  <c r="AU3293" i="31"/>
  <c r="AM3294" i="31"/>
  <c r="AL3294" i="31"/>
  <c r="B3295" i="31"/>
  <c r="AS3294" i="31"/>
  <c r="T3294" i="31" a="1"/>
  <c r="T3294" i="31" s="1"/>
  <c r="U3294" i="31" s="1"/>
  <c r="AT3293" i="31" l="1"/>
  <c r="J3294" i="31"/>
  <c r="D3294" i="31"/>
  <c r="AV3294" i="31"/>
  <c r="AU3294" i="31"/>
  <c r="AT3294" i="31" s="1"/>
  <c r="AL3295" i="31"/>
  <c r="B3296" i="31"/>
  <c r="AS3295" i="31"/>
  <c r="AM3295" i="31"/>
  <c r="T3295" i="31" a="1"/>
  <c r="T3295" i="31" s="1"/>
  <c r="U3295" i="31" s="1"/>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AS3453" i="31"/>
  <c r="AL3453" i="31"/>
  <c r="T3453" i="31" a="1"/>
  <c r="T3453" i="31" s="1"/>
  <c r="U3453" i="31" s="1"/>
  <c r="D3453" i="31" l="1"/>
  <c r="J3453" i="31"/>
  <c r="AV3453" i="31"/>
  <c r="AU3453" i="31"/>
  <c r="AT3453" i="31" s="1"/>
  <c r="AS3454" i="31"/>
  <c r="AM3454" i="31"/>
  <c r="AL3454" i="31"/>
  <c r="T3454" i="31" a="1"/>
  <c r="T3454" i="31" s="1"/>
  <c r="U3454" i="31" s="1"/>
  <c r="D3454" i="31" l="1"/>
  <c r="J3454" i="31"/>
  <c r="AU3454" i="31"/>
  <c r="AV3454" i="31"/>
  <c r="B3518" i="31"/>
  <c r="AS3517" i="31"/>
  <c r="AV3517" i="31" s="1"/>
  <c r="AU3517" i="31" s="1"/>
  <c r="AT3517" i="31" s="1"/>
  <c r="T3517" i="31" a="1"/>
  <c r="T3517" i="31" s="1"/>
  <c r="U3517" i="31" s="1"/>
  <c r="AL3517" i="31"/>
  <c r="AM3517" i="31"/>
  <c r="B13" i="31"/>
  <c r="T13" i="31" s="1"/>
  <c r="U13" i="31" l="1"/>
  <c r="AA5" i="31" s="1"/>
  <c r="D3517" i="31"/>
  <c r="D13" i="31" s="1"/>
  <c r="J3517" i="31"/>
  <c r="J13" i="31" s="1"/>
  <c r="AT3454" i="31"/>
  <c r="Z5" i="31" l="1"/>
  <c r="Z7" i="31"/>
  <c r="Z6" i="31"/>
  <c r="Z8" i="31"/>
  <c r="AA8" i="31"/>
  <c r="AA6" i="31"/>
  <c r="CW5" i="1" s="1"/>
  <c r="AA7" i="31"/>
  <c r="CW120" i="1" l="1"/>
  <c r="CW14" i="1"/>
  <c r="CW13" i="1"/>
  <c r="CW12" i="1"/>
  <c r="CW11" i="1"/>
  <c r="CW10" i="1"/>
  <c r="CW16" i="1"/>
  <c r="CW15" i="1"/>
  <c r="CW175" i="1"/>
  <c r="CR175" i="1" s="1"/>
  <c r="CW314" i="1"/>
  <c r="CW85" i="1"/>
  <c r="CR85" i="1" s="1"/>
  <c r="CW332" i="1"/>
  <c r="CR332" i="1" s="1"/>
  <c r="CW69" i="1"/>
  <c r="CW325" i="1"/>
  <c r="CR325" i="1" s="1"/>
  <c r="CW306" i="1"/>
  <c r="CR306" i="1" s="1"/>
  <c r="CW56" i="1"/>
  <c r="CR56" i="1" s="1"/>
  <c r="CW190" i="1"/>
  <c r="CR190" i="1" s="1"/>
  <c r="CW232" i="1"/>
  <c r="CW278" i="1"/>
  <c r="CR278" i="1" s="1"/>
  <c r="CW248" i="1"/>
  <c r="CR248" i="1" s="1"/>
  <c r="CW249" i="1"/>
  <c r="CW198" i="1"/>
  <c r="CW354" i="1"/>
  <c r="CR354" i="1" s="1"/>
  <c r="CW356" i="1"/>
  <c r="CR356" i="1" s="1"/>
  <c r="CW209" i="1"/>
  <c r="CR209" i="1" s="1"/>
  <c r="CW169" i="1"/>
  <c r="CW210" i="1"/>
  <c r="CR210" i="1" s="1"/>
  <c r="CW107" i="1"/>
  <c r="CR107" i="1" s="1"/>
  <c r="CW105" i="1"/>
  <c r="CR105" i="1" s="1"/>
  <c r="CW200" i="1"/>
  <c r="CR200" i="1" s="1"/>
  <c r="CW127" i="1"/>
  <c r="CR127" i="1" s="1"/>
  <c r="CW125" i="1"/>
  <c r="CR125" i="1" s="1"/>
  <c r="CW111" i="1"/>
  <c r="CR111" i="1" s="1"/>
  <c r="CW48" i="1"/>
  <c r="CW231" i="1"/>
  <c r="CW316" i="1"/>
  <c r="CR316" i="1" s="1"/>
  <c r="CW281" i="1"/>
  <c r="CW227" i="1"/>
  <c r="CR227" i="1" s="1"/>
  <c r="CW199" i="1"/>
  <c r="CR199" i="1" s="1"/>
  <c r="CW53" i="1"/>
  <c r="CW312" i="1"/>
  <c r="CR312" i="1" s="1"/>
  <c r="CW60" i="1"/>
  <c r="CW140" i="1"/>
  <c r="CR140" i="1" s="1"/>
  <c r="CW47" i="1"/>
  <c r="CW233" i="1"/>
  <c r="CR233" i="1" s="1"/>
  <c r="CW41" i="1"/>
  <c r="CW51" i="1"/>
  <c r="CW223" i="1"/>
  <c r="CR223" i="1" s="1"/>
  <c r="CW255" i="1"/>
  <c r="CW49" i="1"/>
  <c r="CW251" i="1"/>
  <c r="CR251" i="1" s="1"/>
  <c r="CW222" i="1"/>
  <c r="CR222" i="1" s="1"/>
  <c r="CW139" i="1"/>
  <c r="CW204" i="1"/>
  <c r="CR204" i="1" s="1"/>
  <c r="CW317" i="1"/>
  <c r="CR317" i="1" s="1"/>
  <c r="CW63" i="1"/>
  <c r="CR63" i="1" s="1"/>
  <c r="CW121" i="1"/>
  <c r="CW185" i="1"/>
  <c r="CR185" i="1" s="1"/>
  <c r="CW228" i="1"/>
  <c r="CR228" i="1" s="1"/>
  <c r="CW253" i="1"/>
  <c r="CW159" i="1"/>
  <c r="CR159" i="1" s="1"/>
  <c r="CW192" i="1"/>
  <c r="CR192" i="1" s="1"/>
  <c r="CW21" i="1"/>
  <c r="CW30" i="1"/>
  <c r="CW24" i="1"/>
  <c r="CW32" i="1"/>
  <c r="CW35" i="1"/>
  <c r="CW23" i="1"/>
  <c r="CW17" i="1"/>
  <c r="CW29" i="1"/>
  <c r="CW20" i="1"/>
  <c r="CW28" i="1"/>
  <c r="CW34" i="1"/>
  <c r="CW31" i="1"/>
  <c r="CR31" i="1" s="1"/>
  <c r="CW33" i="1"/>
  <c r="CW18" i="1"/>
  <c r="CR18" i="1" s="1"/>
  <c r="CW22" i="1"/>
  <c r="CW25" i="1"/>
  <c r="CW27" i="1"/>
  <c r="CW19" i="1"/>
  <c r="CW26" i="1"/>
  <c r="CW352" i="1"/>
  <c r="CR352" i="1" s="1"/>
  <c r="CW130" i="1"/>
  <c r="CW57" i="1"/>
  <c r="CR57" i="1" s="1"/>
  <c r="CW172" i="1"/>
  <c r="CR172" i="1" s="1"/>
  <c r="CW296" i="1"/>
  <c r="CW148" i="1"/>
  <c r="CR148" i="1" s="1"/>
  <c r="CW126" i="1"/>
  <c r="CR126" i="1" s="1"/>
  <c r="CW274" i="1"/>
  <c r="CW64" i="1"/>
  <c r="CR64" i="1" s="1"/>
  <c r="CW242" i="1"/>
  <c r="CR242" i="1" s="1"/>
  <c r="CW300" i="1"/>
  <c r="CR300" i="1" s="1"/>
  <c r="CW102" i="1"/>
  <c r="CW225" i="1"/>
  <c r="CW256" i="1"/>
  <c r="CR256" i="1" s="1"/>
  <c r="CW298" i="1"/>
  <c r="CR298" i="1" s="1"/>
  <c r="CW291" i="1"/>
  <c r="CR291" i="1" s="1"/>
  <c r="CW288" i="1"/>
  <c r="CR288" i="1" s="1"/>
  <c r="CW180" i="1"/>
  <c r="CR180" i="1" s="1"/>
  <c r="CW96" i="1"/>
  <c r="CW244" i="1"/>
  <c r="CR244" i="1" s="1"/>
  <c r="CW108" i="1"/>
  <c r="CW178" i="1"/>
  <c r="CR178" i="1" s="1"/>
  <c r="CW206" i="1"/>
  <c r="CW346" i="1"/>
  <c r="CR346" i="1" s="1"/>
  <c r="CW52" i="1"/>
  <c r="CW92" i="1"/>
  <c r="CW174" i="1"/>
  <c r="CW348" i="1"/>
  <c r="CR348" i="1" s="1"/>
  <c r="CW114" i="1"/>
  <c r="CR114" i="1" s="1"/>
  <c r="CW340" i="1"/>
  <c r="CR340" i="1" s="1"/>
  <c r="CW154" i="1"/>
  <c r="CW304" i="1"/>
  <c r="CR304" i="1" s="1"/>
  <c r="CW183" i="1"/>
  <c r="CR183" i="1" s="1"/>
  <c r="CW302" i="1"/>
  <c r="CR302" i="1" s="1"/>
  <c r="CW117" i="1"/>
  <c r="CW50" i="1"/>
  <c r="CW193" i="1"/>
  <c r="CW91" i="1"/>
  <c r="CW250" i="1"/>
  <c r="CW243" i="1"/>
  <c r="CW205" i="1"/>
  <c r="CW155" i="1"/>
  <c r="CR155" i="1" s="1"/>
  <c r="CW145" i="1"/>
  <c r="CR145" i="1" s="1"/>
  <c r="CW70" i="1"/>
  <c r="CW212" i="1"/>
  <c r="CR212" i="1" s="1"/>
  <c r="CW115" i="1"/>
  <c r="CW257" i="1"/>
  <c r="CR257" i="1" s="1"/>
  <c r="CW313" i="1"/>
  <c r="CR313" i="1" s="1"/>
  <c r="CW184" i="1"/>
  <c r="CR184" i="1" s="1"/>
  <c r="CW86" i="1"/>
  <c r="CR86" i="1" s="1"/>
  <c r="CW324" i="1"/>
  <c r="CR324" i="1" s="1"/>
  <c r="CW83" i="1"/>
  <c r="CW104" i="1"/>
  <c r="CW166" i="1"/>
  <c r="CR166" i="1" s="1"/>
  <c r="CW98" i="1"/>
  <c r="CW282" i="1"/>
  <c r="CR282" i="1" s="1"/>
  <c r="CW181" i="1"/>
  <c r="CW322" i="1"/>
  <c r="CR322" i="1" s="1"/>
  <c r="CW95" i="1"/>
  <c r="CW59" i="1"/>
  <c r="CR59" i="1" s="1"/>
  <c r="CW328" i="1"/>
  <c r="CR328" i="1" s="1"/>
  <c r="CW112" i="1"/>
  <c r="CW87" i="1"/>
  <c r="CW315" i="1"/>
  <c r="CR315" i="1" s="1"/>
  <c r="CW283" i="1"/>
  <c r="CR283" i="1" s="1"/>
  <c r="CW270" i="1"/>
  <c r="CW268" i="1"/>
  <c r="CR268" i="1" s="1"/>
  <c r="CW76" i="1"/>
  <c r="CW287" i="1"/>
  <c r="CR287" i="1" s="1"/>
  <c r="CW239" i="1"/>
  <c r="CR239" i="1" s="1"/>
  <c r="CW177" i="1"/>
  <c r="CR177" i="1" s="1"/>
  <c r="CW286" i="1"/>
  <c r="CR286" i="1" s="1"/>
  <c r="CW216" i="1"/>
  <c r="CW132" i="1"/>
  <c r="CW161" i="1"/>
  <c r="CR161" i="1" s="1"/>
  <c r="CW137" i="1"/>
  <c r="CR137" i="1" s="1"/>
  <c r="CW342" i="1"/>
  <c r="CR342" i="1" s="1"/>
  <c r="CW146" i="1"/>
  <c r="CW147" i="1"/>
  <c r="CR147" i="1" s="1"/>
  <c r="CW99" i="1"/>
  <c r="CW275" i="1"/>
  <c r="CW247" i="1"/>
  <c r="CW331" i="1"/>
  <c r="CW194" i="1"/>
  <c r="CR194" i="1" s="1"/>
  <c r="CW163" i="1"/>
  <c r="CR163" i="1" s="1"/>
  <c r="CW196" i="1"/>
  <c r="CR196" i="1" s="1"/>
  <c r="CW292" i="1"/>
  <c r="CR292" i="1" s="1"/>
  <c r="CW266" i="1"/>
  <c r="CR266" i="1" s="1"/>
  <c r="CW109" i="1"/>
  <c r="CR109" i="1" s="1"/>
  <c r="CW339" i="1"/>
  <c r="CR339" i="1" s="1"/>
  <c r="CW138" i="1"/>
  <c r="CR138" i="1" s="1"/>
  <c r="CW100" i="1"/>
  <c r="CR100" i="1" s="1"/>
  <c r="CW189" i="1"/>
  <c r="CR189" i="1" s="1"/>
  <c r="CW124" i="1"/>
  <c r="CR124" i="1" s="1"/>
  <c r="CW65" i="1"/>
  <c r="CR65" i="1" s="1"/>
  <c r="CW264" i="1"/>
  <c r="CR264" i="1" s="1"/>
  <c r="CW258" i="1"/>
  <c r="CW221" i="1"/>
  <c r="CW208" i="1"/>
  <c r="CW353" i="1"/>
  <c r="CR353" i="1" s="1"/>
  <c r="CW303" i="1"/>
  <c r="CR303" i="1" s="1"/>
  <c r="CW93" i="1"/>
  <c r="CR93" i="1" s="1"/>
  <c r="CW284" i="1"/>
  <c r="CW272" i="1"/>
  <c r="CW90" i="1"/>
  <c r="CR90" i="1" s="1"/>
  <c r="CW201" i="1"/>
  <c r="CR201" i="1" s="1"/>
  <c r="CW167" i="1"/>
  <c r="CR167" i="1" s="1"/>
  <c r="CW319" i="1"/>
  <c r="CW71" i="1"/>
  <c r="CR71" i="1" s="1"/>
  <c r="CW217" i="1"/>
  <c r="CW97" i="1"/>
  <c r="CR97" i="1" s="1"/>
  <c r="CW149" i="1"/>
  <c r="CR149" i="1" s="1"/>
  <c r="CW305" i="1"/>
  <c r="CR305" i="1" s="1"/>
  <c r="CW129" i="1"/>
  <c r="CR129" i="1" s="1"/>
  <c r="CW160" i="1"/>
  <c r="CR160" i="1" s="1"/>
  <c r="CW294" i="1"/>
  <c r="CR294" i="1" s="1"/>
  <c r="CW237" i="1"/>
  <c r="CR237" i="1" s="1"/>
  <c r="CW262" i="1"/>
  <c r="CW246" i="1"/>
  <c r="CR246" i="1" s="1"/>
  <c r="CW234" i="1"/>
  <c r="CR234" i="1" s="1"/>
  <c r="CW337" i="1"/>
  <c r="CR337" i="1" s="1"/>
  <c r="CW141" i="1"/>
  <c r="CW357" i="1"/>
  <c r="CR357" i="1" s="1"/>
  <c r="CW88" i="1"/>
  <c r="CW211" i="1"/>
  <c r="CR211" i="1" s="1"/>
  <c r="CW136" i="1"/>
  <c r="CW252" i="1"/>
  <c r="CW220" i="1"/>
  <c r="CR220" i="1" s="1"/>
  <c r="CW164" i="1"/>
  <c r="CR164" i="1" s="1"/>
  <c r="CW307" i="1"/>
  <c r="CW259" i="1"/>
  <c r="CR259" i="1" s="1"/>
  <c r="CW226" i="1"/>
  <c r="CR226" i="1" s="1"/>
  <c r="CW254" i="1"/>
  <c r="CR254" i="1" s="1"/>
  <c r="CW224" i="1"/>
  <c r="CW143" i="1"/>
  <c r="CR143" i="1" s="1"/>
  <c r="CW150" i="1"/>
  <c r="CR150" i="1" s="1"/>
  <c r="CW207" i="1"/>
  <c r="CR207" i="1" s="1"/>
  <c r="CW171" i="1"/>
  <c r="CW271" i="1"/>
  <c r="CW67" i="1"/>
  <c r="CW82" i="1"/>
  <c r="CR82" i="1" s="1"/>
  <c r="CW55" i="1"/>
  <c r="CW321" i="1"/>
  <c r="CR321" i="1" s="1"/>
  <c r="CW295" i="1"/>
  <c r="CW74" i="1"/>
  <c r="CR74" i="1" s="1"/>
  <c r="CW62" i="1"/>
  <c r="CW8" i="1"/>
  <c r="CW179" i="1"/>
  <c r="CW113" i="1"/>
  <c r="CR113" i="1" s="1"/>
  <c r="CW290" i="1"/>
  <c r="CR290" i="1" s="1"/>
  <c r="CW186" i="1"/>
  <c r="CW309" i="1"/>
  <c r="CR309" i="1" s="1"/>
  <c r="CW241" i="1"/>
  <c r="CR241" i="1" s="1"/>
  <c r="CW72" i="1"/>
  <c r="CR72" i="1" s="1"/>
  <c r="CW106" i="1"/>
  <c r="CW263" i="1"/>
  <c r="CW78" i="1"/>
  <c r="CW219" i="1"/>
  <c r="CW329" i="1"/>
  <c r="CR329" i="1" s="1"/>
  <c r="CW80" i="1"/>
  <c r="CW320" i="1"/>
  <c r="CR320" i="1" s="1"/>
  <c r="CW336" i="1"/>
  <c r="CR336" i="1" s="1"/>
  <c r="CW135" i="1"/>
  <c r="CW165" i="1"/>
  <c r="CR165" i="1" s="1"/>
  <c r="CW128" i="1"/>
  <c r="CW151" i="1"/>
  <c r="CR151" i="1" s="1"/>
  <c r="CW334" i="1"/>
  <c r="CR334" i="1" s="1"/>
  <c r="CW215" i="1"/>
  <c r="CW308" i="1"/>
  <c r="CR308" i="1" s="1"/>
  <c r="CW142" i="1"/>
  <c r="CW118" i="1"/>
  <c r="CW187" i="1"/>
  <c r="CR187" i="1" s="1"/>
  <c r="CW77" i="1"/>
  <c r="CR77" i="1" s="1"/>
  <c r="CW265" i="1"/>
  <c r="CR265" i="1" s="1"/>
  <c r="CW133" i="1"/>
  <c r="CW197" i="1"/>
  <c r="CR197" i="1" s="1"/>
  <c r="CW273" i="1"/>
  <c r="CR273" i="1" s="1"/>
  <c r="CW297" i="1"/>
  <c r="CW213" i="1"/>
  <c r="CW323" i="1"/>
  <c r="CR323" i="1" s="1"/>
  <c r="CW285" i="1"/>
  <c r="CR285" i="1" s="1"/>
  <c r="CW89" i="1"/>
  <c r="CW75" i="1"/>
  <c r="CW84" i="1"/>
  <c r="CW173" i="1"/>
  <c r="CW73" i="1"/>
  <c r="CR73" i="1" s="1"/>
  <c r="CW311" i="1"/>
  <c r="CR311" i="1" s="1"/>
  <c r="CW110" i="1"/>
  <c r="CR110" i="1" s="1"/>
  <c r="CW9" i="1"/>
  <c r="CW350" i="1"/>
  <c r="CR350" i="1" s="1"/>
  <c r="CW61" i="1"/>
  <c r="CR61" i="1" s="1"/>
  <c r="CW310" i="1"/>
  <c r="CR310" i="1" s="1"/>
  <c r="CW344" i="1"/>
  <c r="CR344" i="1" s="1"/>
  <c r="CW103" i="1"/>
  <c r="CR103" i="1" s="1"/>
  <c r="CW293" i="1"/>
  <c r="CR293" i="1" s="1"/>
  <c r="CW68" i="1"/>
  <c r="CW326" i="1"/>
  <c r="CR326" i="1" s="1"/>
  <c r="CW341" i="1"/>
  <c r="CR341" i="1" s="1"/>
  <c r="CW81" i="1"/>
  <c r="CW214" i="1"/>
  <c r="CW240" i="1"/>
  <c r="CW267" i="1"/>
  <c r="CW229" i="1"/>
  <c r="CW203" i="1"/>
  <c r="CR203" i="1" s="1"/>
  <c r="CW230" i="1"/>
  <c r="CW157" i="1"/>
  <c r="CW134" i="1"/>
  <c r="CR134" i="1" s="1"/>
  <c r="CW333" i="1"/>
  <c r="CR333" i="1" s="1"/>
  <c r="CW144" i="1"/>
  <c r="CR144" i="1" s="1"/>
  <c r="CW335" i="1"/>
  <c r="CR335" i="1" s="1"/>
  <c r="CW261" i="1"/>
  <c r="CW347" i="1"/>
  <c r="CR347" i="1" s="1"/>
  <c r="CW153" i="1"/>
  <c r="CR153" i="1" s="1"/>
  <c r="CW122" i="1"/>
  <c r="CR122" i="1" s="1"/>
  <c r="CW123" i="1"/>
  <c r="CW276" i="1"/>
  <c r="CR276" i="1" s="1"/>
  <c r="CW343" i="1"/>
  <c r="CR343" i="1" s="1"/>
  <c r="CW349" i="1"/>
  <c r="CR349" i="1" s="1"/>
  <c r="CW58" i="1"/>
  <c r="CW176" i="1"/>
  <c r="CR176" i="1" s="1"/>
  <c r="CW299" i="1"/>
  <c r="CR299" i="1" s="1"/>
  <c r="CW260" i="1"/>
  <c r="CR260" i="1" s="1"/>
  <c r="CW280" i="1"/>
  <c r="CR280" i="1" s="1"/>
  <c r="CW238" i="1"/>
  <c r="CW218" i="1"/>
  <c r="CR218" i="1" s="1"/>
  <c r="CW131" i="1"/>
  <c r="CW188" i="1"/>
  <c r="CW351" i="1"/>
  <c r="CR351" i="1" s="1"/>
  <c r="CW195" i="1"/>
  <c r="CW345" i="1"/>
  <c r="CR345" i="1" s="1"/>
  <c r="CW182" i="1"/>
  <c r="CW101" i="1"/>
  <c r="CW79" i="1"/>
  <c r="CR79" i="1" s="1"/>
  <c r="CW170" i="1"/>
  <c r="CR170" i="1" s="1"/>
  <c r="CW191" i="1"/>
  <c r="CR191" i="1" s="1"/>
  <c r="CW269" i="1"/>
  <c r="CR269" i="1" s="1"/>
  <c r="CW327" i="1"/>
  <c r="CW94" i="1"/>
  <c r="CW152" i="1"/>
  <c r="CR152" i="1" s="1"/>
  <c r="CW119" i="1"/>
  <c r="CW116" i="1"/>
  <c r="CW279" i="1"/>
  <c r="CR279" i="1" s="1"/>
  <c r="CW202" i="1"/>
  <c r="CR202" i="1" s="1"/>
  <c r="CW235" i="1"/>
  <c r="CR235" i="1" s="1"/>
  <c r="CW355" i="1"/>
  <c r="CR355" i="1" s="1"/>
  <c r="CW301" i="1"/>
  <c r="CW245" i="1"/>
  <c r="CR245" i="1" s="1"/>
  <c r="CW318" i="1"/>
  <c r="CW38" i="1"/>
  <c r="CR38" i="1" s="1"/>
  <c r="CW289" i="1"/>
  <c r="CW156" i="1"/>
  <c r="CR156" i="1" s="1"/>
  <c r="CW277" i="1"/>
  <c r="CR277" i="1" s="1"/>
  <c r="CW168" i="1"/>
  <c r="CR168" i="1" s="1"/>
  <c r="CW162" i="1"/>
  <c r="CR162" i="1" s="1"/>
  <c r="CW66" i="1"/>
  <c r="CR66" i="1" s="1"/>
  <c r="CW40" i="1"/>
  <c r="CR40" i="1" s="1"/>
  <c r="CW36" i="1"/>
  <c r="CR36" i="1" s="1"/>
  <c r="CW158" i="1"/>
  <c r="CW330" i="1"/>
  <c r="CR330" i="1" s="1"/>
  <c r="CW236" i="1"/>
  <c r="CR236" i="1" s="1"/>
  <c r="CW45" i="1"/>
  <c r="CW338" i="1"/>
  <c r="CR338" i="1" s="1"/>
  <c r="CW42" i="1"/>
  <c r="CR42" i="1" s="1"/>
  <c r="CW54" i="1"/>
  <c r="CR54" i="1" s="1"/>
  <c r="CW44" i="1"/>
  <c r="CW39" i="1"/>
  <c r="CR39" i="1" s="1"/>
  <c r="CW37" i="1"/>
  <c r="CW46" i="1"/>
  <c r="CW43" i="1"/>
  <c r="CR43" i="1" s="1"/>
  <c r="CR5" i="1" l="1"/>
  <c r="BF33" i="10" s="1"/>
  <c r="BV31" i="10" l="1"/>
  <c r="BJ45" i="10"/>
  <c r="A24" i="10"/>
  <c r="BF34" i="10" s="1"/>
  <c r="A26" i="10" l="1"/>
  <c r="BJ44" i="10"/>
  <c r="B26" i="10"/>
  <c r="B27" i="10"/>
  <c r="B28" i="10"/>
  <c r="B29" i="10"/>
  <c r="B30" i="10"/>
  <c r="B31" i="10"/>
  <c r="B32" i="10"/>
  <c r="B34" i="10"/>
  <c r="B35" i="10"/>
  <c r="BJ27" i="10"/>
  <c r="BF35" i="10"/>
  <c r="BH35" i="10" s="1"/>
  <c r="BQ26" i="10" l="1"/>
  <c r="A27" i="10"/>
  <c r="B36" i="10"/>
  <c r="BI35" i="10"/>
  <c r="BQ27" i="10" l="1"/>
  <c r="A28" i="10"/>
  <c r="CV26" i="10"/>
  <c r="CO26" i="10"/>
  <c r="DD26" i="10"/>
  <c r="CS26" i="10"/>
  <c r="DA26" i="10"/>
  <c r="CP26" i="10"/>
  <c r="DN26" i="10"/>
  <c r="DL26" i="10"/>
  <c r="CX26" i="10"/>
  <c r="DG26" i="10"/>
  <c r="CQ26" i="10"/>
  <c r="BT26" i="10"/>
  <c r="W26" i="10"/>
  <c r="DH26" i="10"/>
  <c r="L26" i="10"/>
  <c r="DI26" i="10"/>
  <c r="N26" i="10"/>
  <c r="DM26" i="10"/>
  <c r="DC26" i="10"/>
  <c r="Q26" i="10"/>
  <c r="DK26" i="10"/>
  <c r="DF26" i="10"/>
  <c r="CW26" i="10"/>
  <c r="CZ26" i="10"/>
  <c r="R26" i="10"/>
  <c r="BS26" i="10"/>
  <c r="M26" i="10"/>
  <c r="K26" i="10"/>
  <c r="BR26" i="10" s="1"/>
  <c r="CY26" i="10"/>
  <c r="CN26" i="10"/>
  <c r="DB26" i="10"/>
  <c r="BU26" i="10"/>
  <c r="DE26" i="10"/>
  <c r="CT26" i="10"/>
  <c r="I26" i="10"/>
  <c r="P26" i="10"/>
  <c r="CR26" i="10"/>
  <c r="CU26" i="10"/>
  <c r="DJ26" i="10"/>
  <c r="GK26" i="10" l="1"/>
  <c r="FP26" i="10"/>
  <c r="EW26" i="10"/>
  <c r="EA26" i="10"/>
  <c r="FY26" i="10"/>
  <c r="FT26" i="10"/>
  <c r="FB26" i="10"/>
  <c r="FZ26" i="10"/>
  <c r="GD26" i="10"/>
  <c r="EX26" i="10"/>
  <c r="FN26" i="10"/>
  <c r="FR26" i="10"/>
  <c r="ET26" i="10"/>
  <c r="EZ26" i="10"/>
  <c r="DU26" i="10"/>
  <c r="DX26" i="10"/>
  <c r="FX26" i="10"/>
  <c r="EV26" i="10"/>
  <c r="FG26" i="10"/>
  <c r="DS26" i="10"/>
  <c r="FE26" i="10"/>
  <c r="FD26" i="10"/>
  <c r="FM26" i="10"/>
  <c r="DV26" i="10"/>
  <c r="DW26" i="10"/>
  <c r="DY26" i="10"/>
  <c r="FK26" i="10"/>
  <c r="DT26" i="10"/>
  <c r="ES26" i="10"/>
  <c r="FV26" i="10"/>
  <c r="DZ26" i="10"/>
  <c r="GA26" i="10"/>
  <c r="FI26" i="10"/>
  <c r="FF26" i="10"/>
  <c r="GJ26" i="10"/>
  <c r="GE26" i="10"/>
  <c r="EU26" i="10"/>
  <c r="FO26" i="10"/>
  <c r="EY26" i="10"/>
  <c r="GH26" i="10"/>
  <c r="FA26" i="10"/>
  <c r="GC26" i="10"/>
  <c r="FQ26" i="10"/>
  <c r="DR26" i="10"/>
  <c r="FU26" i="10"/>
  <c r="FH26" i="10"/>
  <c r="FW26" i="10"/>
  <c r="FS26" i="10"/>
  <c r="FJ26" i="10"/>
  <c r="GG26" i="10"/>
  <c r="GF26" i="10"/>
  <c r="DQ26" i="10"/>
  <c r="FC26" i="10"/>
  <c r="GB26" i="10"/>
  <c r="ER26" i="10"/>
  <c r="FL26" i="10"/>
  <c r="EB26" i="10"/>
  <c r="GI26" i="10"/>
  <c r="EH26" i="10"/>
  <c r="ED26" i="10"/>
  <c r="EF26" i="10"/>
  <c r="EJ26" i="10"/>
  <c r="EE26" i="10"/>
  <c r="EN26" i="10"/>
  <c r="EM26" i="10"/>
  <c r="EC26" i="10"/>
  <c r="EG26" i="10"/>
  <c r="EK26" i="10"/>
  <c r="EI26" i="10"/>
  <c r="EL26" i="10"/>
  <c r="S26" i="10" a="1"/>
  <c r="S26" i="10" s="1"/>
  <c r="U26" i="10"/>
  <c r="V26" i="10"/>
  <c r="BQ28" i="10"/>
  <c r="A29" i="10"/>
  <c r="AW26" i="10"/>
  <c r="Z26" i="10"/>
  <c r="AS26" i="10"/>
  <c r="Y26" i="10"/>
  <c r="AI26" i="10"/>
  <c r="AZ26" i="10"/>
  <c r="AA26" i="10"/>
  <c r="AK26" i="10"/>
  <c r="AL26" i="10"/>
  <c r="AO26" i="10"/>
  <c r="AU26" i="10"/>
  <c r="AH26" i="10"/>
  <c r="BA26" i="10"/>
  <c r="AN26" i="10"/>
  <c r="AP26" i="10"/>
  <c r="AQ26" i="10"/>
  <c r="AT26" i="10"/>
  <c r="AJ26" i="10"/>
  <c r="BC26" i="10"/>
  <c r="BB26" i="10"/>
  <c r="AM26" i="10"/>
  <c r="AE26" i="10"/>
  <c r="AC26" i="10"/>
  <c r="AX26" i="10"/>
  <c r="AV26" i="10"/>
  <c r="AY26" i="10"/>
  <c r="AG26" i="10"/>
  <c r="AB26" i="10"/>
  <c r="AD26" i="10"/>
  <c r="AR26" i="10"/>
  <c r="AF26" i="10"/>
  <c r="Q27" i="10"/>
  <c r="CO27" i="10"/>
  <c r="DE27" i="10"/>
  <c r="N27" i="10"/>
  <c r="R27" i="10"/>
  <c r="DI27" i="10"/>
  <c r="DJ27" i="10"/>
  <c r="CS27" i="10"/>
  <c r="CQ27" i="10"/>
  <c r="DF27" i="10"/>
  <c r="BU27" i="10"/>
  <c r="DA27" i="10"/>
  <c r="CZ27" i="10"/>
  <c r="CR27" i="10"/>
  <c r="CN27" i="10"/>
  <c r="I27" i="10"/>
  <c r="DB27" i="10"/>
  <c r="W27" i="10"/>
  <c r="CW27" i="10"/>
  <c r="CP27" i="10"/>
  <c r="CV27" i="10"/>
  <c r="BT27" i="10"/>
  <c r="DH27" i="10"/>
  <c r="DC27" i="10"/>
  <c r="K27" i="10"/>
  <c r="DN27" i="10"/>
  <c r="DG27" i="10"/>
  <c r="DD27" i="10"/>
  <c r="DL27" i="10"/>
  <c r="DK27" i="10"/>
  <c r="CU27" i="10"/>
  <c r="CT27" i="10"/>
  <c r="CY27" i="10"/>
  <c r="P27" i="10"/>
  <c r="L27" i="10"/>
  <c r="DM27" i="10"/>
  <c r="M27" i="10"/>
  <c r="CX27" i="10"/>
  <c r="BS27" i="10"/>
  <c r="BR27" i="10" l="1"/>
  <c r="EE27" i="10"/>
  <c r="EN27" i="10"/>
  <c r="ED27" i="10"/>
  <c r="EK27" i="10"/>
  <c r="EJ27" i="10"/>
  <c r="EL27" i="10"/>
  <c r="EG27" i="10"/>
  <c r="EC27" i="10"/>
  <c r="EF27" i="10"/>
  <c r="EH27" i="10"/>
  <c r="EI27" i="10"/>
  <c r="EM27" i="10"/>
  <c r="A30" i="10"/>
  <c r="BQ29" i="10"/>
  <c r="CW28" i="10"/>
  <c r="DG28" i="10"/>
  <c r="DD28" i="10"/>
  <c r="DE28" i="10"/>
  <c r="CN28" i="10"/>
  <c r="CT28" i="10"/>
  <c r="CQ28" i="10"/>
  <c r="CZ28" i="10"/>
  <c r="BS28" i="10"/>
  <c r="DI28" i="10"/>
  <c r="BT28" i="10"/>
  <c r="N28" i="10"/>
  <c r="CO28" i="10"/>
  <c r="CP28" i="10"/>
  <c r="DJ28" i="10"/>
  <c r="I28" i="10"/>
  <c r="CS28" i="10"/>
  <c r="DL28" i="10"/>
  <c r="P28" i="10"/>
  <c r="DC28" i="10"/>
  <c r="Q28" i="10"/>
  <c r="R28" i="10"/>
  <c r="DN28" i="10"/>
  <c r="M28" i="10"/>
  <c r="K28" i="10"/>
  <c r="W28" i="10"/>
  <c r="DF28" i="10"/>
  <c r="CX28" i="10"/>
  <c r="L28" i="10"/>
  <c r="CV28" i="10"/>
  <c r="DM28" i="10"/>
  <c r="DH28" i="10"/>
  <c r="CU28" i="10"/>
  <c r="DA28" i="10"/>
  <c r="CY28" i="10"/>
  <c r="DK28" i="10"/>
  <c r="DB28" i="10"/>
  <c r="BU28" i="10"/>
  <c r="CR28" i="10"/>
  <c r="GE27" i="10"/>
  <c r="GB27" i="10"/>
  <c r="EZ27" i="10"/>
  <c r="FD27" i="10"/>
  <c r="FR27" i="10"/>
  <c r="FZ27" i="10"/>
  <c r="FK27" i="10"/>
  <c r="GA27" i="10"/>
  <c r="FP27" i="10"/>
  <c r="GI27" i="10"/>
  <c r="EA27" i="10"/>
  <c r="EB27" i="10"/>
  <c r="FF27" i="10"/>
  <c r="FL27" i="10"/>
  <c r="EW27" i="10"/>
  <c r="EU27" i="10"/>
  <c r="GK27" i="10"/>
  <c r="FJ27" i="10"/>
  <c r="FU27" i="10"/>
  <c r="FI27" i="10"/>
  <c r="GD27" i="10"/>
  <c r="FA27" i="10"/>
  <c r="ER27" i="10"/>
  <c r="GH27" i="10"/>
  <c r="FY27" i="10"/>
  <c r="FQ27" i="10"/>
  <c r="DU27" i="10"/>
  <c r="FO27" i="10"/>
  <c r="DS27" i="10"/>
  <c r="FH27" i="10"/>
  <c r="GG27" i="10"/>
  <c r="DT27" i="10"/>
  <c r="FX27" i="10"/>
  <c r="FW27" i="10"/>
  <c r="DQ27" i="10"/>
  <c r="DR27" i="10"/>
  <c r="FM27" i="10"/>
  <c r="GJ27" i="10"/>
  <c r="ES27" i="10"/>
  <c r="EX27" i="10"/>
  <c r="GC27" i="10"/>
  <c r="DV27" i="10"/>
  <c r="EV27" i="10"/>
  <c r="FB27" i="10"/>
  <c r="DX27" i="10"/>
  <c r="FS27" i="10"/>
  <c r="DY27" i="10"/>
  <c r="FN27" i="10"/>
  <c r="DZ27" i="10"/>
  <c r="FE27" i="10"/>
  <c r="EY27" i="10"/>
  <c r="FC27" i="10"/>
  <c r="FG27" i="10"/>
  <c r="GF27" i="10"/>
  <c r="FV27" i="10"/>
  <c r="ET27" i="10"/>
  <c r="FT27" i="10"/>
  <c r="DW27" i="10"/>
  <c r="AW27" i="10"/>
  <c r="AE27" i="10"/>
  <c r="AP27" i="10"/>
  <c r="AI27" i="10"/>
  <c r="AT27" i="10"/>
  <c r="AS27" i="10"/>
  <c r="AA27" i="10"/>
  <c r="AJ27" i="10"/>
  <c r="Y27" i="10"/>
  <c r="AC27" i="10"/>
  <c r="AD27" i="10"/>
  <c r="AQ27" i="10"/>
  <c r="AK27" i="10"/>
  <c r="AL27" i="10"/>
  <c r="AY27" i="10"/>
  <c r="AG27" i="10"/>
  <c r="BC27" i="10"/>
  <c r="Z27" i="10"/>
  <c r="AX27" i="10"/>
  <c r="AB27" i="10"/>
  <c r="AM27" i="10"/>
  <c r="AV27" i="10"/>
  <c r="AF27" i="10"/>
  <c r="AO27" i="10"/>
  <c r="AU27" i="10"/>
  <c r="AN27" i="10"/>
  <c r="BB27" i="10"/>
  <c r="AH27" i="10"/>
  <c r="BA27" i="10"/>
  <c r="AR27" i="10"/>
  <c r="AZ27" i="10"/>
  <c r="S27" i="10" a="1"/>
  <c r="S27" i="10" s="1"/>
  <c r="V27" i="10"/>
  <c r="U27" i="10"/>
  <c r="EI28" i="10" l="1"/>
  <c r="EC28" i="10"/>
  <c r="EL28" i="10"/>
  <c r="EG28" i="10"/>
  <c r="EM28" i="10"/>
  <c r="EF28" i="10"/>
  <c r="EJ28" i="10"/>
  <c r="EH28" i="10"/>
  <c r="EE28" i="10"/>
  <c r="EN28" i="10"/>
  <c r="EK28" i="10"/>
  <c r="ED28" i="10"/>
  <c r="DC29" i="10"/>
  <c r="DB29" i="10"/>
  <c r="CV29" i="10"/>
  <c r="BS29" i="10"/>
  <c r="N29" i="10"/>
  <c r="M29" i="10"/>
  <c r="CP29" i="10"/>
  <c r="CY29" i="10"/>
  <c r="DN29" i="10"/>
  <c r="CQ29" i="10"/>
  <c r="CZ29" i="10"/>
  <c r="DI29" i="10"/>
  <c r="CO29" i="10"/>
  <c r="BU29" i="10"/>
  <c r="CN29" i="10"/>
  <c r="P29" i="10"/>
  <c r="Q29" i="10"/>
  <c r="DE29" i="10"/>
  <c r="CS29" i="10"/>
  <c r="CU29" i="10"/>
  <c r="CT29" i="10"/>
  <c r="CW29" i="10"/>
  <c r="DF29" i="10"/>
  <c r="DM29" i="10"/>
  <c r="L29" i="10"/>
  <c r="DA29" i="10"/>
  <c r="I29" i="10"/>
  <c r="DL29" i="10"/>
  <c r="W29" i="10"/>
  <c r="DG29" i="10"/>
  <c r="DD29" i="10"/>
  <c r="CX29" i="10"/>
  <c r="DH29" i="10"/>
  <c r="BT29" i="10"/>
  <c r="DJ29" i="10"/>
  <c r="DK29" i="10"/>
  <c r="K29" i="10"/>
  <c r="R29" i="10"/>
  <c r="CR29" i="10"/>
  <c r="BQ30" i="10"/>
  <c r="A31" i="10"/>
  <c r="S28" i="10" a="1"/>
  <c r="S28" i="10" s="1"/>
  <c r="V28" i="10"/>
  <c r="U28" i="10"/>
  <c r="BR28" i="10"/>
  <c r="AX28" i="10"/>
  <c r="AK28" i="10"/>
  <c r="AT28" i="10"/>
  <c r="Z28" i="10"/>
  <c r="AZ28" i="10"/>
  <c r="AP28" i="10"/>
  <c r="AW28" i="10"/>
  <c r="AC28" i="10"/>
  <c r="BA28" i="10"/>
  <c r="AL28" i="10"/>
  <c r="AR28" i="10"/>
  <c r="AQ28" i="10"/>
  <c r="AG28" i="10"/>
  <c r="AI28" i="10"/>
  <c r="AV28" i="10"/>
  <c r="AO28" i="10"/>
  <c r="AM28" i="10"/>
  <c r="BB28" i="10"/>
  <c r="AJ28" i="10"/>
  <c r="AD28" i="10"/>
  <c r="AB28" i="10"/>
  <c r="AA28" i="10"/>
  <c r="AN28" i="10"/>
  <c r="AF28" i="10"/>
  <c r="Y28" i="10"/>
  <c r="BC28" i="10"/>
  <c r="AE28" i="10"/>
  <c r="AY28" i="10"/>
  <c r="AU28" i="10"/>
  <c r="AS28" i="10"/>
  <c r="AH28" i="10"/>
  <c r="FW28" i="10"/>
  <c r="FY28" i="10"/>
  <c r="FN28" i="10"/>
  <c r="GI28" i="10"/>
  <c r="FD28" i="10"/>
  <c r="GJ28" i="10"/>
  <c r="FE28" i="10"/>
  <c r="DY28" i="10"/>
  <c r="GE28" i="10"/>
  <c r="FC28" i="10"/>
  <c r="DQ28" i="10"/>
  <c r="DV28" i="10"/>
  <c r="EA28" i="10"/>
  <c r="EX28" i="10"/>
  <c r="ET28" i="10"/>
  <c r="FM28" i="10"/>
  <c r="GD28" i="10"/>
  <c r="FF28" i="10"/>
  <c r="FB28" i="10"/>
  <c r="FZ28" i="10"/>
  <c r="DS28" i="10"/>
  <c r="DU28" i="10"/>
  <c r="FJ28" i="10"/>
  <c r="GC28" i="10"/>
  <c r="FR28" i="10"/>
  <c r="FA28" i="10"/>
  <c r="GB28" i="10"/>
  <c r="GG28" i="10"/>
  <c r="DR28" i="10"/>
  <c r="ER28" i="10"/>
  <c r="DZ28" i="10"/>
  <c r="FK28" i="10"/>
  <c r="FX28" i="10"/>
  <c r="DT28" i="10"/>
  <c r="GA28" i="10"/>
  <c r="GH28" i="10"/>
  <c r="GK28" i="10"/>
  <c r="FL28" i="10"/>
  <c r="ES28" i="10"/>
  <c r="EV28" i="10"/>
  <c r="DW28" i="10"/>
  <c r="EZ28" i="10"/>
  <c r="FT28" i="10"/>
  <c r="FP28" i="10"/>
  <c r="EW28" i="10"/>
  <c r="FS28" i="10"/>
  <c r="DX28" i="10"/>
  <c r="FV28" i="10"/>
  <c r="EU28" i="10"/>
  <c r="FQ28" i="10"/>
  <c r="EY28" i="10"/>
  <c r="FI28" i="10"/>
  <c r="FO28" i="10"/>
  <c r="GF28" i="10"/>
  <c r="FG28" i="10"/>
  <c r="FH28" i="10"/>
  <c r="FU28" i="10"/>
  <c r="EB28" i="10"/>
  <c r="AN29" i="10" l="1"/>
  <c r="AS29" i="10"/>
  <c r="AG29" i="10"/>
  <c r="AO29" i="10"/>
  <c r="AM29" i="10"/>
  <c r="AH29" i="10"/>
  <c r="AW29" i="10"/>
  <c r="AC29" i="10"/>
  <c r="AV29" i="10"/>
  <c r="AA29" i="10"/>
  <c r="Y29" i="10"/>
  <c r="AP29" i="10"/>
  <c r="AX29" i="10"/>
  <c r="AF29" i="10"/>
  <c r="AY29" i="10"/>
  <c r="AE29" i="10"/>
  <c r="Z29" i="10"/>
  <c r="AB29" i="10"/>
  <c r="AU29" i="10"/>
  <c r="AQ29" i="10"/>
  <c r="AK29" i="10"/>
  <c r="AI29" i="10"/>
  <c r="BC29" i="10"/>
  <c r="AR29" i="10"/>
  <c r="AT29" i="10"/>
  <c r="AZ29" i="10"/>
  <c r="AD29" i="10"/>
  <c r="AL29" i="10"/>
  <c r="BA29" i="10"/>
  <c r="BB29" i="10"/>
  <c r="AJ29" i="10"/>
  <c r="S29" i="10" a="1"/>
  <c r="S29" i="10" s="1"/>
  <c r="V29" i="10"/>
  <c r="U29" i="10"/>
  <c r="EF29" i="10"/>
  <c r="EI29" i="10"/>
  <c r="EK29" i="10"/>
  <c r="EL29" i="10"/>
  <c r="EN29" i="10"/>
  <c r="EM29" i="10"/>
  <c r="EG29" i="10"/>
  <c r="EJ29" i="10"/>
  <c r="EC29" i="10"/>
  <c r="EE29" i="10"/>
  <c r="EH29" i="10"/>
  <c r="ED29" i="10"/>
  <c r="GF29" i="10"/>
  <c r="DZ29" i="10"/>
  <c r="FX29" i="10"/>
  <c r="EY29" i="10"/>
  <c r="GH29" i="10"/>
  <c r="FC29" i="10"/>
  <c r="FW29" i="10"/>
  <c r="EX29" i="10"/>
  <c r="DQ29" i="10"/>
  <c r="FL29" i="10"/>
  <c r="FO29" i="10"/>
  <c r="FJ29" i="10"/>
  <c r="ET29" i="10"/>
  <c r="GI29" i="10"/>
  <c r="ER29" i="10"/>
  <c r="GK29" i="10"/>
  <c r="DR29" i="10"/>
  <c r="GG29" i="10"/>
  <c r="FU29" i="10"/>
  <c r="GB29" i="10"/>
  <c r="FM29" i="10"/>
  <c r="FH29" i="10"/>
  <c r="FD29" i="10"/>
  <c r="FN29" i="10"/>
  <c r="FZ29" i="10"/>
  <c r="GA29" i="10"/>
  <c r="FQ29" i="10"/>
  <c r="FE29" i="10"/>
  <c r="EA29" i="10"/>
  <c r="DY29" i="10"/>
  <c r="DX29" i="10"/>
  <c r="GD29" i="10"/>
  <c r="FB29" i="10"/>
  <c r="GE29" i="10"/>
  <c r="EU29" i="10"/>
  <c r="DS29" i="10"/>
  <c r="DT29" i="10"/>
  <c r="EW29" i="10"/>
  <c r="FK29" i="10"/>
  <c r="GJ29" i="10"/>
  <c r="EB29" i="10"/>
  <c r="EV29" i="10"/>
  <c r="FI29" i="10"/>
  <c r="FS29" i="10"/>
  <c r="GC29" i="10"/>
  <c r="DV29" i="10"/>
  <c r="FR29" i="10"/>
  <c r="DW29" i="10"/>
  <c r="FV29" i="10"/>
  <c r="ES29" i="10"/>
  <c r="FP29" i="10"/>
  <c r="DU29" i="10"/>
  <c r="FF29" i="10"/>
  <c r="FT29" i="10"/>
  <c r="EZ29" i="10"/>
  <c r="FY29" i="10"/>
  <c r="FA29" i="10"/>
  <c r="FG29" i="10"/>
  <c r="BQ31" i="10"/>
  <c r="A32" i="10"/>
  <c r="DL30" i="10"/>
  <c r="CN30" i="10"/>
  <c r="CW30" i="10"/>
  <c r="DE30" i="10"/>
  <c r="DJ30" i="10"/>
  <c r="BS30" i="10"/>
  <c r="CQ30" i="10"/>
  <c r="CR30" i="10"/>
  <c r="R30" i="10"/>
  <c r="L30" i="10"/>
  <c r="CS30" i="10"/>
  <c r="DF30" i="10"/>
  <c r="DI30" i="10"/>
  <c r="CV30" i="10"/>
  <c r="W30" i="10"/>
  <c r="DM30" i="10"/>
  <c r="DK30" i="10"/>
  <c r="CT30" i="10"/>
  <c r="DH30" i="10"/>
  <c r="CX30" i="10"/>
  <c r="DC30" i="10"/>
  <c r="P30" i="10"/>
  <c r="BU30" i="10"/>
  <c r="DN30" i="10"/>
  <c r="I30" i="10"/>
  <c r="CO30" i="10"/>
  <c r="DD30" i="10"/>
  <c r="Q30" i="10"/>
  <c r="K30" i="10"/>
  <c r="CZ30" i="10"/>
  <c r="N30" i="10"/>
  <c r="BT30" i="10"/>
  <c r="CU30" i="10"/>
  <c r="DB30" i="10"/>
  <c r="DG30" i="10"/>
  <c r="DA30" i="10"/>
  <c r="CP30" i="10"/>
  <c r="CY30" i="10"/>
  <c r="M30" i="10"/>
  <c r="BR29" i="10"/>
  <c r="BR30" i="10" l="1"/>
  <c r="CU31" i="10"/>
  <c r="BT31" i="10"/>
  <c r="BU31" i="10"/>
  <c r="DB31" i="10"/>
  <c r="CQ31" i="10"/>
  <c r="DA31" i="10"/>
  <c r="CS31" i="10"/>
  <c r="M31" i="10"/>
  <c r="CT31" i="10"/>
  <c r="P31" i="10"/>
  <c r="W31" i="10"/>
  <c r="DN31" i="10"/>
  <c r="DM31" i="10"/>
  <c r="BS31" i="10"/>
  <c r="DI31" i="10"/>
  <c r="CY31" i="10"/>
  <c r="DD31" i="10"/>
  <c r="DJ31" i="10"/>
  <c r="DL31" i="10"/>
  <c r="I31" i="10"/>
  <c r="DF31" i="10"/>
  <c r="CR31" i="10"/>
  <c r="CZ31" i="10"/>
  <c r="DK31" i="10"/>
  <c r="DH31" i="10"/>
  <c r="CX31" i="10"/>
  <c r="L31" i="10"/>
  <c r="Q31" i="10"/>
  <c r="N31" i="10"/>
  <c r="CV31" i="10"/>
  <c r="DC31" i="10"/>
  <c r="CW31" i="10"/>
  <c r="R31" i="10"/>
  <c r="CO31" i="10"/>
  <c r="K31" i="10"/>
  <c r="CN31" i="10"/>
  <c r="DE31" i="10"/>
  <c r="CP31" i="10"/>
  <c r="DG31" i="10"/>
  <c r="AP30" i="10"/>
  <c r="AU30" i="10"/>
  <c r="AW30" i="10"/>
  <c r="AC30" i="10"/>
  <c r="AD30" i="10"/>
  <c r="AX30" i="10"/>
  <c r="BA30" i="10"/>
  <c r="AV30" i="10"/>
  <c r="BB30" i="10"/>
  <c r="AQ30" i="10"/>
  <c r="AR30" i="10"/>
  <c r="AB30" i="10"/>
  <c r="Z30" i="10"/>
  <c r="Y30" i="10"/>
  <c r="AM30" i="10"/>
  <c r="AN30" i="10"/>
  <c r="AG30" i="10"/>
  <c r="AK30" i="10"/>
  <c r="AA30" i="10"/>
  <c r="AJ30" i="10"/>
  <c r="AE30" i="10"/>
  <c r="AO30" i="10"/>
  <c r="AL30" i="10"/>
  <c r="AY30" i="10"/>
  <c r="AF30" i="10"/>
  <c r="AZ30" i="10"/>
  <c r="AH30" i="10"/>
  <c r="AI30" i="10"/>
  <c r="BC30" i="10"/>
  <c r="AS30" i="10"/>
  <c r="AT30" i="10"/>
  <c r="S30" i="10" a="1"/>
  <c r="S30" i="10" s="1"/>
  <c r="V30" i="10"/>
  <c r="U30" i="10"/>
  <c r="A33" i="10"/>
  <c r="BQ32" i="10"/>
  <c r="EM30" i="10"/>
  <c r="EE30" i="10"/>
  <c r="EN30" i="10"/>
  <c r="EG30" i="10"/>
  <c r="EL30" i="10"/>
  <c r="ED30" i="10"/>
  <c r="EF30" i="10"/>
  <c r="EJ30" i="10"/>
  <c r="EK30" i="10"/>
  <c r="EH30" i="10"/>
  <c r="EI30" i="10"/>
  <c r="EC30" i="10"/>
  <c r="DQ30" i="10"/>
  <c r="FC30" i="10"/>
  <c r="GA30" i="10"/>
  <c r="EY30" i="10"/>
  <c r="FQ30" i="10"/>
  <c r="DV30" i="10"/>
  <c r="FG30" i="10"/>
  <c r="GI30" i="10"/>
  <c r="EX30" i="10"/>
  <c r="GK30" i="10"/>
  <c r="EW30" i="10"/>
  <c r="FW30" i="10"/>
  <c r="FS30" i="10"/>
  <c r="DS30" i="10"/>
  <c r="ER30" i="10"/>
  <c r="FF30" i="10"/>
  <c r="DX30" i="10"/>
  <c r="GC30" i="10"/>
  <c r="DZ30" i="10"/>
  <c r="FY30" i="10"/>
  <c r="FL30" i="10"/>
  <c r="GJ30" i="10"/>
  <c r="FA30" i="10"/>
  <c r="FT30" i="10"/>
  <c r="DU30" i="10"/>
  <c r="DY30" i="10"/>
  <c r="GE30" i="10"/>
  <c r="FN30" i="10"/>
  <c r="FR30" i="10"/>
  <c r="DR30" i="10"/>
  <c r="FX30" i="10"/>
  <c r="FP30" i="10"/>
  <c r="EU30" i="10"/>
  <c r="EB30" i="10"/>
  <c r="FK30" i="10"/>
  <c r="EZ30" i="10"/>
  <c r="ES30" i="10"/>
  <c r="GF30" i="10"/>
  <c r="FZ30" i="10"/>
  <c r="FD30" i="10"/>
  <c r="FM30" i="10"/>
  <c r="FI30" i="10"/>
  <c r="EV30" i="10"/>
  <c r="FU30" i="10"/>
  <c r="FB30" i="10"/>
  <c r="GB30" i="10"/>
  <c r="EA30" i="10"/>
  <c r="GD30" i="10"/>
  <c r="FO30" i="10"/>
  <c r="FH30" i="10"/>
  <c r="ET30" i="10"/>
  <c r="FJ30" i="10"/>
  <c r="GH30" i="10"/>
  <c r="FE30" i="10"/>
  <c r="GG30" i="10"/>
  <c r="DW30" i="10"/>
  <c r="DT30" i="10"/>
  <c r="FV30" i="10"/>
  <c r="AP31" i="10" l="1"/>
  <c r="AZ31" i="10"/>
  <c r="AI31" i="10"/>
  <c r="Z31" i="10"/>
  <c r="BB31" i="10"/>
  <c r="AS31" i="10"/>
  <c r="AE31" i="10"/>
  <c r="AC31" i="10"/>
  <c r="AU31" i="10"/>
  <c r="AF31" i="10"/>
  <c r="BA31" i="10"/>
  <c r="AN31" i="10"/>
  <c r="AV31" i="10"/>
  <c r="AW31" i="10"/>
  <c r="AR31" i="10"/>
  <c r="AD31" i="10"/>
  <c r="AM31" i="10"/>
  <c r="AK31" i="10"/>
  <c r="AJ31" i="10"/>
  <c r="Y31" i="10"/>
  <c r="AG31" i="10"/>
  <c r="AQ31" i="10"/>
  <c r="AA31" i="10"/>
  <c r="AL31" i="10"/>
  <c r="AY31" i="10"/>
  <c r="AO31" i="10"/>
  <c r="AT31" i="10"/>
  <c r="AB31" i="10"/>
  <c r="AH31" i="10"/>
  <c r="AX31" i="10"/>
  <c r="BC31" i="10"/>
  <c r="CY32" i="10"/>
  <c r="DA32" i="10"/>
  <c r="W32" i="10"/>
  <c r="CZ32" i="10"/>
  <c r="M32" i="10"/>
  <c r="DM32" i="10"/>
  <c r="I32" i="10"/>
  <c r="DG32" i="10"/>
  <c r="CN32" i="10"/>
  <c r="CR32" i="10"/>
  <c r="DN32" i="10"/>
  <c r="CX32" i="10"/>
  <c r="DD32" i="10"/>
  <c r="CT32" i="10"/>
  <c r="DL32" i="10"/>
  <c r="CS32" i="10"/>
  <c r="DI32" i="10"/>
  <c r="DK32" i="10"/>
  <c r="DC32" i="10"/>
  <c r="BS32" i="10"/>
  <c r="L32" i="10"/>
  <c r="BT32" i="10"/>
  <c r="CV32" i="10"/>
  <c r="DF32" i="10"/>
  <c r="DB32" i="10"/>
  <c r="CW32" i="10"/>
  <c r="CO32" i="10"/>
  <c r="K32" i="10"/>
  <c r="BR32" i="10" s="1"/>
  <c r="Q32" i="10"/>
  <c r="DJ32" i="10"/>
  <c r="P32" i="10"/>
  <c r="CQ32" i="10"/>
  <c r="DH32" i="10"/>
  <c r="BU32" i="10"/>
  <c r="DE32" i="10"/>
  <c r="CP32" i="10"/>
  <c r="N32" i="10"/>
  <c r="R32" i="10"/>
  <c r="CU32" i="10"/>
  <c r="FC31" i="10"/>
  <c r="ER31" i="10"/>
  <c r="EV31" i="10"/>
  <c r="DW31" i="10"/>
  <c r="DX31" i="10"/>
  <c r="FS31" i="10"/>
  <c r="FL31" i="10"/>
  <c r="FA31" i="10"/>
  <c r="FB31" i="10"/>
  <c r="GH31" i="10"/>
  <c r="FV31" i="10"/>
  <c r="ES31" i="10"/>
  <c r="GB31" i="10"/>
  <c r="FD31" i="10"/>
  <c r="FI31" i="10"/>
  <c r="DU31" i="10"/>
  <c r="GI31" i="10"/>
  <c r="GJ31" i="10"/>
  <c r="GD31" i="10"/>
  <c r="EB31" i="10"/>
  <c r="DZ31" i="10"/>
  <c r="EX31" i="10"/>
  <c r="GG31" i="10"/>
  <c r="GA31" i="10"/>
  <c r="EW31" i="10"/>
  <c r="EZ31" i="10"/>
  <c r="FQ31" i="10"/>
  <c r="FJ31" i="10"/>
  <c r="GC31" i="10"/>
  <c r="EA31" i="10"/>
  <c r="GF31" i="10"/>
  <c r="FF31" i="10"/>
  <c r="DT31" i="10"/>
  <c r="DR31" i="10"/>
  <c r="FZ31" i="10"/>
  <c r="DS31" i="10"/>
  <c r="FK31" i="10"/>
  <c r="FR31" i="10"/>
  <c r="FT31" i="10"/>
  <c r="FN31" i="10"/>
  <c r="FE31" i="10"/>
  <c r="FG31" i="10"/>
  <c r="FY31" i="10"/>
  <c r="FX31" i="10"/>
  <c r="DQ31" i="10"/>
  <c r="GK31" i="10"/>
  <c r="GE31" i="10"/>
  <c r="DV31" i="10"/>
  <c r="ET31" i="10"/>
  <c r="FM31" i="10"/>
  <c r="EY31" i="10"/>
  <c r="FO31" i="10"/>
  <c r="FH31" i="10"/>
  <c r="FU31" i="10"/>
  <c r="EU31" i="10"/>
  <c r="FW31" i="10"/>
  <c r="FP31" i="10"/>
  <c r="DY31" i="10"/>
  <c r="ED31" i="10"/>
  <c r="EK31" i="10"/>
  <c r="EF31" i="10"/>
  <c r="EC31" i="10"/>
  <c r="EH31" i="10"/>
  <c r="EI31" i="10"/>
  <c r="EE31" i="10"/>
  <c r="EG31" i="10"/>
  <c r="EJ31" i="10"/>
  <c r="EN31" i="10"/>
  <c r="EM31" i="10"/>
  <c r="EL31" i="10"/>
  <c r="A34" i="10"/>
  <c r="BQ33" i="10"/>
  <c r="BR31" i="10"/>
  <c r="S31" i="10" a="1"/>
  <c r="S31" i="10" s="1"/>
  <c r="U31" i="10"/>
  <c r="V31" i="10"/>
  <c r="DC33" i="10" l="1"/>
  <c r="CX33" i="10"/>
  <c r="R33" i="10"/>
  <c r="CS33" i="10"/>
  <c r="DI33" i="10"/>
  <c r="DJ33" i="10"/>
  <c r="I33" i="10"/>
  <c r="Q33" i="10"/>
  <c r="W33" i="10"/>
  <c r="DL33" i="10"/>
  <c r="DE33" i="10"/>
  <c r="N33" i="10"/>
  <c r="M33" i="10"/>
  <c r="CT33" i="10"/>
  <c r="DA33" i="10"/>
  <c r="CR33" i="10"/>
  <c r="L33" i="10"/>
  <c r="DB33" i="10"/>
  <c r="CQ33" i="10"/>
  <c r="DN33" i="10"/>
  <c r="DK33" i="10"/>
  <c r="CY33" i="10"/>
  <c r="DG33" i="10"/>
  <c r="CU33" i="10"/>
  <c r="BT33" i="10"/>
  <c r="DD33" i="10"/>
  <c r="DH33" i="10"/>
  <c r="DF33" i="10"/>
  <c r="K33" i="10"/>
  <c r="CV33" i="10"/>
  <c r="DM33" i="10"/>
  <c r="CP33" i="10"/>
  <c r="CN33" i="10"/>
  <c r="CZ33" i="10"/>
  <c r="CW33" i="10"/>
  <c r="P33" i="10"/>
  <c r="BU33" i="10"/>
  <c r="BS33" i="10"/>
  <c r="CO33" i="10"/>
  <c r="FT32" i="10"/>
  <c r="DX32" i="10"/>
  <c r="FR32" i="10"/>
  <c r="EA32" i="10"/>
  <c r="EB32" i="10"/>
  <c r="GF32" i="10"/>
  <c r="DZ32" i="10"/>
  <c r="FH32" i="10"/>
  <c r="FN32" i="10"/>
  <c r="FY32" i="10"/>
  <c r="FL32" i="10"/>
  <c r="FF32" i="10"/>
  <c r="DW32" i="10"/>
  <c r="FO32" i="10"/>
  <c r="ET32" i="10"/>
  <c r="FX32" i="10"/>
  <c r="FS32" i="10"/>
  <c r="FG32" i="10"/>
  <c r="GD32" i="10"/>
  <c r="EU32" i="10"/>
  <c r="FD32" i="10"/>
  <c r="GC32" i="10"/>
  <c r="GH32" i="10"/>
  <c r="FB32" i="10"/>
  <c r="EW32" i="10"/>
  <c r="GB32" i="10"/>
  <c r="FU32" i="10"/>
  <c r="GE32" i="10"/>
  <c r="DQ32" i="10"/>
  <c r="GI32" i="10"/>
  <c r="ER32" i="10"/>
  <c r="GJ32" i="10"/>
  <c r="ES32" i="10"/>
  <c r="FW32" i="10"/>
  <c r="GG32" i="10"/>
  <c r="DS32" i="10"/>
  <c r="DU32" i="10"/>
  <c r="DT32" i="10"/>
  <c r="EV32" i="10"/>
  <c r="GK32" i="10"/>
  <c r="DY32" i="10"/>
  <c r="FE32" i="10"/>
  <c r="DV32" i="10"/>
  <c r="FJ32" i="10"/>
  <c r="FK32" i="10"/>
  <c r="FQ32" i="10"/>
  <c r="EZ32" i="10"/>
  <c r="FM32" i="10"/>
  <c r="EX32" i="10"/>
  <c r="FA32" i="10"/>
  <c r="FZ32" i="10"/>
  <c r="FV32" i="10"/>
  <c r="FI32" i="10"/>
  <c r="GA32" i="10"/>
  <c r="DR32" i="10"/>
  <c r="FP32" i="10"/>
  <c r="EY32" i="10"/>
  <c r="FC32" i="10"/>
  <c r="EK32" i="10"/>
  <c r="EG32" i="10"/>
  <c r="EN32" i="10"/>
  <c r="EJ32" i="10"/>
  <c r="EH32" i="10"/>
  <c r="EE32" i="10"/>
  <c r="ED32" i="10"/>
  <c r="EI32" i="10"/>
  <c r="EC32" i="10"/>
  <c r="EL32" i="10"/>
  <c r="EF32" i="10"/>
  <c r="EM32" i="10"/>
  <c r="S32" i="10" a="1"/>
  <c r="S32" i="10" s="1"/>
  <c r="V32" i="10"/>
  <c r="U32" i="10"/>
  <c r="BQ34" i="10"/>
  <c r="A35" i="10"/>
  <c r="BQ35" i="10" s="1"/>
  <c r="AD32" i="10"/>
  <c r="AW32" i="10"/>
  <c r="AA32" i="10"/>
  <c r="BB32" i="10"/>
  <c r="AG32" i="10"/>
  <c r="AV32" i="10"/>
  <c r="AR32" i="10"/>
  <c r="AU32" i="10"/>
  <c r="AE32" i="10"/>
  <c r="AJ32" i="10"/>
  <c r="AQ32" i="10"/>
  <c r="AM32" i="10"/>
  <c r="AH32" i="10"/>
  <c r="AI32" i="10"/>
  <c r="AY32" i="10"/>
  <c r="AB32" i="10"/>
  <c r="AZ32" i="10"/>
  <c r="AL32" i="10"/>
  <c r="AP32" i="10"/>
  <c r="AS32" i="10"/>
  <c r="AC32" i="10"/>
  <c r="AF32" i="10"/>
  <c r="AK32" i="10"/>
  <c r="AN32" i="10"/>
  <c r="Y32" i="10"/>
  <c r="Z32" i="10"/>
  <c r="AX32" i="10"/>
  <c r="BA32" i="10"/>
  <c r="AO32" i="10"/>
  <c r="BC32" i="10"/>
  <c r="AT32" i="10"/>
  <c r="BR33" i="10" l="1"/>
  <c r="S33" i="10" a="1"/>
  <c r="S33" i="10" s="1"/>
  <c r="V33" i="10"/>
  <c r="U33" i="10"/>
  <c r="ED33" i="10"/>
  <c r="EF33" i="10"/>
  <c r="EH33" i="10"/>
  <c r="EC33" i="10"/>
  <c r="EN33" i="10"/>
  <c r="EG33" i="10"/>
  <c r="EK33" i="10"/>
  <c r="EJ33" i="10"/>
  <c r="EI33" i="10"/>
  <c r="EE33" i="10"/>
  <c r="EL33" i="10"/>
  <c r="EM33" i="10"/>
  <c r="AT33" i="10"/>
  <c r="AG33" i="10"/>
  <c r="Y33" i="10"/>
  <c r="Z33" i="10"/>
  <c r="AK33" i="10"/>
  <c r="AQ33" i="10"/>
  <c r="AL33" i="10"/>
  <c r="AB33" i="10"/>
  <c r="AU33" i="10"/>
  <c r="AD33" i="10"/>
  <c r="AC33" i="10"/>
  <c r="BC33" i="10"/>
  <c r="AS33" i="10"/>
  <c r="AM33" i="10"/>
  <c r="AP33" i="10"/>
  <c r="AV33" i="10"/>
  <c r="AI33" i="10"/>
  <c r="AO33" i="10"/>
  <c r="AR33" i="10"/>
  <c r="AW33" i="10"/>
  <c r="AE33" i="10"/>
  <c r="BA33" i="10"/>
  <c r="AX33" i="10"/>
  <c r="AN33" i="10"/>
  <c r="AJ33" i="10"/>
  <c r="AZ33" i="10"/>
  <c r="BB33" i="10"/>
  <c r="AH33" i="10"/>
  <c r="AY33" i="10"/>
  <c r="AF33" i="10"/>
  <c r="AA33" i="10"/>
  <c r="FD33" i="10"/>
  <c r="EY33" i="10"/>
  <c r="FE33" i="10"/>
  <c r="EV33" i="10"/>
  <c r="EA33" i="10"/>
  <c r="GB33" i="10"/>
  <c r="FQ33" i="10"/>
  <c r="GF33" i="10"/>
  <c r="FG33" i="10"/>
  <c r="DS33" i="10"/>
  <c r="DY33" i="10"/>
  <c r="FO33" i="10"/>
  <c r="FW33" i="10"/>
  <c r="ES33" i="10"/>
  <c r="ER33" i="10"/>
  <c r="EW33" i="10"/>
  <c r="FF33" i="10"/>
  <c r="FL33" i="10"/>
  <c r="DZ33" i="10"/>
  <c r="FN33" i="10"/>
  <c r="FK33" i="10"/>
  <c r="DW33" i="10"/>
  <c r="FC33" i="10"/>
  <c r="FB33" i="10"/>
  <c r="DT33" i="10"/>
  <c r="FZ33" i="10"/>
  <c r="FA33" i="10"/>
  <c r="FV33" i="10"/>
  <c r="DR33" i="10"/>
  <c r="GA33" i="10"/>
  <c r="GC33" i="10"/>
  <c r="GJ33" i="10"/>
  <c r="FS33" i="10"/>
  <c r="FI33" i="10"/>
  <c r="EB33" i="10"/>
  <c r="DX33" i="10"/>
  <c r="FU33" i="10"/>
  <c r="ET33" i="10"/>
  <c r="FX33" i="10"/>
  <c r="FM33" i="10"/>
  <c r="DQ33" i="10"/>
  <c r="FR33" i="10"/>
  <c r="EZ33" i="10"/>
  <c r="FP33" i="10"/>
  <c r="FT33" i="10"/>
  <c r="FH33" i="10"/>
  <c r="GD33" i="10"/>
  <c r="GG33" i="10"/>
  <c r="DU33" i="10"/>
  <c r="GI33" i="10"/>
  <c r="GK33" i="10"/>
  <c r="FJ33" i="10"/>
  <c r="FY33" i="10"/>
  <c r="EU33" i="10"/>
  <c r="EX33" i="10"/>
  <c r="GH33" i="10"/>
  <c r="GE33" i="10"/>
  <c r="DV33" i="10"/>
  <c r="CT35" i="10"/>
  <c r="CZ35" i="10"/>
  <c r="DF35" i="10"/>
  <c r="CP35" i="10"/>
  <c r="CO35" i="10"/>
  <c r="DG35" i="10"/>
  <c r="CS35" i="10"/>
  <c r="P35" i="10"/>
  <c r="DE35" i="10"/>
  <c r="CR35" i="10"/>
  <c r="DK35" i="10"/>
  <c r="CY35" i="10"/>
  <c r="DH35" i="10"/>
  <c r="N35" i="10"/>
  <c r="BS35" i="10"/>
  <c r="DA35" i="10"/>
  <c r="CV35" i="10"/>
  <c r="L35" i="10"/>
  <c r="BF14" i="10" s="1"/>
  <c r="I35" i="10"/>
  <c r="DN35" i="10"/>
  <c r="W35" i="10"/>
  <c r="DC35" i="10"/>
  <c r="CQ35" i="10"/>
  <c r="BT35" i="10"/>
  <c r="K35" i="10"/>
  <c r="DI35" i="10"/>
  <c r="DD35" i="10"/>
  <c r="BU35" i="10"/>
  <c r="DL35" i="10"/>
  <c r="DJ35" i="10"/>
  <c r="Q35" i="10"/>
  <c r="M35" i="10"/>
  <c r="DB35" i="10"/>
  <c r="CN35" i="10"/>
  <c r="CX35" i="10"/>
  <c r="DM35" i="10"/>
  <c r="R35" i="10"/>
  <c r="CU35" i="10"/>
  <c r="CW35" i="10"/>
  <c r="DF34" i="10"/>
  <c r="DK34" i="10"/>
  <c r="CY34" i="10"/>
  <c r="CW34" i="10"/>
  <c r="DG34" i="10"/>
  <c r="DD34" i="10"/>
  <c r="BS34" i="10"/>
  <c r="CV34" i="10"/>
  <c r="CX34" i="10"/>
  <c r="BU34" i="10"/>
  <c r="L34" i="10"/>
  <c r="N34" i="10"/>
  <c r="DM34" i="10"/>
  <c r="DI34" i="10"/>
  <c r="DE34" i="10"/>
  <c r="DH34" i="10"/>
  <c r="CR34" i="10"/>
  <c r="DL34" i="10"/>
  <c r="CN34" i="10"/>
  <c r="R34" i="10"/>
  <c r="P34" i="10"/>
  <c r="CQ34" i="10"/>
  <c r="CS34" i="10"/>
  <c r="M34" i="10"/>
  <c r="K34" i="10"/>
  <c r="CP34" i="10"/>
  <c r="W34" i="10"/>
  <c r="Q34" i="10"/>
  <c r="I34" i="10"/>
  <c r="CZ34" i="10"/>
  <c r="CT34" i="10"/>
  <c r="DN34" i="10"/>
  <c r="CO34" i="10"/>
  <c r="DB34" i="10"/>
  <c r="DJ34" i="10"/>
  <c r="DA34" i="10"/>
  <c r="BT34" i="10"/>
  <c r="DC34" i="10"/>
  <c r="CU34" i="10"/>
  <c r="GK35" i="10" l="1"/>
  <c r="FW35" i="10"/>
  <c r="DS35" i="10"/>
  <c r="FV35" i="10"/>
  <c r="DV35" i="10"/>
  <c r="EB35" i="10"/>
  <c r="EV35" i="10"/>
  <c r="FS35" i="10"/>
  <c r="EY35" i="10"/>
  <c r="DQ35" i="10"/>
  <c r="DU35" i="10"/>
  <c r="FQ35" i="10"/>
  <c r="DZ35" i="10"/>
  <c r="DX35" i="10"/>
  <c r="GJ35" i="10"/>
  <c r="FB35" i="10"/>
  <c r="GD35" i="10"/>
  <c r="FF35" i="10"/>
  <c r="EW35" i="10"/>
  <c r="EZ35" i="10"/>
  <c r="GC35" i="10"/>
  <c r="FU35" i="10"/>
  <c r="FL35" i="10"/>
  <c r="GB35" i="10"/>
  <c r="FR35" i="10"/>
  <c r="FJ35" i="10"/>
  <c r="GF35" i="10"/>
  <c r="GI35" i="10"/>
  <c r="FG35" i="10"/>
  <c r="FD35" i="10"/>
  <c r="ES35" i="10"/>
  <c r="GE35" i="10"/>
  <c r="EX35" i="10"/>
  <c r="FM35" i="10"/>
  <c r="FO35" i="10"/>
  <c r="FK35" i="10"/>
  <c r="FN35" i="10"/>
  <c r="GG35" i="10"/>
  <c r="FZ35" i="10"/>
  <c r="DT35" i="10"/>
  <c r="FI35" i="10"/>
  <c r="DR35" i="10"/>
  <c r="DY35" i="10"/>
  <c r="EA35" i="10"/>
  <c r="GH35" i="10"/>
  <c r="FH35" i="10"/>
  <c r="ER35" i="10"/>
  <c r="FP35" i="10"/>
  <c r="FA35" i="10"/>
  <c r="FE35" i="10"/>
  <c r="FX35" i="10"/>
  <c r="GA35" i="10"/>
  <c r="ET35" i="10"/>
  <c r="DW35" i="10"/>
  <c r="FT35" i="10"/>
  <c r="FC35" i="10"/>
  <c r="FY35" i="10"/>
  <c r="EU35" i="10"/>
  <c r="AN35" i="10"/>
  <c r="BB35" i="10"/>
  <c r="AG35" i="10"/>
  <c r="AO35" i="10"/>
  <c r="AP35" i="10"/>
  <c r="AI35" i="10"/>
  <c r="Y35" i="10"/>
  <c r="AD35" i="10"/>
  <c r="BC35" i="10"/>
  <c r="AQ35" i="10"/>
  <c r="AW35" i="10"/>
  <c r="BA35" i="10"/>
  <c r="AZ35" i="10"/>
  <c r="AK35" i="10"/>
  <c r="AV35" i="10"/>
  <c r="AA35" i="10"/>
  <c r="Z35" i="10"/>
  <c r="AJ35" i="10"/>
  <c r="AM35" i="10"/>
  <c r="AB35" i="10"/>
  <c r="AX35" i="10"/>
  <c r="AE35" i="10"/>
  <c r="AY35" i="10"/>
  <c r="AC35" i="10"/>
  <c r="AT35" i="10"/>
  <c r="AF35" i="10"/>
  <c r="AL35" i="10"/>
  <c r="AR35" i="10"/>
  <c r="AS35" i="10"/>
  <c r="AH35" i="10"/>
  <c r="AU35" i="10"/>
  <c r="AM34" i="10"/>
  <c r="AF34" i="10"/>
  <c r="AD34" i="10"/>
  <c r="AL34" i="10"/>
  <c r="AC34" i="10"/>
  <c r="AZ34" i="10"/>
  <c r="Y34" i="10"/>
  <c r="AE34" i="10"/>
  <c r="AJ34" i="10"/>
  <c r="AR34" i="10"/>
  <c r="Z34" i="10"/>
  <c r="AX34" i="10"/>
  <c r="AQ34" i="10"/>
  <c r="AN34" i="10"/>
  <c r="AB34" i="10"/>
  <c r="AW34" i="10"/>
  <c r="AT34" i="10"/>
  <c r="BA34" i="10"/>
  <c r="BB34" i="10"/>
  <c r="BC34" i="10"/>
  <c r="AI34" i="10"/>
  <c r="AP34" i="10"/>
  <c r="AO34" i="10"/>
  <c r="AS34" i="10"/>
  <c r="AV34" i="10"/>
  <c r="AK34" i="10"/>
  <c r="AH34" i="10"/>
  <c r="AA34" i="10"/>
  <c r="AY34" i="10"/>
  <c r="AG34" i="10"/>
  <c r="AU34" i="10"/>
  <c r="BR34" i="10"/>
  <c r="GA34" i="10"/>
  <c r="FT34" i="10"/>
  <c r="ER34" i="10"/>
  <c r="FD34" i="10"/>
  <c r="FG34" i="10"/>
  <c r="EW34" i="10"/>
  <c r="GK34" i="10"/>
  <c r="FE34" i="10"/>
  <c r="FC34" i="10"/>
  <c r="FN34" i="10"/>
  <c r="EV34" i="10"/>
  <c r="FU34" i="10"/>
  <c r="GH34" i="10"/>
  <c r="FK34" i="10"/>
  <c r="FI34" i="10"/>
  <c r="GI34" i="10"/>
  <c r="GB34" i="10"/>
  <c r="FO34" i="10"/>
  <c r="FW34" i="10"/>
  <c r="FZ34" i="10"/>
  <c r="DW34" i="10"/>
  <c r="FJ34" i="10"/>
  <c r="FR34" i="10"/>
  <c r="FM34" i="10"/>
  <c r="FF34" i="10"/>
  <c r="DV34" i="10"/>
  <c r="GC34" i="10"/>
  <c r="FV34" i="10"/>
  <c r="FX34" i="10"/>
  <c r="DU34" i="10"/>
  <c r="FY34" i="10"/>
  <c r="EY34" i="10"/>
  <c r="FQ34" i="10"/>
  <c r="FP34" i="10"/>
  <c r="DQ34" i="10"/>
  <c r="FH34" i="10"/>
  <c r="FS34" i="10"/>
  <c r="GE34" i="10"/>
  <c r="DS34" i="10"/>
  <c r="ET34" i="10"/>
  <c r="DR34" i="10"/>
  <c r="GF34" i="10"/>
  <c r="ES34" i="10"/>
  <c r="DY34" i="10"/>
  <c r="GJ34" i="10"/>
  <c r="EA34" i="10"/>
  <c r="GD34" i="10"/>
  <c r="EX34" i="10"/>
  <c r="GG34" i="10"/>
  <c r="EB34" i="10"/>
  <c r="FA34" i="10"/>
  <c r="FL34" i="10"/>
  <c r="FB34" i="10"/>
  <c r="EU34" i="10"/>
  <c r="DX34" i="10"/>
  <c r="EZ34" i="10"/>
  <c r="DT34" i="10"/>
  <c r="DZ34" i="10"/>
  <c r="EL34" i="10"/>
  <c r="EH34" i="10"/>
  <c r="EN34" i="10"/>
  <c r="EC34" i="10"/>
  <c r="ED34" i="10"/>
  <c r="EJ34" i="10"/>
  <c r="EE34" i="10"/>
  <c r="EF34" i="10"/>
  <c r="EK34" i="10"/>
  <c r="EM34" i="10"/>
  <c r="EI34" i="10"/>
  <c r="EG34" i="10"/>
  <c r="BF12" i="10"/>
  <c r="B23" i="10"/>
  <c r="EN35" i="10"/>
  <c r="EL35" i="10"/>
  <c r="EF35" i="10"/>
  <c r="ED35" i="10"/>
  <c r="EE35" i="10"/>
  <c r="EM35" i="10"/>
  <c r="EC35" i="10"/>
  <c r="EI35" i="10"/>
  <c r="EJ35" i="10"/>
  <c r="EH35" i="10"/>
  <c r="EK35" i="10"/>
  <c r="EG35" i="10"/>
  <c r="S35" i="10" a="1"/>
  <c r="S35" i="10" s="1"/>
  <c r="U35" i="10"/>
  <c r="V35" i="10"/>
  <c r="S34" i="10" a="1"/>
  <c r="S34" i="10" s="1"/>
  <c r="U34" i="10"/>
  <c r="V34" i="10"/>
  <c r="BR35" i="10"/>
  <c r="CC15" i="10" l="1"/>
  <c r="CE10" i="10"/>
  <c r="EE21" i="10"/>
  <c r="CC16" i="10"/>
  <c r="CC17" i="10"/>
  <c r="CE21" i="10"/>
  <c r="CJ2" i="10"/>
  <c r="CC10" i="10"/>
  <c r="CE17" i="10"/>
  <c r="CC20" i="10"/>
  <c r="CE11" i="10"/>
  <c r="CC21" i="10"/>
  <c r="CC13" i="10"/>
  <c r="EC21" i="10"/>
  <c r="CE12" i="10"/>
  <c r="EF21" i="10"/>
  <c r="CE16" i="10"/>
  <c r="CE19" i="10"/>
  <c r="CE15" i="10"/>
  <c r="CC12" i="10"/>
  <c r="CC14" i="10"/>
  <c r="CE18" i="10"/>
  <c r="CD2" i="10"/>
  <c r="CC11" i="10"/>
  <c r="BJ34" i="10"/>
  <c r="GL22" i="10"/>
  <c r="A9" i="10"/>
  <c r="BF19" i="10"/>
  <c r="N13" i="31" s="1" a="1"/>
  <c r="N13" i="31" s="1"/>
  <c r="N3517" i="31" s="1"/>
  <c r="CC18" i="10"/>
  <c r="DQ21" i="10"/>
  <c r="BH31" i="10"/>
  <c r="M16" i="31"/>
  <c r="CE20" i="10"/>
  <c r="L5" i="31"/>
  <c r="CE14" i="10"/>
  <c r="CC19" i="10"/>
  <c r="ED21" i="10"/>
  <c r="IE7" i="10"/>
  <c r="CE13" i="10"/>
  <c r="IE3" i="10"/>
  <c r="N16" i="31" l="1"/>
  <c r="P16" i="31"/>
  <c r="Q16" i="31" s="1"/>
  <c r="L13" i="31"/>
  <c r="BJ36" i="10"/>
  <c r="C13" i="31"/>
  <c r="T4" i="31"/>
  <c r="G13" i="31"/>
  <c r="C12" i="31"/>
  <c r="DM23" i="10"/>
  <c r="BF21" i="10"/>
  <c r="CW23" i="10"/>
  <c r="DN23" i="10"/>
  <c r="CP23" i="10"/>
  <c r="CT23" i="10"/>
  <c r="CU23" i="10"/>
  <c r="BF20" i="10"/>
  <c r="F22" i="10" s="1"/>
  <c r="BF23" i="10"/>
  <c r="BF32" i="10" s="1"/>
  <c r="CQ23" i="10"/>
  <c r="DI23" i="10"/>
  <c r="CY23" i="10"/>
  <c r="DL23" i="10"/>
  <c r="DE23" i="10"/>
  <c r="CZ23" i="10"/>
  <c r="DF23" i="10"/>
  <c r="CV23" i="10"/>
  <c r="DA23" i="10"/>
  <c r="BF22" i="10"/>
  <c r="GM20" i="10"/>
  <c r="DG23" i="10"/>
  <c r="DC23" i="10"/>
  <c r="DK23" i="10"/>
  <c r="CR23" i="10"/>
  <c r="DH23" i="10"/>
  <c r="CS23" i="10"/>
  <c r="CN23" i="10"/>
  <c r="DJ23" i="10"/>
  <c r="CO23" i="10"/>
  <c r="DD23" i="10"/>
  <c r="GL20" i="10"/>
  <c r="GL19" i="10" s="1"/>
  <c r="EA15" i="10"/>
  <c r="EB15" i="10" s="1"/>
  <c r="CX23" i="10"/>
  <c r="DB23" i="10"/>
  <c r="BU2" i="10" l="1"/>
  <c r="M22" i="10" s="1"/>
  <c r="T21" i="10"/>
  <c r="BF26" i="10"/>
  <c r="BH32" i="10"/>
  <c r="BI17" i="10"/>
  <c r="BI20" i="10"/>
  <c r="L25" i="10"/>
  <c r="BI21" i="10"/>
  <c r="O16" i="31"/>
  <c r="BI15" i="10"/>
  <c r="BI18" i="10"/>
  <c r="BI13" i="10"/>
  <c r="BI12" i="10"/>
  <c r="BI16" i="10"/>
  <c r="BI19" i="10"/>
  <c r="BI14" i="10"/>
  <c r="BI11" i="10"/>
  <c r="BJ42" i="10"/>
  <c r="S16" i="31" s="1"/>
  <c r="N12" i="31"/>
  <c r="BI10" i="10"/>
  <c r="C3469" i="31"/>
  <c r="C3485" i="31"/>
  <c r="C3501" i="31"/>
  <c r="C3430" i="31"/>
  <c r="C722" i="31"/>
  <c r="C1192" i="31"/>
  <c r="C3374" i="31"/>
  <c r="C1109" i="31"/>
  <c r="C369" i="31"/>
  <c r="C2979" i="31"/>
  <c r="C1500" i="31"/>
  <c r="C130" i="31"/>
  <c r="C2701" i="31"/>
  <c r="C27" i="31"/>
  <c r="C3050" i="31"/>
  <c r="C222" i="31"/>
  <c r="C380" i="31"/>
  <c r="C3285" i="31"/>
  <c r="C3213" i="31"/>
  <c r="C2557" i="31"/>
  <c r="C2962" i="31"/>
  <c r="C1852" i="31"/>
  <c r="C2031" i="31"/>
  <c r="C2370" i="31"/>
  <c r="C432" i="31"/>
  <c r="C825" i="31"/>
  <c r="C2575" i="31"/>
  <c r="C2759" i="31"/>
  <c r="C2667" i="31"/>
  <c r="C795" i="31"/>
  <c r="C1126" i="31"/>
  <c r="C381" i="31"/>
  <c r="C2832" i="31"/>
  <c r="C575" i="31"/>
  <c r="C2897" i="31"/>
  <c r="C2010" i="31"/>
  <c r="C3023" i="31"/>
  <c r="C445" i="31"/>
  <c r="C2999" i="31"/>
  <c r="C1035" i="31"/>
  <c r="C2372" i="31"/>
  <c r="C3297" i="31"/>
  <c r="C2549" i="31"/>
  <c r="C692" i="31"/>
  <c r="C958" i="31"/>
  <c r="C256" i="31"/>
  <c r="C2998" i="31"/>
  <c r="C155" i="31"/>
  <c r="C2419" i="31"/>
  <c r="C665" i="31"/>
  <c r="C1291" i="31"/>
  <c r="C2277" i="31"/>
  <c r="C1941" i="31"/>
  <c r="C2749" i="31"/>
  <c r="C111" i="31"/>
  <c r="C1970" i="31"/>
  <c r="C2165" i="31"/>
  <c r="C2380" i="31"/>
  <c r="C2413" i="31"/>
  <c r="C3105" i="31"/>
  <c r="C2293" i="31"/>
  <c r="C748" i="31"/>
  <c r="C307" i="31"/>
  <c r="C3037" i="31"/>
  <c r="C3534" i="31"/>
  <c r="C2193" i="31"/>
  <c r="C180" i="31"/>
  <c r="C1610" i="31"/>
  <c r="C2414" i="31"/>
  <c r="C2456" i="31"/>
  <c r="C2022" i="31"/>
  <c r="C2113" i="31"/>
  <c r="C2926" i="31"/>
  <c r="C2812" i="31"/>
  <c r="C1274" i="31"/>
  <c r="C510" i="31"/>
  <c r="C237" i="31"/>
  <c r="C2561" i="31"/>
  <c r="C3470" i="31"/>
  <c r="C3486" i="31"/>
  <c r="C3502" i="31"/>
  <c r="C295" i="31"/>
  <c r="C287" i="31"/>
  <c r="C2331" i="31"/>
  <c r="C2254" i="31"/>
  <c r="C2061" i="31"/>
  <c r="C1438" i="31"/>
  <c r="C2944" i="31"/>
  <c r="C2574" i="31"/>
  <c r="C3208" i="31"/>
  <c r="C2081" i="31"/>
  <c r="C1399" i="31"/>
  <c r="C605" i="31"/>
  <c r="C1553" i="31"/>
  <c r="C2906" i="31"/>
  <c r="C3184" i="31"/>
  <c r="C405" i="31"/>
  <c r="C2279" i="31"/>
  <c r="C1686" i="31"/>
  <c r="C355" i="31"/>
  <c r="C401" i="31"/>
  <c r="C449" i="31"/>
  <c r="C1752" i="31"/>
  <c r="C2431" i="31"/>
  <c r="C2011" i="31"/>
  <c r="C546" i="31"/>
  <c r="C373" i="31"/>
  <c r="C1266" i="31"/>
  <c r="C765" i="31"/>
  <c r="C3394" i="31"/>
  <c r="C3004" i="31"/>
  <c r="C2252" i="31"/>
  <c r="C2838" i="31"/>
  <c r="C1696" i="31"/>
  <c r="C602" i="31"/>
  <c r="C731" i="31"/>
  <c r="C2536" i="31"/>
  <c r="C1375" i="31"/>
  <c r="C2579" i="31"/>
  <c r="C914" i="31"/>
  <c r="C1806" i="31"/>
  <c r="C628" i="31"/>
  <c r="C3027" i="31"/>
  <c r="C563" i="31"/>
  <c r="C1706" i="31"/>
  <c r="C2806" i="31"/>
  <c r="C1072" i="31"/>
  <c r="C1457" i="31"/>
  <c r="C189" i="31"/>
  <c r="C2373" i="31"/>
  <c r="C122" i="31"/>
  <c r="C417" i="31"/>
  <c r="C3425" i="31"/>
  <c r="C811" i="31"/>
  <c r="C2866" i="31"/>
  <c r="C2813" i="31"/>
  <c r="C298" i="31"/>
  <c r="C730" i="31"/>
  <c r="C1772" i="31"/>
  <c r="C1561" i="31"/>
  <c r="C2877" i="31"/>
  <c r="C2700" i="31"/>
  <c r="C830" i="31"/>
  <c r="C1048" i="31"/>
  <c r="C664" i="31"/>
  <c r="C2415" i="31"/>
  <c r="C2538" i="31"/>
  <c r="C2185" i="31"/>
  <c r="C985" i="31"/>
  <c r="C61" i="31"/>
  <c r="C2572" i="31"/>
  <c r="C2446" i="31"/>
  <c r="C1550" i="31"/>
  <c r="C1103" i="31"/>
  <c r="C1928" i="31"/>
  <c r="C883" i="31"/>
  <c r="C3455" i="31"/>
  <c r="C3471" i="31"/>
  <c r="C3487" i="31"/>
  <c r="C3503" i="31"/>
  <c r="C2054" i="31"/>
  <c r="C285" i="31"/>
  <c r="C3060" i="31"/>
  <c r="C102" i="31"/>
  <c r="C74" i="31"/>
  <c r="C3431" i="31"/>
  <c r="C2171" i="31"/>
  <c r="C2233" i="31"/>
  <c r="C2666" i="31"/>
  <c r="C675" i="31"/>
  <c r="C487" i="31"/>
  <c r="C60" i="31"/>
  <c r="C2322" i="31"/>
  <c r="C2497" i="31"/>
  <c r="C3115" i="31"/>
  <c r="C138" i="31"/>
  <c r="C898" i="31"/>
  <c r="C2693" i="31"/>
  <c r="C2399" i="31"/>
  <c r="C114" i="31"/>
  <c r="C2120" i="31"/>
  <c r="C2791" i="31"/>
  <c r="C1595" i="31"/>
  <c r="C1333" i="31"/>
  <c r="C3127" i="31"/>
  <c r="C3435" i="31"/>
  <c r="C1422" i="31"/>
  <c r="C569" i="31"/>
  <c r="C277" i="31"/>
  <c r="C1796" i="31"/>
  <c r="C212" i="31"/>
  <c r="C3005" i="31"/>
  <c r="C3101" i="31"/>
  <c r="C2594" i="31"/>
  <c r="C3313" i="31"/>
  <c r="C903" i="31"/>
  <c r="C2613" i="31"/>
  <c r="C1444" i="31"/>
  <c r="C1704" i="31"/>
  <c r="C3248" i="31"/>
  <c r="C1099" i="31"/>
  <c r="C1920" i="31"/>
  <c r="C3404" i="31"/>
  <c r="C875" i="31"/>
  <c r="C17" i="31"/>
  <c r="C2799" i="31"/>
  <c r="C464" i="31"/>
  <c r="C203" i="31"/>
  <c r="C905" i="31"/>
  <c r="C21" i="31"/>
  <c r="C1861" i="31"/>
  <c r="C1808" i="31"/>
  <c r="C2969" i="31"/>
  <c r="C1194" i="31"/>
  <c r="C2150" i="31"/>
  <c r="C1485" i="31"/>
  <c r="C322" i="31"/>
  <c r="C1215" i="31"/>
  <c r="C533" i="31"/>
  <c r="C1932" i="31"/>
  <c r="C2015" i="31"/>
  <c r="C2652" i="31"/>
  <c r="C1076" i="31"/>
  <c r="C621" i="31"/>
  <c r="C1804" i="31"/>
  <c r="C1737" i="31"/>
  <c r="C196" i="31"/>
  <c r="C1489" i="31"/>
  <c r="C879" i="31"/>
  <c r="C234" i="31"/>
  <c r="C1451" i="31"/>
  <c r="C226" i="31"/>
  <c r="C41" i="31"/>
  <c r="C1818" i="31"/>
  <c r="C51" i="31"/>
  <c r="C3456" i="31"/>
  <c r="C3472" i="31"/>
  <c r="C3488" i="31"/>
  <c r="C3504" i="31"/>
  <c r="C305" i="31"/>
  <c r="C39" i="31"/>
  <c r="C2748" i="31"/>
  <c r="C542" i="31"/>
  <c r="C2158" i="31"/>
  <c r="C88" i="31"/>
  <c r="C2588" i="31"/>
  <c r="C55" i="31"/>
  <c r="C2344" i="31"/>
  <c r="C1041" i="31"/>
  <c r="C3432" i="31"/>
  <c r="C649" i="31"/>
  <c r="C2286" i="31"/>
  <c r="C2211" i="31"/>
  <c r="C1324" i="31"/>
  <c r="C2889" i="31"/>
  <c r="C246" i="31"/>
  <c r="C899" i="31"/>
  <c r="C2182" i="31"/>
  <c r="C2646" i="31"/>
  <c r="C248" i="31"/>
  <c r="C1775" i="31"/>
  <c r="C2214" i="31"/>
  <c r="C177" i="31"/>
  <c r="C1909" i="31"/>
  <c r="C2287" i="31"/>
  <c r="C2457" i="31"/>
  <c r="C2757" i="31"/>
  <c r="C1177" i="31"/>
  <c r="C853" i="31"/>
  <c r="C3371" i="31"/>
  <c r="C937" i="31"/>
  <c r="C3227" i="31"/>
  <c r="C794" i="31"/>
  <c r="C1882" i="31"/>
  <c r="C467" i="31"/>
  <c r="C100" i="31"/>
  <c r="C2843" i="31"/>
  <c r="C1502" i="31"/>
  <c r="C1463" i="31"/>
  <c r="C1743" i="31"/>
  <c r="C2781" i="31"/>
  <c r="C2275" i="31"/>
  <c r="C1115" i="31"/>
  <c r="C3059" i="31"/>
  <c r="C2970" i="31"/>
  <c r="C639" i="31"/>
  <c r="C2923" i="31"/>
  <c r="C1389" i="31"/>
  <c r="C1464" i="31"/>
  <c r="C1349" i="31"/>
  <c r="C80" i="31"/>
  <c r="C2405" i="31"/>
  <c r="C868" i="31"/>
  <c r="C1312" i="31"/>
  <c r="C1874" i="31"/>
  <c r="C1498" i="31"/>
  <c r="C328" i="31"/>
  <c r="C46" i="31"/>
  <c r="C3045" i="31"/>
  <c r="C1764" i="31"/>
  <c r="C2468" i="31"/>
  <c r="C1236" i="31"/>
  <c r="C129" i="31"/>
  <c r="C737" i="31"/>
  <c r="C2043" i="31"/>
  <c r="C1276" i="31"/>
  <c r="C3365" i="31"/>
  <c r="C1957" i="31"/>
  <c r="C826" i="31"/>
  <c r="C1531" i="31"/>
  <c r="C2358" i="31"/>
  <c r="C2179" i="31"/>
  <c r="C2311" i="31"/>
  <c r="C1050" i="31"/>
  <c r="C3457" i="31"/>
  <c r="C3473" i="31"/>
  <c r="C3489" i="31"/>
  <c r="C3505" i="31"/>
  <c r="C951" i="31"/>
  <c r="C1435" i="31"/>
  <c r="C2371" i="31"/>
  <c r="C2148" i="31"/>
  <c r="C1713" i="31"/>
  <c r="C1395" i="31"/>
  <c r="C1950" i="31"/>
  <c r="C1864" i="31"/>
  <c r="C773" i="31"/>
  <c r="C1679" i="31"/>
  <c r="C3304" i="31"/>
  <c r="C354" i="31"/>
  <c r="C91" i="31"/>
  <c r="C2268" i="31"/>
  <c r="C152" i="31"/>
  <c r="C1250" i="31"/>
  <c r="C1771" i="31"/>
  <c r="C1345" i="31"/>
  <c r="C387" i="31"/>
  <c r="C2007" i="31"/>
  <c r="C228" i="31"/>
  <c r="C145" i="31"/>
  <c r="C3339" i="31"/>
  <c r="C141" i="31"/>
  <c r="C1232" i="31"/>
  <c r="C1381" i="31"/>
  <c r="C2506" i="31"/>
  <c r="C2452" i="31"/>
  <c r="C2131" i="31"/>
  <c r="C170" i="31"/>
  <c r="C2894" i="31"/>
  <c r="C511" i="31"/>
  <c r="C2108" i="31"/>
  <c r="C3403" i="31"/>
  <c r="C1062" i="31"/>
  <c r="C806" i="31"/>
  <c r="C2324" i="31"/>
  <c r="C1777" i="31"/>
  <c r="C1442" i="31"/>
  <c r="C1913" i="31"/>
  <c r="C2473" i="31"/>
  <c r="C2296" i="31"/>
  <c r="C1702" i="31"/>
  <c r="C1625" i="31"/>
  <c r="C1315" i="31"/>
  <c r="C709" i="31"/>
  <c r="C2423" i="31"/>
  <c r="C2737" i="31"/>
  <c r="C1747" i="31"/>
  <c r="C71" i="31"/>
  <c r="C2048" i="31"/>
  <c r="C849" i="31"/>
  <c r="C922" i="31"/>
  <c r="C1477" i="31"/>
  <c r="C3344" i="31"/>
  <c r="C3426" i="31"/>
  <c r="C1983" i="31"/>
  <c r="C2125" i="31"/>
  <c r="C822" i="31"/>
  <c r="C1693" i="31"/>
  <c r="C1231" i="31"/>
  <c r="C3428" i="31"/>
  <c r="C1760" i="31"/>
  <c r="C2466" i="31"/>
  <c r="C3307" i="31"/>
  <c r="C2621" i="31"/>
  <c r="C1254" i="31"/>
  <c r="C829" i="31"/>
  <c r="C2541" i="31"/>
  <c r="C184" i="31"/>
  <c r="C1284" i="31"/>
  <c r="C3147" i="31"/>
  <c r="C2434" i="31"/>
  <c r="C3185" i="31"/>
  <c r="C2155" i="31"/>
  <c r="C3458" i="31"/>
  <c r="C3474" i="31"/>
  <c r="C3490" i="31"/>
  <c r="C3506" i="31"/>
  <c r="C3525" i="31"/>
  <c r="C3369" i="31"/>
  <c r="C2847" i="31"/>
  <c r="C513" i="31"/>
  <c r="C360" i="31"/>
  <c r="C251" i="31"/>
  <c r="C2882" i="31"/>
  <c r="C3118" i="31"/>
  <c r="C1453" i="31"/>
  <c r="C2630" i="31"/>
  <c r="C2477" i="31"/>
  <c r="C2014" i="31"/>
  <c r="C1090" i="31"/>
  <c r="C167" i="31"/>
  <c r="C1305" i="31"/>
  <c r="C3433" i="31"/>
  <c r="C1976" i="31"/>
  <c r="C3048" i="31"/>
  <c r="C612" i="31"/>
  <c r="C2068" i="31"/>
  <c r="C2475" i="31"/>
  <c r="C2389" i="31"/>
  <c r="C2612" i="31"/>
  <c r="C810" i="31"/>
  <c r="C904" i="31"/>
  <c r="C2669" i="31"/>
  <c r="C932" i="31"/>
  <c r="C2023" i="31"/>
  <c r="C1574" i="31"/>
  <c r="C2495" i="31"/>
  <c r="C84" i="31"/>
  <c r="C2467" i="31"/>
  <c r="C1629" i="31"/>
  <c r="C153" i="31"/>
  <c r="C3346" i="31"/>
  <c r="C1665" i="31"/>
  <c r="C2846" i="31"/>
  <c r="C840" i="31"/>
  <c r="C3222" i="31"/>
  <c r="C2078" i="31"/>
  <c r="C485" i="31"/>
  <c r="C832" i="31"/>
  <c r="C1734" i="31"/>
  <c r="C3281" i="31"/>
  <c r="C1475" i="31"/>
  <c r="C2439" i="31"/>
  <c r="C1991" i="31"/>
  <c r="C805" i="31"/>
  <c r="C389" i="31"/>
  <c r="C573" i="31"/>
  <c r="C3146" i="31"/>
  <c r="C803" i="31"/>
  <c r="C2040" i="31"/>
  <c r="C2313" i="31"/>
  <c r="C2840" i="31"/>
  <c r="C144" i="31"/>
  <c r="C738" i="31"/>
  <c r="C3265" i="31"/>
  <c r="C3427" i="31"/>
  <c r="C1398" i="31"/>
  <c r="C2481" i="31"/>
  <c r="C2987" i="31"/>
  <c r="C3079" i="31"/>
  <c r="C1758" i="31"/>
  <c r="C2104" i="31"/>
  <c r="C745" i="31"/>
  <c r="C2027" i="31"/>
  <c r="C2310" i="31"/>
  <c r="C2513" i="31"/>
  <c r="C2460" i="31"/>
  <c r="C495" i="31"/>
  <c r="C353" i="31"/>
  <c r="C1892" i="31"/>
  <c r="C142" i="31"/>
  <c r="C1341" i="31"/>
  <c r="C3459" i="31"/>
  <c r="C3475" i="31"/>
  <c r="C3491" i="31"/>
  <c r="C3507" i="31"/>
  <c r="C2854" i="31"/>
  <c r="C326" i="31"/>
  <c r="C1586" i="31"/>
  <c r="C2190" i="31"/>
  <c r="C1214" i="31"/>
  <c r="C3090" i="31"/>
  <c r="C1728" i="31"/>
  <c r="C1571" i="31"/>
  <c r="C2553" i="31"/>
  <c r="C1962" i="31"/>
  <c r="C2036" i="31"/>
  <c r="C1868" i="31"/>
  <c r="C1525" i="31"/>
  <c r="C3295" i="31"/>
  <c r="C1351" i="31"/>
  <c r="C3401" i="31"/>
  <c r="C3370" i="31"/>
  <c r="C281" i="31"/>
  <c r="C2730" i="31"/>
  <c r="C1028" i="31"/>
  <c r="C3434" i="31"/>
  <c r="C2849" i="31"/>
  <c r="C2960" i="31"/>
  <c r="C1133" i="31"/>
  <c r="C3520" i="31"/>
  <c r="C2586" i="31"/>
  <c r="C3232" i="31"/>
  <c r="C1621" i="31"/>
  <c r="C3543" i="31"/>
  <c r="C715" i="31"/>
  <c r="C1895" i="31"/>
  <c r="C756" i="31"/>
  <c r="C2895" i="31"/>
  <c r="C3070" i="31"/>
  <c r="C2914" i="31"/>
  <c r="C45" i="31"/>
  <c r="C2522" i="31"/>
  <c r="C494" i="31"/>
  <c r="C909" i="31"/>
  <c r="C1155" i="31"/>
  <c r="C1383" i="31"/>
  <c r="C173" i="31"/>
  <c r="C407" i="31"/>
  <c r="C2351" i="31"/>
  <c r="C34" i="31"/>
  <c r="C1385" i="31"/>
  <c r="C66" i="31"/>
  <c r="C1592" i="31"/>
  <c r="C3284" i="31"/>
  <c r="C3528" i="31"/>
  <c r="C1362" i="31"/>
  <c r="C1224" i="31"/>
  <c r="C3405" i="31"/>
  <c r="C3151" i="31"/>
  <c r="C1137" i="31"/>
  <c r="C3373" i="31"/>
  <c r="C1677" i="31"/>
  <c r="C679" i="31"/>
  <c r="C3170" i="31"/>
  <c r="C2723" i="31"/>
  <c r="C3076" i="31"/>
  <c r="C258" i="31"/>
  <c r="C1628" i="31"/>
  <c r="C2651" i="31"/>
  <c r="C3429" i="31"/>
  <c r="C894" i="31"/>
  <c r="C2298" i="31"/>
  <c r="C3221" i="31"/>
  <c r="C960" i="31"/>
  <c r="C1446" i="31"/>
  <c r="C568" i="31"/>
  <c r="C2274" i="31"/>
  <c r="C1698" i="31"/>
  <c r="C347" i="31"/>
  <c r="C2162" i="31"/>
  <c r="C3460" i="31"/>
  <c r="C3476" i="31"/>
  <c r="C3492" i="31"/>
  <c r="C3508" i="31"/>
  <c r="C769" i="31"/>
  <c r="C446" i="31"/>
  <c r="C420" i="31"/>
  <c r="C2042" i="31"/>
  <c r="C3191" i="31"/>
  <c r="C33" i="31"/>
  <c r="C3204" i="31"/>
  <c r="C980" i="31"/>
  <c r="C1915" i="31"/>
  <c r="C962" i="31"/>
  <c r="C59" i="31"/>
  <c r="C3246" i="31"/>
  <c r="C279" i="31"/>
  <c r="C2515" i="31"/>
  <c r="C1348" i="31"/>
  <c r="C1119" i="31"/>
  <c r="C324" i="31"/>
  <c r="C893" i="31"/>
  <c r="C1029" i="31"/>
  <c r="C1614" i="31"/>
  <c r="C3021" i="31"/>
  <c r="C3345" i="31"/>
  <c r="C2775" i="31"/>
  <c r="C3193" i="31"/>
  <c r="C2743" i="31"/>
  <c r="C3148" i="31"/>
  <c r="C991" i="31"/>
  <c r="C865" i="31"/>
  <c r="C746" i="31"/>
  <c r="C2816" i="31"/>
  <c r="C2091" i="31"/>
  <c r="C2336" i="31"/>
  <c r="C460" i="31"/>
  <c r="C1117" i="31"/>
  <c r="C2029" i="31"/>
  <c r="C1205" i="31"/>
  <c r="C2898" i="31"/>
  <c r="C437" i="31"/>
  <c r="C410" i="31"/>
  <c r="C2670" i="31"/>
  <c r="C3308" i="31"/>
  <c r="C1006" i="31"/>
  <c r="C1365" i="31"/>
  <c r="C2910" i="31"/>
  <c r="C1156" i="31"/>
  <c r="C47" i="31"/>
  <c r="C1336" i="31"/>
  <c r="C660" i="31"/>
  <c r="C2192" i="31"/>
  <c r="C113" i="31"/>
  <c r="C638" i="31"/>
  <c r="C977" i="31"/>
  <c r="C2510" i="31"/>
  <c r="C3160" i="31"/>
  <c r="C2644" i="31"/>
  <c r="C2641" i="31"/>
  <c r="C3077" i="31"/>
  <c r="C166" i="31"/>
  <c r="C2744" i="31"/>
  <c r="C2200" i="31"/>
  <c r="C2883" i="31"/>
  <c r="C1622" i="31"/>
  <c r="C551" i="31"/>
  <c r="C470" i="31"/>
  <c r="C230" i="31"/>
  <c r="C1726" i="31"/>
  <c r="C790" i="31"/>
  <c r="C1082" i="31"/>
  <c r="C2957" i="31"/>
  <c r="C1055" i="31"/>
  <c r="C1769" i="31"/>
  <c r="C535" i="31"/>
  <c r="C2213" i="31"/>
  <c r="C534" i="31"/>
  <c r="C775" i="31"/>
  <c r="C3461" i="31"/>
  <c r="C3477" i="31"/>
  <c r="C3493" i="31"/>
  <c r="C3509" i="31"/>
  <c r="C314" i="31"/>
  <c r="C2057" i="31"/>
  <c r="C2302" i="31"/>
  <c r="C742" i="31"/>
  <c r="C2257" i="31"/>
  <c r="C603" i="31"/>
  <c r="C889" i="31"/>
  <c r="C1047" i="31"/>
  <c r="C1617" i="31"/>
  <c r="C1620" i="31"/>
  <c r="C2013" i="31"/>
  <c r="C1239" i="31"/>
  <c r="C1626" i="31"/>
  <c r="C1077" i="31"/>
  <c r="C1945" i="31"/>
  <c r="C818" i="31"/>
  <c r="C644" i="31"/>
  <c r="C1891" i="31"/>
  <c r="C1802" i="31"/>
  <c r="C2539" i="31"/>
  <c r="C2904" i="31"/>
  <c r="C1977" i="31"/>
  <c r="C3092" i="31"/>
  <c r="C2935" i="31"/>
  <c r="C910" i="31"/>
  <c r="C3402" i="31"/>
  <c r="C2090" i="31"/>
  <c r="C1524" i="31"/>
  <c r="C647" i="31"/>
  <c r="C616" i="31"/>
  <c r="C1378" i="31"/>
  <c r="C3186" i="31"/>
  <c r="C743" i="31"/>
  <c r="C2444" i="31"/>
  <c r="C1282" i="31"/>
  <c r="C2991" i="31"/>
  <c r="C2582" i="31"/>
  <c r="C695" i="31"/>
  <c r="C902" i="31"/>
  <c r="C2736" i="31"/>
  <c r="C276" i="31"/>
  <c r="C1287" i="31"/>
  <c r="C559" i="31"/>
  <c r="C3104" i="31"/>
  <c r="C3310" i="31"/>
  <c r="C1573" i="31"/>
  <c r="C1265" i="31"/>
  <c r="C1086" i="31"/>
  <c r="C195" i="31"/>
  <c r="C2822" i="31"/>
  <c r="C183" i="31"/>
  <c r="C2523" i="31"/>
  <c r="C990" i="31"/>
  <c r="C2542" i="31"/>
  <c r="C1896" i="31"/>
  <c r="C264" i="31"/>
  <c r="C1440" i="31"/>
  <c r="C1190" i="31"/>
  <c r="C1020" i="31"/>
  <c r="C1959" i="31"/>
  <c r="C211" i="31"/>
  <c r="C2070" i="31"/>
  <c r="C827" i="31"/>
  <c r="C2067" i="31"/>
  <c r="C1867" i="31"/>
  <c r="C1252" i="31"/>
  <c r="C3287" i="31"/>
  <c r="C2677" i="31"/>
  <c r="C2593" i="31"/>
  <c r="C2965" i="31"/>
  <c r="C266" i="31"/>
  <c r="C763" i="31"/>
  <c r="C157" i="31"/>
  <c r="C1667" i="31"/>
  <c r="C3136" i="31"/>
  <c r="C3462" i="31"/>
  <c r="C3478" i="31"/>
  <c r="C3494" i="31"/>
  <c r="C3510" i="31"/>
  <c r="C1104" i="31"/>
  <c r="C705" i="31"/>
  <c r="C359" i="31"/>
  <c r="C3054" i="31"/>
  <c r="C740" i="31"/>
  <c r="C3161" i="31"/>
  <c r="C2686" i="31"/>
  <c r="C2532" i="31"/>
  <c r="C2219" i="31"/>
  <c r="C2660" i="31"/>
  <c r="C2792" i="31"/>
  <c r="C1707" i="31"/>
  <c r="C3100" i="31"/>
  <c r="C3245" i="31"/>
  <c r="C3541" i="31"/>
  <c r="C2201" i="31"/>
  <c r="C2225" i="31"/>
  <c r="C82" i="31"/>
  <c r="C1251" i="31"/>
  <c r="C3062" i="31"/>
  <c r="C1605" i="31"/>
  <c r="C2000" i="31"/>
  <c r="C2238" i="31"/>
  <c r="C1995" i="31"/>
  <c r="C2196" i="31"/>
  <c r="C1499" i="31"/>
  <c r="C2076" i="31"/>
  <c r="C2776" i="31"/>
  <c r="C2828" i="31"/>
  <c r="C2074" i="31"/>
  <c r="C344" i="31"/>
  <c r="C1537" i="31"/>
  <c r="C1067" i="31"/>
  <c r="C469" i="31"/>
  <c r="C635" i="31"/>
  <c r="C2521" i="31"/>
  <c r="C1648" i="31"/>
  <c r="C3347" i="31"/>
  <c r="C2378" i="31"/>
  <c r="C482" i="31"/>
  <c r="C3000" i="31"/>
  <c r="C3372" i="31"/>
  <c r="C52" i="31"/>
  <c r="C3244" i="31"/>
  <c r="C2808" i="31"/>
  <c r="C3102" i="31"/>
  <c r="C1529" i="31"/>
  <c r="C1415" i="31"/>
  <c r="C1940" i="31"/>
  <c r="C1673" i="31"/>
  <c r="C3254" i="31"/>
  <c r="C1199" i="31"/>
  <c r="C1325" i="31"/>
  <c r="C855" i="31"/>
  <c r="C2785" i="31"/>
  <c r="C1831" i="31"/>
  <c r="C2530" i="31"/>
  <c r="C989" i="31"/>
  <c r="C2149" i="31"/>
  <c r="C653" i="31"/>
  <c r="C2638" i="31"/>
  <c r="C648" i="31"/>
  <c r="C2551" i="31"/>
  <c r="C3337" i="31"/>
  <c r="C1534" i="31"/>
  <c r="C3223" i="31"/>
  <c r="C1877" i="31"/>
  <c r="C1516" i="31"/>
  <c r="C260" i="31"/>
  <c r="C2772" i="31"/>
  <c r="C1088" i="31"/>
  <c r="C2858" i="31"/>
  <c r="C2961" i="31"/>
  <c r="C156" i="31"/>
  <c r="C475" i="31"/>
  <c r="C3463" i="31"/>
  <c r="C3479" i="31"/>
  <c r="C3495" i="31"/>
  <c r="C3511" i="31"/>
  <c r="C1636" i="31"/>
  <c r="C3316" i="31"/>
  <c r="C2821" i="31"/>
  <c r="C592" i="31"/>
  <c r="C372" i="31"/>
  <c r="C3523" i="31"/>
  <c r="C25" i="31"/>
  <c r="C2639" i="31"/>
  <c r="C1245" i="31"/>
  <c r="C1176" i="31"/>
  <c r="C1738" i="31"/>
  <c r="C408" i="31"/>
  <c r="C428" i="31"/>
  <c r="C2306" i="31"/>
  <c r="C809" i="31"/>
  <c r="C2565" i="31"/>
  <c r="C716" i="31"/>
  <c r="C1057" i="31"/>
  <c r="C2400" i="31"/>
  <c r="C2465" i="31"/>
  <c r="C2462" i="31"/>
  <c r="C462" i="31"/>
  <c r="C1469" i="31"/>
  <c r="C1347" i="31"/>
  <c r="C2261" i="31"/>
  <c r="C1708" i="31"/>
  <c r="C959" i="31"/>
  <c r="C2128" i="31"/>
  <c r="C1966" i="31"/>
  <c r="C2716" i="31"/>
  <c r="C524" i="31"/>
  <c r="C1257" i="31"/>
  <c r="C3133" i="31"/>
  <c r="C2658" i="31"/>
  <c r="C851" i="31"/>
  <c r="C2988" i="31"/>
  <c r="C2412" i="31"/>
  <c r="C2053" i="31"/>
  <c r="C2004" i="31"/>
  <c r="C2366" i="31"/>
  <c r="C1581" i="31"/>
  <c r="C2933" i="31"/>
  <c r="C2703" i="31"/>
  <c r="C3343" i="31"/>
  <c r="C1083" i="31"/>
  <c r="C1294" i="31"/>
  <c r="C1570" i="31"/>
  <c r="C578" i="31"/>
  <c r="C1601" i="31"/>
  <c r="C207" i="31"/>
  <c r="C940" i="31"/>
  <c r="C217" i="31"/>
  <c r="C370" i="31"/>
  <c r="C453" i="31"/>
  <c r="C1207" i="31"/>
  <c r="C240" i="31"/>
  <c r="C1171" i="31"/>
  <c r="C761" i="31"/>
  <c r="C945" i="31"/>
  <c r="C623" i="31"/>
  <c r="C1549" i="31"/>
  <c r="C477" i="31"/>
  <c r="C3176" i="31"/>
  <c r="C2720" i="31"/>
  <c r="C1557" i="31"/>
  <c r="C2837" i="31"/>
  <c r="C174" i="31"/>
  <c r="C1508" i="31"/>
  <c r="C3007" i="31"/>
  <c r="C154" i="31"/>
  <c r="C2855" i="31"/>
  <c r="C1881" i="31"/>
  <c r="C3038" i="31"/>
  <c r="C297" i="31"/>
  <c r="C3464" i="31"/>
  <c r="C3480" i="31"/>
  <c r="C3496" i="31"/>
  <c r="C3512" i="31"/>
  <c r="C3228" i="31"/>
  <c r="C502" i="31"/>
  <c r="C1001" i="31"/>
  <c r="C2931" i="31"/>
  <c r="C3542" i="31"/>
  <c r="C956" i="31"/>
  <c r="C1044" i="31"/>
  <c r="C2824" i="31"/>
  <c r="C2566" i="31"/>
  <c r="C2834" i="31"/>
  <c r="C3338" i="31"/>
  <c r="C1183" i="31"/>
  <c r="C1904" i="31"/>
  <c r="C1766" i="31"/>
  <c r="C2741" i="31"/>
  <c r="C2250" i="31"/>
  <c r="C1382" i="31"/>
  <c r="C348" i="31"/>
  <c r="C1102" i="31"/>
  <c r="C593" i="31"/>
  <c r="C686" i="31"/>
  <c r="C2710" i="31"/>
  <c r="C929" i="31"/>
  <c r="C979" i="31"/>
  <c r="C3089" i="31"/>
  <c r="C1318" i="31"/>
  <c r="C2560" i="31"/>
  <c r="C450" i="31"/>
  <c r="C350" i="31"/>
  <c r="C594" i="31"/>
  <c r="C2585" i="31"/>
  <c r="C1813" i="31"/>
  <c r="C1144" i="31"/>
  <c r="C1735" i="31"/>
  <c r="C2235" i="31"/>
  <c r="C672" i="31"/>
  <c r="C272" i="31"/>
  <c r="C671" i="31"/>
  <c r="C143" i="31"/>
  <c r="C2251" i="31"/>
  <c r="C175" i="31"/>
  <c r="C1353" i="31"/>
  <c r="C1496" i="31"/>
  <c r="C3524" i="31"/>
  <c r="C3396" i="31"/>
  <c r="C529" i="31"/>
  <c r="C1124" i="31"/>
  <c r="C1716" i="31"/>
  <c r="C435" i="31"/>
  <c r="C32" i="31"/>
  <c r="C907" i="31"/>
  <c r="C846" i="31"/>
  <c r="C1974" i="31"/>
  <c r="C1748" i="31"/>
  <c r="C2087" i="31"/>
  <c r="C970" i="31"/>
  <c r="C2570" i="31"/>
  <c r="C2718" i="31"/>
  <c r="C1635" i="31"/>
  <c r="C108" i="31"/>
  <c r="C2069" i="31"/>
  <c r="C2807" i="31"/>
  <c r="C2640" i="31"/>
  <c r="C458" i="31"/>
  <c r="C338" i="31"/>
  <c r="C2139" i="31"/>
  <c r="C392" i="31"/>
  <c r="C1229" i="31"/>
  <c r="C3001" i="31"/>
  <c r="C2391" i="31"/>
  <c r="C1417" i="31"/>
  <c r="C992" i="31"/>
  <c r="C643" i="31"/>
  <c r="C2909" i="31"/>
  <c r="C3465" i="31"/>
  <c r="C3481" i="31"/>
  <c r="C3497" i="31"/>
  <c r="C3513" i="31"/>
  <c r="C636" i="31"/>
  <c r="C900" i="31"/>
  <c r="C403" i="31"/>
  <c r="C1815" i="31"/>
  <c r="C548" i="31"/>
  <c r="C300" i="31"/>
  <c r="C2180" i="31"/>
  <c r="C2403" i="31"/>
  <c r="C1095" i="31"/>
  <c r="C191" i="31"/>
  <c r="C1431" i="31"/>
  <c r="C2953" i="31"/>
  <c r="C1163" i="31"/>
  <c r="C2533" i="31"/>
  <c r="C1011" i="31"/>
  <c r="C820" i="31"/>
  <c r="C3094" i="31"/>
  <c r="C499" i="31"/>
  <c r="C819" i="31"/>
  <c r="C2602" i="31"/>
  <c r="C1313" i="31"/>
  <c r="C997" i="31"/>
  <c r="C160" i="31"/>
  <c r="C1816" i="31"/>
  <c r="C941" i="31"/>
  <c r="C2713" i="31"/>
  <c r="C26" i="31"/>
  <c r="C1558" i="31"/>
  <c r="C916" i="31"/>
  <c r="C2823" i="31"/>
  <c r="C1982" i="31"/>
  <c r="C2545" i="31"/>
  <c r="C2227" i="31"/>
  <c r="C3362" i="31"/>
  <c r="C2927" i="31"/>
  <c r="C2352" i="31"/>
  <c r="C2921" i="31"/>
  <c r="C2878" i="31"/>
  <c r="C1715" i="31"/>
  <c r="C1644" i="31"/>
  <c r="C1121" i="31"/>
  <c r="C3283" i="31"/>
  <c r="C1649" i="31"/>
  <c r="C2271" i="31"/>
  <c r="C987" i="31"/>
  <c r="C2517" i="31"/>
  <c r="C2096" i="31"/>
  <c r="C3521" i="31"/>
  <c r="C1997" i="31"/>
  <c r="C3366" i="31"/>
  <c r="C1618" i="31"/>
  <c r="C2725" i="31"/>
  <c r="C3164" i="31"/>
  <c r="C2592" i="31"/>
  <c r="C176" i="31"/>
  <c r="C3025" i="31"/>
  <c r="C2604" i="31"/>
  <c r="C112" i="31"/>
  <c r="C1373" i="31"/>
  <c r="C2328" i="31"/>
  <c r="C2548" i="31"/>
  <c r="C491" i="31"/>
  <c r="C2075" i="31"/>
  <c r="C2851" i="31"/>
  <c r="C3282" i="31"/>
  <c r="C1242" i="31"/>
  <c r="C526" i="31"/>
  <c r="C1651" i="31"/>
  <c r="C734" i="31"/>
  <c r="C2381" i="31"/>
  <c r="C2940" i="31"/>
  <c r="C3350" i="31"/>
  <c r="C116" i="31"/>
  <c r="C517" i="31"/>
  <c r="C2955" i="31"/>
  <c r="C3466" i="31"/>
  <c r="C3482" i="31"/>
  <c r="C3498" i="31"/>
  <c r="C3514" i="31"/>
  <c r="C735" i="31"/>
  <c r="C3252" i="31"/>
  <c r="C2161" i="31"/>
  <c r="C2634" i="31"/>
  <c r="C1454" i="31"/>
  <c r="C1461" i="31"/>
  <c r="C2426" i="31"/>
  <c r="C2728" i="31"/>
  <c r="C1211" i="31"/>
  <c r="C1853" i="31"/>
  <c r="C319" i="31"/>
  <c r="C768" i="31"/>
  <c r="C1206" i="31"/>
  <c r="C3275" i="31"/>
  <c r="C117" i="31"/>
  <c r="C2021" i="31"/>
  <c r="C885" i="31"/>
  <c r="C754" i="31"/>
  <c r="C24" i="31"/>
  <c r="C963" i="31"/>
  <c r="C1858" i="31"/>
  <c r="C1295" i="31"/>
  <c r="C2159" i="31"/>
  <c r="C452" i="31"/>
  <c r="C439" i="31"/>
  <c r="C3201" i="31"/>
  <c r="C1406" i="31"/>
  <c r="C2863" i="31"/>
  <c r="C2312" i="31"/>
  <c r="C1182" i="31"/>
  <c r="C18" i="31"/>
  <c r="C1846" i="31"/>
  <c r="C2045" i="31"/>
  <c r="C1819" i="31"/>
  <c r="C2385" i="31"/>
  <c r="C3395" i="31"/>
  <c r="C1321" i="31"/>
  <c r="C135" i="31"/>
  <c r="C150" i="31"/>
  <c r="C484" i="31"/>
  <c r="C3156" i="31"/>
  <c r="C1374" i="31"/>
  <c r="C3180" i="31"/>
  <c r="C3084" i="31"/>
  <c r="C2653" i="31"/>
  <c r="C2892" i="31"/>
  <c r="C3363" i="31"/>
  <c r="C1539" i="31"/>
  <c r="C413" i="31"/>
  <c r="C1419" i="31"/>
  <c r="C2783" i="31"/>
  <c r="C682" i="31"/>
  <c r="C124" i="31"/>
  <c r="C2591" i="31"/>
  <c r="C1455" i="31"/>
  <c r="C476" i="31"/>
  <c r="C799" i="31"/>
  <c r="C1631" i="31"/>
  <c r="C1151" i="31"/>
  <c r="C1065" i="31"/>
  <c r="C2018" i="31"/>
  <c r="C613" i="31"/>
  <c r="C1671" i="31"/>
  <c r="C1838" i="31"/>
  <c r="C1683" i="31"/>
  <c r="C57" i="31"/>
  <c r="C422" i="31"/>
  <c r="C2479" i="31"/>
  <c r="C2981" i="31"/>
  <c r="C2236" i="31"/>
  <c r="C607" i="31"/>
  <c r="C1263" i="31"/>
  <c r="C1778" i="31"/>
  <c r="C1767" i="31"/>
  <c r="C3467" i="31"/>
  <c r="C3483" i="31"/>
  <c r="C3499" i="31"/>
  <c r="C3515" i="31"/>
  <c r="C1680" i="31"/>
  <c r="C1248" i="31"/>
  <c r="C1388" i="31"/>
  <c r="C1421" i="31"/>
  <c r="C216" i="31"/>
  <c r="C53" i="31"/>
  <c r="C2030" i="31"/>
  <c r="C3099" i="31"/>
  <c r="C3258" i="31"/>
  <c r="C349" i="31"/>
  <c r="C2836" i="31"/>
  <c r="C1003" i="31"/>
  <c r="C1513" i="31"/>
  <c r="C2151" i="31"/>
  <c r="C1590" i="31"/>
  <c r="C1428" i="31"/>
  <c r="C553" i="31"/>
  <c r="C1030" i="31"/>
  <c r="C2800" i="31"/>
  <c r="C456" i="31"/>
  <c r="C1135" i="31"/>
  <c r="C3342" i="31"/>
  <c r="C3247" i="31"/>
  <c r="C1241" i="31"/>
  <c r="C2790" i="31"/>
  <c r="C90" i="31"/>
  <c r="C1277" i="31"/>
  <c r="C332" i="31"/>
  <c r="C1174" i="31"/>
  <c r="C1013" i="31"/>
  <c r="C1907" i="31"/>
  <c r="C1256" i="31"/>
  <c r="C2450" i="31"/>
  <c r="C1585" i="31"/>
  <c r="C2884" i="31"/>
  <c r="C1978" i="31"/>
  <c r="C1927" i="31"/>
  <c r="C2292" i="31"/>
  <c r="C1786" i="31"/>
  <c r="C172" i="31"/>
  <c r="C2432" i="31"/>
  <c r="C1938" i="31"/>
  <c r="C1326" i="31"/>
  <c r="C440" i="31"/>
  <c r="C1670" i="31"/>
  <c r="C1604" i="31"/>
  <c r="C1434" i="31"/>
  <c r="C2540" i="31"/>
  <c r="C1901" i="31"/>
  <c r="C561" i="31"/>
  <c r="C263" i="31"/>
  <c r="C340" i="31"/>
  <c r="C1985" i="31"/>
  <c r="C2873" i="31"/>
  <c r="C2547" i="31"/>
  <c r="C1749" i="31"/>
  <c r="C640" i="31"/>
  <c r="C3317" i="31"/>
  <c r="C3364" i="31"/>
  <c r="C3309" i="31"/>
  <c r="C1822" i="31"/>
  <c r="C2379" i="31"/>
  <c r="C1118" i="31"/>
  <c r="C140" i="31"/>
  <c r="C789" i="31"/>
  <c r="C1197" i="31"/>
  <c r="C296" i="31"/>
  <c r="C121" i="31"/>
  <c r="C1259" i="31"/>
  <c r="C3030" i="31"/>
  <c r="C521" i="31"/>
  <c r="C1823" i="31"/>
  <c r="C1795" i="31"/>
  <c r="C1405" i="31"/>
  <c r="C148" i="31"/>
  <c r="C2761" i="31"/>
  <c r="C3545" i="31"/>
  <c r="C1186" i="31"/>
  <c r="C331" i="31"/>
  <c r="C537" i="31"/>
  <c r="C1723" i="31"/>
  <c r="C2101" i="31"/>
  <c r="C3264" i="31"/>
  <c r="C760" i="31"/>
  <c r="C2995" i="31"/>
  <c r="C3177" i="31"/>
  <c r="C1692" i="31"/>
  <c r="C2614" i="31"/>
  <c r="C2323" i="31"/>
  <c r="C2019" i="31"/>
  <c r="C629" i="31"/>
  <c r="C632" i="31"/>
  <c r="C804" i="31"/>
  <c r="C2611" i="31"/>
  <c r="C677" i="31"/>
  <c r="C867" i="31"/>
  <c r="C2684" i="31"/>
  <c r="C366" i="31"/>
  <c r="C2705" i="31"/>
  <c r="C798" i="31"/>
  <c r="C833" i="31"/>
  <c r="C442" i="31"/>
  <c r="C2563" i="31"/>
  <c r="C303" i="31"/>
  <c r="C3199" i="31"/>
  <c r="C1544" i="31"/>
  <c r="C2695" i="31"/>
  <c r="C1742" i="31"/>
  <c r="C2622" i="31"/>
  <c r="C1111" i="31"/>
  <c r="C2782" i="31"/>
  <c r="C161" i="31"/>
  <c r="C2616" i="31"/>
  <c r="C3286" i="31"/>
  <c r="C918" i="31"/>
  <c r="C1729" i="31"/>
  <c r="C1870" i="31"/>
  <c r="C589" i="31"/>
  <c r="C663" i="31"/>
  <c r="C292" i="31"/>
  <c r="C2005" i="31"/>
  <c r="C3398" i="31"/>
  <c r="C2945" i="31"/>
  <c r="C490" i="31"/>
  <c r="C2903" i="31"/>
  <c r="C952" i="31"/>
  <c r="C2726" i="31"/>
  <c r="C912" i="31"/>
  <c r="C3135" i="31"/>
  <c r="C938" i="31"/>
  <c r="C1801" i="31"/>
  <c r="C1602" i="31"/>
  <c r="C964" i="31"/>
  <c r="C1919" i="31"/>
  <c r="C2692" i="31"/>
  <c r="C2195" i="31"/>
  <c r="C1555" i="31"/>
  <c r="C651" i="31"/>
  <c r="C1332" i="31"/>
  <c r="C209" i="31"/>
  <c r="C1542" i="31"/>
  <c r="C2568" i="31"/>
  <c r="C3268" i="31"/>
  <c r="C3015" i="31"/>
  <c r="C271" i="31"/>
  <c r="C1619" i="31"/>
  <c r="C650" i="31"/>
  <c r="C1548" i="31"/>
  <c r="C1371" i="31"/>
  <c r="C2285" i="31"/>
  <c r="C608" i="31"/>
  <c r="C543" i="31"/>
  <c r="C1929" i="31"/>
  <c r="C2176" i="31"/>
  <c r="C1854" i="31"/>
  <c r="C1153" i="31"/>
  <c r="C1934" i="31"/>
  <c r="C1880" i="31"/>
  <c r="C1311" i="31"/>
  <c r="C3468" i="31"/>
  <c r="C1356" i="31"/>
  <c r="C2329" i="31"/>
  <c r="C873" i="31"/>
  <c r="C3397" i="31"/>
  <c r="C1845" i="31"/>
  <c r="C3529" i="31"/>
  <c r="C492" i="31"/>
  <c r="C1939" i="31"/>
  <c r="C171" i="31"/>
  <c r="C1511" i="31"/>
  <c r="C2711" i="31"/>
  <c r="C1910" i="31"/>
  <c r="C1106" i="31"/>
  <c r="C151" i="31"/>
  <c r="C465" i="31"/>
  <c r="C934" i="31"/>
  <c r="C3205" i="31"/>
  <c r="C2859" i="31"/>
  <c r="C2864" i="31"/>
  <c r="C1075" i="31"/>
  <c r="C1328" i="31"/>
  <c r="C3071" i="31"/>
  <c r="C63" i="31"/>
  <c r="C3280" i="31"/>
  <c r="C1712" i="31"/>
  <c r="C3141" i="31"/>
  <c r="C454" i="31"/>
  <c r="C333" i="31"/>
  <c r="C1730" i="31"/>
  <c r="C2712" i="31"/>
  <c r="C1850" i="31"/>
  <c r="C2747" i="31"/>
  <c r="C2098" i="31"/>
  <c r="C1678" i="31"/>
  <c r="C2215" i="31"/>
  <c r="C2596" i="31"/>
  <c r="C1688" i="31"/>
  <c r="C2633" i="31"/>
  <c r="C2900" i="31"/>
  <c r="C2319" i="31"/>
  <c r="C235" i="31"/>
  <c r="C1848" i="31"/>
  <c r="C1637" i="31"/>
  <c r="C1216" i="31"/>
  <c r="C2448" i="31"/>
  <c r="C2554" i="31"/>
  <c r="C1361" i="31"/>
  <c r="C1664" i="31"/>
  <c r="C443" i="31"/>
  <c r="C267" i="31"/>
  <c r="C1860" i="31"/>
  <c r="C1005" i="31"/>
  <c r="C3010" i="31"/>
  <c r="C1038" i="31"/>
  <c r="C2949" i="31"/>
  <c r="C123" i="31"/>
  <c r="C1505" i="31"/>
  <c r="C1746" i="31"/>
  <c r="C23" i="31"/>
  <c r="C549" i="31"/>
  <c r="C3526" i="31"/>
  <c r="C1078" i="31"/>
  <c r="C966" i="31"/>
  <c r="C2967" i="31"/>
  <c r="C2642" i="31"/>
  <c r="C1180" i="31"/>
  <c r="C2982" i="31"/>
  <c r="C1185" i="31"/>
  <c r="C385" i="31"/>
  <c r="C377" i="31"/>
  <c r="C2210" i="31"/>
  <c r="C3324" i="31"/>
  <c r="C2507" i="31"/>
  <c r="C744" i="31"/>
  <c r="C2451" i="31"/>
  <c r="C2242" i="31"/>
  <c r="C906" i="31"/>
  <c r="C1641" i="31"/>
  <c r="C239" i="31"/>
  <c r="C2959" i="31"/>
  <c r="C2916" i="31"/>
  <c r="C3206" i="31"/>
  <c r="C1139" i="31"/>
  <c r="C2774" i="31"/>
  <c r="C3484" i="31"/>
  <c r="C854" i="31"/>
  <c r="C105" i="31"/>
  <c r="C837" i="31"/>
  <c r="C1210" i="31"/>
  <c r="C1184" i="31"/>
  <c r="C2531" i="31"/>
  <c r="C3321" i="31"/>
  <c r="C2827" i="31"/>
  <c r="C1984" i="31"/>
  <c r="C1541" i="31"/>
  <c r="C3080" i="31"/>
  <c r="C1249" i="31"/>
  <c r="C1473" i="31"/>
  <c r="C323" i="31"/>
  <c r="C3231" i="31"/>
  <c r="C2202" i="31"/>
  <c r="C957" i="31"/>
  <c r="C3063" i="31"/>
  <c r="C2861" i="31"/>
  <c r="C336" i="31"/>
  <c r="C2872" i="31"/>
  <c r="C1181" i="31"/>
  <c r="C3075" i="31"/>
  <c r="C1551" i="31"/>
  <c r="C371" i="31"/>
  <c r="C275" i="31"/>
  <c r="C1521" i="31"/>
  <c r="C1128" i="31"/>
  <c r="C3139" i="31"/>
  <c r="C718" i="31"/>
  <c r="C1269" i="31"/>
  <c r="C3207" i="31"/>
  <c r="C1543" i="31"/>
  <c r="C864" i="31"/>
  <c r="C897" i="31"/>
  <c r="C2746" i="31"/>
  <c r="C785" i="31"/>
  <c r="C1085" i="31"/>
  <c r="C1884" i="31"/>
  <c r="C1302" i="31"/>
  <c r="C2694" i="31"/>
  <c r="C232" i="31"/>
  <c r="C1193" i="31"/>
  <c r="C1931" i="31"/>
  <c r="C2629" i="31"/>
  <c r="C1863" i="31"/>
  <c r="C241" i="31"/>
  <c r="C2377" i="31"/>
  <c r="C2026" i="31"/>
  <c r="C1309" i="31"/>
  <c r="C2221" i="31"/>
  <c r="C681" i="31"/>
  <c r="C3225" i="31"/>
  <c r="C136" i="31"/>
  <c r="C2355" i="31"/>
  <c r="C202" i="31"/>
  <c r="C1092" i="31"/>
  <c r="C2472" i="31"/>
  <c r="C2188" i="31"/>
  <c r="C1397" i="31"/>
  <c r="C2418" i="31"/>
  <c r="C3532" i="31"/>
  <c r="C282" i="31"/>
  <c r="C975" i="31"/>
  <c r="C523" i="31"/>
  <c r="C54" i="31"/>
  <c r="C1556" i="31"/>
  <c r="C1900" i="31"/>
  <c r="C2374" i="31"/>
  <c r="C390" i="31"/>
  <c r="C2347" i="31"/>
  <c r="C2384" i="31"/>
  <c r="C1566" i="31"/>
  <c r="C308" i="31"/>
  <c r="C2390" i="31"/>
  <c r="C927" i="31"/>
  <c r="C1533" i="31"/>
  <c r="C99" i="31"/>
  <c r="C1611" i="31"/>
  <c r="C2912" i="31"/>
  <c r="C917" i="31"/>
  <c r="C1459" i="31"/>
  <c r="C1797" i="31"/>
  <c r="C1323" i="31"/>
  <c r="C3500" i="31"/>
  <c r="C1267" i="31"/>
  <c r="C2576" i="31"/>
  <c r="C2109" i="31"/>
  <c r="C1107" i="31"/>
  <c r="C1953" i="31"/>
  <c r="C1358" i="31"/>
  <c r="C1061" i="31"/>
  <c r="C2041" i="31"/>
  <c r="C693" i="31"/>
  <c r="C961" i="31"/>
  <c r="C948" i="31"/>
  <c r="C1727" i="31"/>
  <c r="C3296" i="31"/>
  <c r="C1999" i="31"/>
  <c r="C2094" i="31"/>
  <c r="C2474" i="31"/>
  <c r="C2051" i="31"/>
  <c r="C3096" i="31"/>
  <c r="C274" i="31"/>
  <c r="C479" i="31"/>
  <c r="C1599" i="31"/>
  <c r="C1105" i="31"/>
  <c r="C3003" i="31"/>
  <c r="C2278" i="31"/>
  <c r="C611" i="31"/>
  <c r="C711" i="31"/>
  <c r="C2946" i="31"/>
  <c r="C1988" i="31"/>
  <c r="C739" i="31"/>
  <c r="C1646" i="31"/>
  <c r="C2627" i="31"/>
  <c r="C3117" i="31"/>
  <c r="C1052" i="31"/>
  <c r="C2793" i="31"/>
  <c r="C3082" i="31"/>
  <c r="C1198" i="31"/>
  <c r="C1956" i="31"/>
  <c r="C2237" i="31"/>
  <c r="C2676" i="31"/>
  <c r="C3531" i="31"/>
  <c r="C3288" i="31"/>
  <c r="C1116" i="31"/>
  <c r="C2803" i="31"/>
  <c r="C1898" i="31"/>
  <c r="C501" i="31"/>
  <c r="C1275" i="31"/>
  <c r="C2580" i="31"/>
  <c r="C2226" i="31"/>
  <c r="C1008" i="31"/>
  <c r="C2831" i="31"/>
  <c r="C2369" i="31"/>
  <c r="C3165" i="31"/>
  <c r="C1638" i="31"/>
  <c r="C2719" i="31"/>
  <c r="C2368" i="31"/>
  <c r="C751" i="31"/>
  <c r="C926" i="31"/>
  <c r="C522" i="31"/>
  <c r="C421" i="31"/>
  <c r="C3112" i="31"/>
  <c r="C1290" i="31"/>
  <c r="C265" i="31"/>
  <c r="C290" i="31"/>
  <c r="C556" i="31"/>
  <c r="C1890" i="31"/>
  <c r="C1885" i="31"/>
  <c r="C320" i="31"/>
  <c r="C2498" i="31"/>
  <c r="C1359" i="31"/>
  <c r="C3386" i="31"/>
  <c r="C1169" i="31"/>
  <c r="C3083" i="31"/>
  <c r="C481" i="31"/>
  <c r="C1785" i="31"/>
  <c r="C2033" i="31"/>
  <c r="C1042" i="31"/>
  <c r="C3322" i="31"/>
  <c r="C1835" i="31"/>
  <c r="C2348" i="31"/>
  <c r="C423" i="31"/>
  <c r="C1357" i="31"/>
  <c r="C3167" i="31"/>
  <c r="C436" i="31"/>
  <c r="C998" i="31"/>
  <c r="C3516" i="31"/>
  <c r="C3400" i="31"/>
  <c r="C1123" i="31"/>
  <c r="C489" i="31"/>
  <c r="C2476" i="31"/>
  <c r="C1744" i="31"/>
  <c r="C2281" i="31"/>
  <c r="C1657" i="31"/>
  <c r="C434" i="31"/>
  <c r="C2527" i="31"/>
  <c r="C1888" i="31"/>
  <c r="C2915" i="31"/>
  <c r="C110" i="31"/>
  <c r="C2330" i="31"/>
  <c r="C1270" i="31"/>
  <c r="C3312" i="31"/>
  <c r="C2037" i="31"/>
  <c r="C1969" i="31"/>
  <c r="C836" i="31"/>
  <c r="C2691" i="31"/>
  <c r="C294" i="31"/>
  <c r="C362" i="31"/>
  <c r="C2058" i="31"/>
  <c r="C2401" i="31"/>
  <c r="C1800" i="31"/>
  <c r="C1975" i="31"/>
  <c r="C953" i="31"/>
  <c r="C1652" i="31"/>
  <c r="C1911" i="31"/>
  <c r="C1467" i="31"/>
  <c r="C817" i="31"/>
  <c r="C995" i="31"/>
  <c r="C1474" i="31"/>
  <c r="C942" i="31"/>
  <c r="C1264" i="31"/>
  <c r="C1342" i="31"/>
  <c r="C1944" i="31"/>
  <c r="C1091" i="31"/>
  <c r="C115" i="31"/>
  <c r="C3340" i="31"/>
  <c r="C182" i="31"/>
  <c r="C2240" i="31"/>
  <c r="C1875" i="31"/>
  <c r="C76" i="31"/>
  <c r="C1963" i="31"/>
  <c r="C2086" i="31"/>
  <c r="C2850" i="31"/>
  <c r="C2600" i="31"/>
  <c r="C2346" i="31"/>
  <c r="C488" i="31"/>
  <c r="C2509" i="31"/>
  <c r="C862" i="31"/>
  <c r="C2482" i="31"/>
  <c r="C2918" i="31"/>
  <c r="C1300" i="31"/>
  <c r="C2690" i="31"/>
  <c r="C1479" i="31"/>
  <c r="C2367" i="31"/>
  <c r="C364" i="31"/>
  <c r="C2865" i="31"/>
  <c r="C2173" i="31"/>
  <c r="C2341" i="31"/>
  <c r="C192" i="31"/>
  <c r="C1725" i="31"/>
  <c r="C2902" i="31"/>
  <c r="C337" i="31"/>
  <c r="C288" i="31"/>
  <c r="C872" i="31"/>
  <c r="C220" i="31"/>
  <c r="C1427" i="31"/>
  <c r="C1054" i="31"/>
  <c r="C2899" i="31"/>
  <c r="C1152" i="31"/>
  <c r="C2908" i="31"/>
  <c r="C1019" i="31"/>
  <c r="C2168" i="31"/>
  <c r="C1506" i="31"/>
  <c r="C2154" i="31"/>
  <c r="C1486" i="31"/>
  <c r="C400" i="31"/>
  <c r="C2769" i="31"/>
  <c r="C856" i="31"/>
  <c r="C3055" i="31"/>
  <c r="C1127" i="31"/>
  <c r="C215" i="31"/>
  <c r="C1167" i="31"/>
  <c r="C520" i="31"/>
  <c r="C1097" i="31"/>
  <c r="C3088" i="31"/>
  <c r="C1027" i="31"/>
  <c r="C2100" i="31"/>
  <c r="C2647" i="31"/>
  <c r="C968" i="31"/>
  <c r="C1958" i="31"/>
  <c r="C2587" i="31"/>
  <c r="C1591" i="31"/>
  <c r="C2169" i="31"/>
  <c r="C3069" i="31"/>
  <c r="C1025" i="31"/>
  <c r="C1972" i="31"/>
  <c r="C1559" i="31"/>
  <c r="C796" i="31"/>
  <c r="C2963" i="31"/>
  <c r="C802" i="31"/>
  <c r="C2223" i="31"/>
  <c r="C2436" i="31"/>
  <c r="C2137" i="31"/>
  <c r="C3235" i="31"/>
  <c r="C1996" i="31"/>
  <c r="C2267" i="31"/>
  <c r="C329" i="31"/>
  <c r="C214" i="31"/>
  <c r="C1897" i="31"/>
  <c r="C229" i="31"/>
  <c r="C1647" i="31"/>
  <c r="C2464" i="31"/>
  <c r="C550" i="31"/>
  <c r="C915" i="31"/>
  <c r="C1811" i="31"/>
  <c r="C1528" i="31"/>
  <c r="C1074" i="31"/>
  <c r="C2232" i="31"/>
  <c r="C2249" i="31"/>
  <c r="C661" i="31"/>
  <c r="C2455" i="31"/>
  <c r="C67" i="31"/>
  <c r="C1000" i="31"/>
  <c r="C2555" i="31"/>
  <c r="C2938" i="31"/>
  <c r="C531" i="31"/>
  <c r="C2321" i="31"/>
  <c r="C159" i="31"/>
  <c r="C301" i="31"/>
  <c r="C1016" i="31"/>
  <c r="C85" i="31"/>
  <c r="C816" i="31"/>
  <c r="C895" i="31"/>
  <c r="C352" i="31"/>
  <c r="C871" i="31"/>
  <c r="C3163" i="31"/>
  <c r="C478" i="31"/>
  <c r="C646" i="31"/>
  <c r="C2050" i="31"/>
  <c r="C2885" i="31"/>
  <c r="C1238" i="31"/>
  <c r="C261" i="31"/>
  <c r="C2755" i="31"/>
  <c r="C1930" i="31"/>
  <c r="C262" i="31"/>
  <c r="C1218" i="31"/>
  <c r="C3046" i="31"/>
  <c r="C1340" i="31"/>
  <c r="C483" i="31"/>
  <c r="C3109" i="31"/>
  <c r="C2784" i="31"/>
  <c r="C3195" i="31"/>
  <c r="C304" i="31"/>
  <c r="C79" i="31"/>
  <c r="C2253" i="31"/>
  <c r="C187" i="31"/>
  <c r="C2197" i="31"/>
  <c r="C504" i="31"/>
  <c r="C1886" i="31"/>
  <c r="C1412" i="31"/>
  <c r="C2992" i="31"/>
  <c r="C2089" i="31"/>
  <c r="C2396" i="31"/>
  <c r="C3198" i="31"/>
  <c r="C2046" i="31"/>
  <c r="C2055" i="31"/>
  <c r="C2605" i="31"/>
  <c r="C1064" i="31"/>
  <c r="C3368" i="31"/>
  <c r="C1040" i="31"/>
  <c r="C2103" i="31"/>
  <c r="C2907" i="31"/>
  <c r="C2603" i="31"/>
  <c r="C2632" i="31"/>
  <c r="C935" i="31"/>
  <c r="C3214" i="31"/>
  <c r="C896" i="31"/>
  <c r="C97" i="31"/>
  <c r="C3065" i="31"/>
  <c r="C2207" i="31"/>
  <c r="C688" i="31"/>
  <c r="C1980" i="31"/>
  <c r="C2420" i="31"/>
  <c r="C225" i="31"/>
  <c r="C2815" i="31"/>
  <c r="C1063" i="31"/>
  <c r="C676" i="31"/>
  <c r="C2247" i="31"/>
  <c r="C1518" i="31"/>
  <c r="C2230" i="31"/>
  <c r="C3009" i="31"/>
  <c r="C236" i="31"/>
  <c r="C1792" i="31"/>
  <c r="C1681" i="31"/>
  <c r="C576" i="31"/>
  <c r="C610" i="31"/>
  <c r="C3029" i="31"/>
  <c r="C536" i="31"/>
  <c r="C1346" i="31"/>
  <c r="C1862" i="31"/>
  <c r="C2820" i="31"/>
  <c r="C1414" i="31"/>
  <c r="C1699" i="31"/>
  <c r="C2116" i="31"/>
  <c r="C2443" i="31"/>
  <c r="C2520" i="31"/>
  <c r="C2077" i="31"/>
  <c r="C528" i="31"/>
  <c r="C624" i="31"/>
  <c r="C2191" i="31"/>
  <c r="C774" i="31"/>
  <c r="C1841" i="31"/>
  <c r="C2643" i="31"/>
  <c r="C908" i="31"/>
  <c r="C2303" i="31"/>
  <c r="C3052" i="31"/>
  <c r="C1087" i="31"/>
  <c r="C1512" i="31"/>
  <c r="C3097" i="31"/>
  <c r="C431" i="31"/>
  <c r="C780" i="31"/>
  <c r="C2810" i="31"/>
  <c r="C1343" i="31"/>
  <c r="C2338" i="31"/>
  <c r="C1036" i="31"/>
  <c r="C579" i="31"/>
  <c r="C947" i="31"/>
  <c r="C1587" i="31"/>
  <c r="C1310" i="31"/>
  <c r="C2767" i="31"/>
  <c r="C2445" i="31"/>
  <c r="C1829" i="31"/>
  <c r="C3341" i="31"/>
  <c r="C2787" i="31"/>
  <c r="C2142" i="31"/>
  <c r="C600" i="31"/>
  <c r="C321" i="31"/>
  <c r="C3011" i="31"/>
  <c r="C1022" i="31"/>
  <c r="C1560" i="31"/>
  <c r="C3114" i="31"/>
  <c r="C2248" i="31"/>
  <c r="C1114" i="31"/>
  <c r="C1148" i="31"/>
  <c r="C2308" i="31"/>
  <c r="C335" i="31"/>
  <c r="C3320" i="31"/>
  <c r="C1770" i="31"/>
  <c r="C1243" i="31"/>
  <c r="C1989" i="31"/>
  <c r="C1908" i="31"/>
  <c r="C2654" i="31"/>
  <c r="C1227" i="31"/>
  <c r="C581" i="31"/>
  <c r="C759" i="31"/>
  <c r="C2835" i="31"/>
  <c r="C601" i="31"/>
  <c r="C2722" i="31"/>
  <c r="C1161" i="31"/>
  <c r="C3121" i="31"/>
  <c r="C2012" i="31"/>
  <c r="C2619" i="31"/>
  <c r="C699" i="31"/>
  <c r="C1710" i="31"/>
  <c r="C2194" i="31"/>
  <c r="C1924" i="31"/>
  <c r="C2802" i="31"/>
  <c r="C828" i="31"/>
  <c r="C3367" i="31"/>
  <c r="C630" i="31"/>
  <c r="C772" i="31"/>
  <c r="C2269" i="31"/>
  <c r="C1367" i="31"/>
  <c r="C3540" i="31"/>
  <c r="C541" i="31"/>
  <c r="C591" i="31"/>
  <c r="C558" i="31"/>
  <c r="C318" i="31"/>
  <c r="C2241" i="31"/>
  <c r="C1012" i="31"/>
  <c r="C3044" i="31"/>
  <c r="C2333" i="31"/>
  <c r="C787" i="31"/>
  <c r="C2829" i="31"/>
  <c r="C1598" i="31"/>
  <c r="C2397" i="31"/>
  <c r="C678" i="31"/>
  <c r="C3056" i="31"/>
  <c r="C729" i="31"/>
  <c r="C519" i="31"/>
  <c r="C1337" i="31"/>
  <c r="C1108" i="31"/>
  <c r="C572" i="31"/>
  <c r="C315" i="31"/>
  <c r="C42" i="31"/>
  <c r="C1603" i="31"/>
  <c r="C1010" i="31"/>
  <c r="C2964" i="31"/>
  <c r="C2750" i="31"/>
  <c r="C505" i="31"/>
  <c r="C1755" i="31"/>
  <c r="C1787" i="31"/>
  <c r="C1425" i="31"/>
  <c r="C2244" i="31"/>
  <c r="C1316" i="31"/>
  <c r="C2972" i="31"/>
  <c r="C784" i="31"/>
  <c r="C2314" i="31"/>
  <c r="C988" i="31"/>
  <c r="C1912" i="31"/>
  <c r="C430" i="31"/>
  <c r="C1840" i="31"/>
  <c r="C3278" i="31"/>
  <c r="C881" i="31"/>
  <c r="C343" i="31"/>
  <c r="C2751" i="31"/>
  <c r="C996" i="31"/>
  <c r="C1219" i="31"/>
  <c r="C1319" i="31"/>
  <c r="C1608" i="31"/>
  <c r="C3119" i="31"/>
  <c r="C280" i="31"/>
  <c r="C3006" i="31"/>
  <c r="C2615" i="31"/>
  <c r="C1691" i="31"/>
  <c r="C1071" i="31"/>
  <c r="C1255" i="31"/>
  <c r="C582" i="31"/>
  <c r="C1418" i="31"/>
  <c r="C2174" i="31"/>
  <c r="C1053" i="31"/>
  <c r="C950" i="31"/>
  <c r="C2668" i="31"/>
  <c r="C2610" i="31"/>
  <c r="C1146" i="31"/>
  <c r="C3424" i="31"/>
  <c r="C3159" i="31"/>
  <c r="C451" i="31"/>
  <c r="C3172" i="31"/>
  <c r="C627" i="31"/>
  <c r="C126" i="31"/>
  <c r="C2133" i="31"/>
  <c r="C1578" i="31"/>
  <c r="C2558" i="31"/>
  <c r="C1887" i="31"/>
  <c r="C1993" i="31"/>
  <c r="C2493" i="31"/>
  <c r="C2601" i="31"/>
  <c r="C843" i="31"/>
  <c r="C2664" i="31"/>
  <c r="C2887" i="31"/>
  <c r="C1002" i="31"/>
  <c r="C982" i="31"/>
  <c r="C2675" i="31"/>
  <c r="C327" i="31"/>
  <c r="C233" i="31"/>
  <c r="C2220" i="31"/>
  <c r="C1201" i="31"/>
  <c r="C1964" i="31"/>
  <c r="C2942" i="31"/>
  <c r="C2243" i="31"/>
  <c r="C703" i="31"/>
  <c r="C257" i="31"/>
  <c r="C169" i="31"/>
  <c r="C1390" i="31"/>
  <c r="C2661" i="31"/>
  <c r="C2463" i="31"/>
  <c r="C1979" i="31"/>
  <c r="C1961" i="31"/>
  <c r="C3226" i="31"/>
  <c r="C1554" i="31"/>
  <c r="C1694" i="31"/>
  <c r="C101" i="31"/>
  <c r="C1855" i="31"/>
  <c r="C1281" i="31"/>
  <c r="C2263" i="31"/>
  <c r="C2842" i="31"/>
  <c r="C617" i="31"/>
  <c r="C2315" i="31"/>
  <c r="C619" i="31"/>
  <c r="C544" i="31"/>
  <c r="C2449" i="31"/>
  <c r="C3240" i="31"/>
  <c r="C564" i="31"/>
  <c r="C1788" i="31"/>
  <c r="C701" i="31"/>
  <c r="C506" i="31"/>
  <c r="C3236" i="31"/>
  <c r="C2681" i="31"/>
  <c r="C3266" i="31"/>
  <c r="C2934" i="31"/>
  <c r="C2839" i="31"/>
  <c r="C1222" i="31"/>
  <c r="C3085" i="31"/>
  <c r="C2059" i="31"/>
  <c r="C3131" i="31"/>
  <c r="C1443" i="31"/>
  <c r="C341" i="31"/>
  <c r="C1851" i="31"/>
  <c r="C2203" i="31"/>
  <c r="C702" i="31"/>
  <c r="C1872" i="31"/>
  <c r="C1992" i="31"/>
  <c r="C2052" i="31"/>
  <c r="C2672" i="31"/>
  <c r="C2978" i="31"/>
  <c r="C3081" i="31"/>
  <c r="C3154" i="31"/>
  <c r="C1246" i="31"/>
  <c r="C179" i="31"/>
  <c r="C2097" i="31"/>
  <c r="C2717" i="31"/>
  <c r="C824" i="31"/>
  <c r="C1350" i="31"/>
  <c r="C2966" i="31"/>
  <c r="C842" i="31"/>
  <c r="C2121" i="31"/>
  <c r="C339" i="31"/>
  <c r="C1314" i="31"/>
  <c r="C1234" i="31"/>
  <c r="C1283" i="31"/>
  <c r="C518" i="31"/>
  <c r="C2505" i="31"/>
  <c r="C2317" i="31"/>
  <c r="C1258" i="31"/>
  <c r="C3315" i="31"/>
  <c r="C2562" i="31"/>
  <c r="C1130" i="31"/>
  <c r="C2288" i="31"/>
  <c r="C1580" i="31"/>
  <c r="C1261" i="31"/>
  <c r="C3039" i="31"/>
  <c r="C1172" i="31"/>
  <c r="C595" i="31"/>
  <c r="C2952" i="31"/>
  <c r="C1789" i="31"/>
  <c r="C1762" i="31"/>
  <c r="C3188" i="31"/>
  <c r="C204" i="31"/>
  <c r="C1700" i="31"/>
  <c r="C299" i="31"/>
  <c r="C3290" i="31"/>
  <c r="C1112" i="31"/>
  <c r="C2731" i="31"/>
  <c r="C1661" i="31"/>
  <c r="C1484" i="31"/>
  <c r="C2753" i="31"/>
  <c r="C2229" i="31"/>
  <c r="C1510" i="31"/>
  <c r="C1187" i="31"/>
  <c r="C1509" i="31"/>
  <c r="C2433" i="31"/>
  <c r="C3152" i="31"/>
  <c r="C2354" i="31"/>
  <c r="C1271" i="31"/>
  <c r="C1865" i="31"/>
  <c r="C2567" i="31"/>
  <c r="C1607" i="31"/>
  <c r="C888" i="31"/>
  <c r="C412" i="31"/>
  <c r="C2256" i="31"/>
  <c r="C245" i="31"/>
  <c r="C1296" i="31"/>
  <c r="C1504" i="31"/>
  <c r="C1971" i="31"/>
  <c r="C2762" i="31"/>
  <c r="C771" i="31"/>
  <c r="C1220" i="31"/>
  <c r="C269" i="31"/>
  <c r="C2798" i="31"/>
  <c r="C3073" i="31"/>
  <c r="C1624" i="31"/>
  <c r="C547" i="31"/>
  <c r="C2453" i="31"/>
  <c r="C1009" i="31"/>
  <c r="C3212" i="31"/>
  <c r="C2337" i="31"/>
  <c r="C1844" i="31"/>
  <c r="C2264" i="31"/>
  <c r="C1616" i="31"/>
  <c r="C2163" i="31"/>
  <c r="C946" i="31"/>
  <c r="C2258" i="31"/>
  <c r="C43" i="31"/>
  <c r="C645" i="31"/>
  <c r="C766" i="31"/>
  <c r="C103" i="31"/>
  <c r="C691" i="31"/>
  <c r="C345" i="31"/>
  <c r="C1889" i="31"/>
  <c r="C725" i="31"/>
  <c r="C2066" i="31"/>
  <c r="C2559" i="31"/>
  <c r="C1483" i="31"/>
  <c r="C1202" i="31"/>
  <c r="C1327" i="31"/>
  <c r="C2637" i="31"/>
  <c r="C2461" i="31"/>
  <c r="C955" i="31"/>
  <c r="C3269" i="31"/>
  <c r="C1817" i="31"/>
  <c r="C2483" i="31"/>
  <c r="C3263" i="31"/>
  <c r="C1515" i="31"/>
  <c r="C3539" i="31"/>
  <c r="C1470" i="31"/>
  <c r="C3239" i="31"/>
  <c r="C943" i="31"/>
  <c r="C2780" i="31"/>
  <c r="C3140" i="31"/>
  <c r="C930" i="31"/>
  <c r="C1799" i="31"/>
  <c r="C2183" i="31"/>
  <c r="C892" i="31"/>
  <c r="C2186" i="31"/>
  <c r="C783" i="31"/>
  <c r="C1613" i="31"/>
  <c r="C527" i="31"/>
  <c r="C58" i="31"/>
  <c r="C205" i="31"/>
  <c r="C2447" i="31"/>
  <c r="C2797" i="31"/>
  <c r="C1899" i="31"/>
  <c r="C2794" i="31"/>
  <c r="C3279" i="31"/>
  <c r="C2387" i="31"/>
  <c r="C857" i="31"/>
  <c r="C2994" i="31"/>
  <c r="C921" i="31"/>
  <c r="C2649" i="31"/>
  <c r="C3272" i="31"/>
  <c r="C3028" i="31"/>
  <c r="C779" i="31"/>
  <c r="C800" i="31"/>
  <c r="C1045" i="31"/>
  <c r="C1666" i="31"/>
  <c r="C1413" i="31"/>
  <c r="C1170" i="31"/>
  <c r="C1780" i="31"/>
  <c r="C2911" i="31"/>
  <c r="C1059" i="31"/>
  <c r="C2392" i="31"/>
  <c r="C1947" i="31"/>
  <c r="C1289" i="31"/>
  <c r="C62" i="31"/>
  <c r="C3215" i="31"/>
  <c r="C3200" i="31"/>
  <c r="C3311" i="31"/>
  <c r="C1660" i="31"/>
  <c r="C1674" i="31"/>
  <c r="C1377" i="31"/>
  <c r="C2801" i="31"/>
  <c r="C2607" i="31"/>
  <c r="C2255" i="31"/>
  <c r="C3261" i="31"/>
  <c r="C3103" i="31"/>
  <c r="C480" i="31"/>
  <c r="C753" i="31"/>
  <c r="C2844" i="31"/>
  <c r="C95" i="31"/>
  <c r="C2512" i="31"/>
  <c r="C1478" i="31"/>
  <c r="C557" i="31"/>
  <c r="C3049" i="31"/>
  <c r="C2224" i="31"/>
  <c r="C2606" i="31"/>
  <c r="C3178" i="31"/>
  <c r="C3061" i="31"/>
  <c r="C788" i="31"/>
  <c r="C1447" i="31"/>
  <c r="C342" i="31"/>
  <c r="C219" i="31"/>
  <c r="C620" i="31"/>
  <c r="C2727" i="31"/>
  <c r="C2343" i="31"/>
  <c r="C2353" i="31"/>
  <c r="C2349" i="31"/>
  <c r="C22" i="31"/>
  <c r="C2166" i="31"/>
  <c r="C1285" i="31"/>
  <c r="C1825" i="31"/>
  <c r="C923" i="31"/>
  <c r="C2300" i="31"/>
  <c r="C2422" i="31"/>
  <c r="C2157" i="31"/>
  <c r="C1178" i="31"/>
  <c r="C367" i="31"/>
  <c r="C3318" i="31"/>
  <c r="C2777" i="31"/>
  <c r="C2394" i="31"/>
  <c r="C1279" i="31"/>
  <c r="C28" i="31"/>
  <c r="C1189" i="31"/>
  <c r="C1491" i="31"/>
  <c r="C3399" i="31"/>
  <c r="C388" i="31"/>
  <c r="C2817" i="31"/>
  <c r="C3255" i="31"/>
  <c r="C2951" i="31"/>
  <c r="C1791" i="31"/>
  <c r="C1552" i="31"/>
  <c r="C1765" i="31"/>
  <c r="C1812" i="31"/>
  <c r="C466" i="31"/>
  <c r="C792" i="31"/>
  <c r="C2875" i="31"/>
  <c r="C1790" i="31"/>
  <c r="C3040" i="31"/>
  <c r="C2006" i="31"/>
  <c r="C1562" i="31"/>
  <c r="C194" i="31"/>
  <c r="C1632" i="31"/>
  <c r="C2065" i="31"/>
  <c r="C2117" i="31"/>
  <c r="C1426" i="31"/>
  <c r="C444" i="31"/>
  <c r="C1807" i="31"/>
  <c r="C1589" i="31"/>
  <c r="C3095" i="31"/>
  <c r="C1720" i="31"/>
  <c r="C70" i="31"/>
  <c r="C2917" i="31"/>
  <c r="C2049" i="31"/>
  <c r="C1403" i="31"/>
  <c r="C2804" i="31"/>
  <c r="C614" i="31"/>
  <c r="C2742" i="31"/>
  <c r="C2499" i="31"/>
  <c r="C1866" i="31"/>
  <c r="C2136" i="31"/>
  <c r="C1547" i="31"/>
  <c r="C2246" i="31"/>
  <c r="C1768" i="31"/>
  <c r="C391" i="31"/>
  <c r="C291" i="31"/>
  <c r="C448" i="31"/>
  <c r="C2733" i="31"/>
  <c r="C497" i="31"/>
  <c r="C306" i="31"/>
  <c r="C2537" i="31"/>
  <c r="C2440" i="31"/>
  <c r="C1717" i="31"/>
  <c r="C727" i="31"/>
  <c r="C1335" i="31"/>
  <c r="C1393" i="31"/>
  <c r="C1280" i="31"/>
  <c r="C125" i="31"/>
  <c r="C3031" i="31"/>
  <c r="C2626" i="31"/>
  <c r="C1049" i="31"/>
  <c r="C844" i="31"/>
  <c r="C399" i="31"/>
  <c r="C2680" i="31"/>
  <c r="C2145" i="31"/>
  <c r="C590" i="31"/>
  <c r="C1719" i="31"/>
  <c r="C2189" i="31"/>
  <c r="C164" i="31"/>
  <c r="C1756" i="31"/>
  <c r="C3171" i="31"/>
  <c r="C2484" i="31"/>
  <c r="C726" i="31"/>
  <c r="C168" i="31"/>
  <c r="C503" i="31"/>
  <c r="C3033" i="31"/>
  <c r="C3257" i="31"/>
  <c r="C2406" i="31"/>
  <c r="C609" i="31"/>
  <c r="C1125" i="31"/>
  <c r="C3068" i="31"/>
  <c r="C1046" i="31"/>
  <c r="C1487" i="31"/>
  <c r="C2386" i="31"/>
  <c r="C2025" i="31"/>
  <c r="C1400" i="31"/>
  <c r="C2869" i="31"/>
  <c r="C2511" i="31"/>
  <c r="C588" i="31"/>
  <c r="C2216" i="31"/>
  <c r="C206" i="31"/>
  <c r="C3291" i="31"/>
  <c r="C736" i="31"/>
  <c r="C1828" i="31"/>
  <c r="C1495" i="31"/>
  <c r="C1093" i="31"/>
  <c r="C1132" i="31"/>
  <c r="C2172" i="31"/>
  <c r="C2905" i="31"/>
  <c r="C2943" i="31"/>
  <c r="C463" i="31"/>
  <c r="C1094" i="31"/>
  <c r="C2062" i="31"/>
  <c r="C1527" i="31"/>
  <c r="C2584" i="31"/>
  <c r="C2114" i="31"/>
  <c r="C999" i="31"/>
  <c r="C2764" i="31"/>
  <c r="C471" i="31"/>
  <c r="C2167" i="31"/>
  <c r="C698" i="31"/>
  <c r="C2932" i="31"/>
  <c r="C801" i="31"/>
  <c r="C1914" i="31"/>
  <c r="C1682" i="31"/>
  <c r="C684" i="31"/>
  <c r="C120" i="31"/>
  <c r="C457" i="31"/>
  <c r="C3274" i="31"/>
  <c r="C2304" i="31"/>
  <c r="C293" i="31"/>
  <c r="C924" i="31"/>
  <c r="C2845" i="31"/>
  <c r="C2295" i="31"/>
  <c r="C2996" i="31"/>
  <c r="C1056" i="31"/>
  <c r="C2212" i="31"/>
  <c r="C3218" i="31"/>
  <c r="C755" i="31"/>
  <c r="C2896" i="31"/>
  <c r="C104" i="31"/>
  <c r="C270" i="31"/>
  <c r="C1024" i="31"/>
  <c r="C1354" i="31"/>
  <c r="C118" i="31"/>
  <c r="C2655" i="31"/>
  <c r="C2704" i="31"/>
  <c r="C776" i="31"/>
  <c r="C949" i="31"/>
  <c r="C500" i="31"/>
  <c r="C821" i="31"/>
  <c r="C2032" i="31"/>
  <c r="C704" i="31"/>
  <c r="C1689" i="31"/>
  <c r="C2153" i="31"/>
  <c r="C781" i="31"/>
  <c r="C1826" i="31"/>
  <c r="C2494" i="31"/>
  <c r="C2983" i="31"/>
  <c r="C1352" i="31"/>
  <c r="C3066" i="31"/>
  <c r="C404" i="31"/>
  <c r="C3013" i="31"/>
  <c r="C973" i="31"/>
  <c r="C1096" i="31"/>
  <c r="C3301" i="31"/>
  <c r="C3168" i="31"/>
  <c r="C876" i="31"/>
  <c r="C1404" i="31"/>
  <c r="C1754" i="31"/>
  <c r="C2501" i="31"/>
  <c r="C44" i="31"/>
  <c r="C3420" i="31"/>
  <c r="C2833" i="31"/>
  <c r="C993" i="31"/>
  <c r="C1655" i="31"/>
  <c r="C3314" i="31"/>
  <c r="C2307" i="31"/>
  <c r="C758" i="31"/>
  <c r="C1476" i="31"/>
  <c r="C2518" i="31"/>
  <c r="C2318" i="31"/>
  <c r="C284" i="31"/>
  <c r="C213" i="31"/>
  <c r="C1781" i="31"/>
  <c r="C666" i="31"/>
  <c r="C3294" i="31"/>
  <c r="C2937" i="31"/>
  <c r="C2294" i="31"/>
  <c r="C890" i="31"/>
  <c r="C525" i="31"/>
  <c r="C1731" i="31"/>
  <c r="C2779" i="31"/>
  <c r="C1286" i="31"/>
  <c r="C3197" i="31"/>
  <c r="C2435" i="31"/>
  <c r="C2276" i="31"/>
  <c r="C2699" i="31"/>
  <c r="C3128" i="31"/>
  <c r="C532" i="31"/>
  <c r="C3229" i="31"/>
  <c r="C147" i="31"/>
  <c r="C3181" i="31"/>
  <c r="C667" i="31"/>
  <c r="C2922" i="31"/>
  <c r="C1363" i="31"/>
  <c r="C2092" i="31"/>
  <c r="C1026" i="31"/>
  <c r="C94" i="31"/>
  <c r="C2127" i="31"/>
  <c r="C831" i="31"/>
  <c r="C2395" i="31"/>
  <c r="C1166" i="31"/>
  <c r="C984" i="31"/>
  <c r="C3271" i="31"/>
  <c r="C64" i="31"/>
  <c r="C1600" i="31"/>
  <c r="C394" i="31"/>
  <c r="C1387" i="31"/>
  <c r="C838" i="31"/>
  <c r="C939" i="31"/>
  <c r="C2428" i="31"/>
  <c r="C2617" i="31"/>
  <c r="C107" i="31"/>
  <c r="C3224" i="31"/>
  <c r="C3098" i="31"/>
  <c r="C1526" i="31"/>
  <c r="C967" i="31"/>
  <c r="C2427" i="31"/>
  <c r="C49" i="31"/>
  <c r="C2309" i="31"/>
  <c r="C587" i="31"/>
  <c r="C2470" i="31"/>
  <c r="C2687" i="31"/>
  <c r="C1750" i="31"/>
  <c r="C1386" i="31"/>
  <c r="C1798" i="31"/>
  <c r="C193" i="31"/>
  <c r="C1763" i="31"/>
  <c r="C1627" i="31"/>
  <c r="C1761" i="31"/>
  <c r="C2852" i="31"/>
  <c r="C2332" i="31"/>
  <c r="C618" i="31"/>
  <c r="C1943" i="31"/>
  <c r="C1540" i="31"/>
  <c r="C3361" i="31"/>
  <c r="C163" i="31"/>
  <c r="C2985" i="31"/>
  <c r="C2618" i="31"/>
  <c r="C368" i="31"/>
  <c r="C2486" i="31"/>
  <c r="C3419" i="31"/>
  <c r="C1228" i="31"/>
  <c r="C496" i="31"/>
  <c r="C48" i="31"/>
  <c r="C3042" i="31"/>
  <c r="C2138" i="31"/>
  <c r="C2624" i="31"/>
  <c r="C1703" i="31"/>
  <c r="C3359" i="31"/>
  <c r="C1774" i="31"/>
  <c r="C841" i="31"/>
  <c r="C1203" i="31"/>
  <c r="C3522" i="31"/>
  <c r="C2407" i="31"/>
  <c r="C2147" i="31"/>
  <c r="C165" i="31"/>
  <c r="C2599" i="31"/>
  <c r="C1039" i="31"/>
  <c r="C2805" i="31"/>
  <c r="C2525" i="31"/>
  <c r="C498" i="31"/>
  <c r="C1066" i="31"/>
  <c r="C562" i="31"/>
  <c r="C1507" i="31"/>
  <c r="C1668" i="31"/>
  <c r="C859" i="31"/>
  <c r="C808" i="31"/>
  <c r="C2088" i="31"/>
  <c r="C378" i="31"/>
  <c r="C712" i="31"/>
  <c r="C1160" i="31"/>
  <c r="C1278" i="31"/>
  <c r="C1654" i="31"/>
  <c r="C1147" i="31"/>
  <c r="C1697" i="31"/>
  <c r="C2187" i="31"/>
  <c r="C2035" i="31"/>
  <c r="C1942" i="31"/>
  <c r="C2409" i="31"/>
  <c r="C1037" i="31"/>
  <c r="C1535" i="31"/>
  <c r="C1669" i="31"/>
  <c r="C2135" i="31"/>
  <c r="C689" i="31"/>
  <c r="C2262" i="31"/>
  <c r="C2095" i="31"/>
  <c r="C1195" i="31"/>
  <c r="C1162" i="31"/>
  <c r="C2424" i="31"/>
  <c r="C2363" i="31"/>
  <c r="C2968" i="31"/>
  <c r="C2635" i="31"/>
  <c r="C1268" i="31"/>
  <c r="C2571" i="31"/>
  <c r="C190" i="31"/>
  <c r="C944" i="31"/>
  <c r="C662" i="31"/>
  <c r="C1659" i="31"/>
  <c r="C1843" i="31"/>
  <c r="C723" i="31"/>
  <c r="C2564" i="31"/>
  <c r="C316" i="31"/>
  <c r="C1722" i="31"/>
  <c r="C35" i="31"/>
  <c r="C1946" i="31"/>
  <c r="C1633" i="31"/>
  <c r="C3234" i="31"/>
  <c r="C1820" i="31"/>
  <c r="C2867" i="31"/>
  <c r="C545" i="31"/>
  <c r="C3175" i="31"/>
  <c r="C1520" i="31"/>
  <c r="C652" i="31"/>
  <c r="C1432" i="31"/>
  <c r="C1492" i="31"/>
  <c r="C2305" i="31"/>
  <c r="C1873" i="31"/>
  <c r="C283" i="31"/>
  <c r="C1450" i="31"/>
  <c r="C1209" i="31"/>
  <c r="C3418" i="31"/>
  <c r="C3546" i="31"/>
  <c r="C309" i="31"/>
  <c r="C312" i="31"/>
  <c r="C2789" i="31"/>
  <c r="C93" i="31"/>
  <c r="C1272" i="31"/>
  <c r="C3122" i="31"/>
  <c r="C3385" i="31"/>
  <c r="C777" i="31"/>
  <c r="C861" i="31"/>
  <c r="C106" i="31"/>
  <c r="C764" i="31"/>
  <c r="C1360" i="31"/>
  <c r="C577" i="31"/>
  <c r="C2971" i="31"/>
  <c r="C2454" i="31"/>
  <c r="C724" i="31"/>
  <c r="C1138" i="31"/>
  <c r="C1081" i="31"/>
  <c r="C3379" i="31"/>
  <c r="C1394" i="31"/>
  <c r="C268" i="31"/>
  <c r="C1079" i="31"/>
  <c r="C928" i="31"/>
  <c r="C3422" i="31"/>
  <c r="C69" i="31"/>
  <c r="C1606" i="31"/>
  <c r="C1411" i="31"/>
  <c r="C3106" i="31"/>
  <c r="C3423" i="31"/>
  <c r="C2928" i="31"/>
  <c r="C1803" i="31"/>
  <c r="C2260" i="31"/>
  <c r="C3108" i="31"/>
  <c r="C376" i="31"/>
  <c r="C3259" i="31"/>
  <c r="C1060" i="31"/>
  <c r="C1339" i="31"/>
  <c r="C2178" i="31"/>
  <c r="C807" i="31"/>
  <c r="C2958" i="31"/>
  <c r="C1233" i="31"/>
  <c r="C1490" i="31"/>
  <c r="C1260" i="31"/>
  <c r="C2974" i="31"/>
  <c r="C1630" i="31"/>
  <c r="C1159" i="31"/>
  <c r="C3051" i="31"/>
  <c r="C3087" i="31"/>
  <c r="C2881" i="31"/>
  <c r="C1043" i="31"/>
  <c r="C762" i="31"/>
  <c r="C1292" i="31"/>
  <c r="C1960" i="31"/>
  <c r="C1391" i="31"/>
  <c r="C3527" i="31"/>
  <c r="C1925" i="31"/>
  <c r="C128" i="31"/>
  <c r="C633" i="31"/>
  <c r="C1736" i="31"/>
  <c r="C2060" i="31"/>
  <c r="C2683" i="31"/>
  <c r="C249" i="31"/>
  <c r="C1262" i="31"/>
  <c r="C2208" i="31"/>
  <c r="C2879" i="31"/>
  <c r="C397" i="31"/>
  <c r="C459" i="31"/>
  <c r="C2556" i="31"/>
  <c r="C1583" i="31"/>
  <c r="C2099" i="31"/>
  <c r="C346" i="31"/>
  <c r="C1480" i="31"/>
  <c r="C708" i="31"/>
  <c r="C2480" i="31"/>
  <c r="C3414" i="31"/>
  <c r="C1503" i="31"/>
  <c r="C2939" i="31"/>
  <c r="C2841" i="31"/>
  <c r="C3450" i="31"/>
  <c r="C1100" i="31"/>
  <c r="C1396" i="31"/>
  <c r="C244" i="31"/>
  <c r="C659" i="31"/>
  <c r="C3143" i="31"/>
  <c r="C2458" i="31"/>
  <c r="C1839" i="31"/>
  <c r="C3421" i="31"/>
  <c r="C2752" i="31"/>
  <c r="C1157" i="31"/>
  <c r="C3132" i="31"/>
  <c r="C416" i="31"/>
  <c r="C3408" i="31"/>
  <c r="C1472" i="31"/>
  <c r="C1834" i="31"/>
  <c r="C2112" i="31"/>
  <c r="C3078" i="31"/>
  <c r="C3216" i="31"/>
  <c r="C2500" i="31"/>
  <c r="C83" i="31"/>
  <c r="C2535" i="31"/>
  <c r="C429" i="31"/>
  <c r="C1493" i="31"/>
  <c r="C2146" i="31"/>
  <c r="C2862" i="31"/>
  <c r="C3241" i="31"/>
  <c r="C1714" i="31"/>
  <c r="C1569" i="31"/>
  <c r="C2160" i="31"/>
  <c r="C1933" i="31"/>
  <c r="C2682" i="31"/>
  <c r="C3392" i="31"/>
  <c r="C654" i="31"/>
  <c r="C1131" i="31"/>
  <c r="C1376" i="31"/>
  <c r="C919" i="31"/>
  <c r="C1297" i="31"/>
  <c r="C634" i="31"/>
  <c r="C2738" i="31"/>
  <c r="C1380" i="31"/>
  <c r="C1070" i="31"/>
  <c r="C1588" i="31"/>
  <c r="C98" i="31"/>
  <c r="C3166" i="31"/>
  <c r="C1538" i="31"/>
  <c r="C424" i="31"/>
  <c r="C1684" i="31"/>
  <c r="C1334" i="31"/>
  <c r="C210" i="31"/>
  <c r="C1466" i="31"/>
  <c r="C778" i="31"/>
  <c r="C747" i="31"/>
  <c r="C1859" i="31"/>
  <c r="C199" i="31"/>
  <c r="C555" i="31"/>
  <c r="C3091" i="31"/>
  <c r="C361" i="31"/>
  <c r="C50" i="31"/>
  <c r="C426" i="31"/>
  <c r="C1948" i="31"/>
  <c r="C2763" i="31"/>
  <c r="C2441" i="31"/>
  <c r="C3334" i="31"/>
  <c r="C3355" i="31"/>
  <c r="C1080" i="31"/>
  <c r="C540" i="31"/>
  <c r="C2888" i="31"/>
  <c r="C3451" i="31"/>
  <c r="C1830" i="31"/>
  <c r="C2578" i="31"/>
  <c r="C1517" i="31"/>
  <c r="C2756" i="31"/>
  <c r="C1420" i="31"/>
  <c r="C2809" i="31"/>
  <c r="C3353" i="31"/>
  <c r="C2245" i="31"/>
  <c r="C242" i="31"/>
  <c r="C673" i="31"/>
  <c r="C860" i="31"/>
  <c r="C2674" i="31"/>
  <c r="C2901" i="31"/>
  <c r="C2359" i="31"/>
  <c r="C1709" i="31"/>
  <c r="C1809" i="31"/>
  <c r="C1937" i="31"/>
  <c r="C185" i="31"/>
  <c r="C1018" i="31"/>
  <c r="C36" i="31"/>
  <c r="C657" i="31"/>
  <c r="C1188" i="31"/>
  <c r="C1191" i="31"/>
  <c r="C1368" i="31"/>
  <c r="C2993" i="31"/>
  <c r="C1779" i="31"/>
  <c r="C3376" i="31"/>
  <c r="C884" i="31"/>
  <c r="C2491" i="31"/>
  <c r="C1894" i="31"/>
  <c r="C3072" i="31"/>
  <c r="C415" i="31"/>
  <c r="C3002" i="31"/>
  <c r="C224" i="31"/>
  <c r="C2064" i="31"/>
  <c r="C530" i="31"/>
  <c r="C1842" i="31"/>
  <c r="C887" i="31"/>
  <c r="C1893" i="31"/>
  <c r="C615" i="31"/>
  <c r="C1299" i="31"/>
  <c r="C2768" i="31"/>
  <c r="C669" i="31"/>
  <c r="C1173" i="31"/>
  <c r="C3058" i="31"/>
  <c r="C2544" i="31"/>
  <c r="C1031" i="31"/>
  <c r="C3380" i="31"/>
  <c r="C2508" i="31"/>
  <c r="C119" i="31"/>
  <c r="C1225" i="31"/>
  <c r="C3194" i="31"/>
  <c r="C2984" i="31"/>
  <c r="C425" i="31"/>
  <c r="C3093" i="31"/>
  <c r="C2184" i="31"/>
  <c r="C1530" i="31"/>
  <c r="C2130" i="31"/>
  <c r="C273" i="31"/>
  <c r="C512" i="31"/>
  <c r="C514" i="31"/>
  <c r="C3413" i="31"/>
  <c r="C1575" i="31"/>
  <c r="C642" i="31"/>
  <c r="C493" i="31"/>
  <c r="C2528" i="31"/>
  <c r="C3436" i="31"/>
  <c r="C3452" i="31"/>
  <c r="C813" i="31"/>
  <c r="C1687" i="31"/>
  <c r="C3253" i="31"/>
  <c r="C383" i="31"/>
  <c r="C221" i="31"/>
  <c r="C3276" i="31"/>
  <c r="C3130" i="31"/>
  <c r="C552" i="31"/>
  <c r="C1023" i="31"/>
  <c r="C259" i="31"/>
  <c r="C3519" i="31"/>
  <c r="C243" i="31"/>
  <c r="C2206" i="31"/>
  <c r="C1658" i="31"/>
  <c r="C1782" i="31"/>
  <c r="C1051" i="31"/>
  <c r="C786" i="31"/>
  <c r="C1240" i="31"/>
  <c r="C2976" i="31"/>
  <c r="C3158" i="31"/>
  <c r="C2266" i="31"/>
  <c r="C2975" i="31"/>
  <c r="C668" i="31"/>
  <c r="C1869" i="31"/>
  <c r="C1640" i="31"/>
  <c r="C1650" i="31"/>
  <c r="C411" i="31"/>
  <c r="C3019" i="31"/>
  <c r="C3292" i="31"/>
  <c r="C2930" i="31"/>
  <c r="C707" i="31"/>
  <c r="C3196" i="31"/>
  <c r="C2382" i="31"/>
  <c r="C2177" i="31"/>
  <c r="C1739" i="31"/>
  <c r="C2071" i="31"/>
  <c r="C2028" i="31"/>
  <c r="C1849" i="31"/>
  <c r="C1523" i="31"/>
  <c r="C1322" i="31"/>
  <c r="C1594" i="31"/>
  <c r="C2273" i="31"/>
  <c r="C1433" i="31"/>
  <c r="C2118" i="31"/>
  <c r="C3389" i="31"/>
  <c r="C1308" i="31"/>
  <c r="C622" i="31"/>
  <c r="C971" i="31"/>
  <c r="C3008" i="31"/>
  <c r="C2657" i="31"/>
  <c r="C2393" i="31"/>
  <c r="C1981" i="31"/>
  <c r="C1370" i="31"/>
  <c r="C2685" i="31"/>
  <c r="C334" i="31"/>
  <c r="C1392" i="31"/>
  <c r="C2408" i="31"/>
  <c r="C363" i="31"/>
  <c r="C2948" i="31"/>
  <c r="C1615" i="31"/>
  <c r="C2398" i="31"/>
  <c r="C2056" i="31"/>
  <c r="C3415" i="31"/>
  <c r="C2291" i="31"/>
  <c r="C2636" i="31"/>
  <c r="C3331" i="31"/>
  <c r="C3437" i="31"/>
  <c r="C3453" i="31"/>
  <c r="C2487" i="31"/>
  <c r="C3153" i="31"/>
  <c r="C1902" i="31"/>
  <c r="C2573" i="31"/>
  <c r="C3530" i="31"/>
  <c r="C1695" i="31"/>
  <c r="C3300" i="31"/>
  <c r="C3270" i="31"/>
  <c r="C3064" i="31"/>
  <c r="C2577" i="31"/>
  <c r="C1355" i="31"/>
  <c r="C1987" i="31"/>
  <c r="C891" i="31"/>
  <c r="C3053" i="31"/>
  <c r="C1101" i="31"/>
  <c r="C2205" i="31"/>
  <c r="C1456" i="31"/>
  <c r="C515" i="31"/>
  <c r="C1407" i="31"/>
  <c r="C2552" i="31"/>
  <c r="C2650" i="31"/>
  <c r="C2017" i="31"/>
  <c r="C2936" i="31"/>
  <c r="C580" i="31"/>
  <c r="C1879" i="31"/>
  <c r="C869" i="31"/>
  <c r="C823" i="31"/>
  <c r="C3138" i="31"/>
  <c r="C2688" i="31"/>
  <c r="C3382" i="31"/>
  <c r="C1514" i="31"/>
  <c r="C1705" i="31"/>
  <c r="C706" i="31"/>
  <c r="C1973" i="31"/>
  <c r="C1408" i="31"/>
  <c r="C2732" i="31"/>
  <c r="C1494" i="31"/>
  <c r="C2913" i="31"/>
  <c r="C1113" i="31"/>
  <c r="C981" i="31"/>
  <c r="C3162" i="31"/>
  <c r="C3149" i="31"/>
  <c r="C1384" i="31"/>
  <c r="C2503" i="31"/>
  <c r="C2973" i="31"/>
  <c r="C3262" i="31"/>
  <c r="C2715" i="31"/>
  <c r="C920" i="31"/>
  <c r="C1732" i="31"/>
  <c r="C3544" i="31"/>
  <c r="C1690" i="31"/>
  <c r="C655" i="31"/>
  <c r="C3016" i="31"/>
  <c r="C3349" i="31"/>
  <c r="C3277" i="31"/>
  <c r="C586" i="31"/>
  <c r="C1134" i="31"/>
  <c r="C3327" i="31"/>
  <c r="C253" i="31"/>
  <c r="C1230" i="31"/>
  <c r="C2631" i="31"/>
  <c r="C3416" i="31"/>
  <c r="C3306" i="31"/>
  <c r="C3417" i="31"/>
  <c r="C2773" i="31"/>
  <c r="C250" i="31"/>
  <c r="C3438" i="31"/>
  <c r="C3454" i="31"/>
  <c r="C1776" i="31"/>
  <c r="C2665" i="31"/>
  <c r="C40" i="31"/>
  <c r="C365" i="31"/>
  <c r="C1226" i="31"/>
  <c r="C933" i="31"/>
  <c r="C2597" i="31"/>
  <c r="C2259" i="31"/>
  <c r="C2583" i="31"/>
  <c r="C1883" i="31"/>
  <c r="C2997" i="31"/>
  <c r="C2735" i="31"/>
  <c r="C1200" i="31"/>
  <c r="C2364" i="31"/>
  <c r="C1783" i="31"/>
  <c r="C72" i="31"/>
  <c r="C127" i="31"/>
  <c r="C2671" i="31"/>
  <c r="C146" i="31"/>
  <c r="C1145" i="31"/>
  <c r="C1247" i="31"/>
  <c r="C965" i="31"/>
  <c r="C850" i="31"/>
  <c r="C1593" i="31"/>
  <c r="C1663" i="31"/>
  <c r="C286" i="31"/>
  <c r="C3393" i="31"/>
  <c r="C1073" i="31"/>
  <c r="C2734" i="31"/>
  <c r="C757" i="31"/>
  <c r="C1903" i="31"/>
  <c r="C2796" i="31"/>
  <c r="C1439" i="31"/>
  <c r="C1757" i="31"/>
  <c r="C2388" i="31"/>
  <c r="C700" i="31"/>
  <c r="C2144" i="31"/>
  <c r="C509" i="31"/>
  <c r="C1221" i="31"/>
  <c r="C3249" i="31"/>
  <c r="C139" i="31"/>
  <c r="C2485" i="31"/>
  <c r="C1007" i="31"/>
  <c r="C815" i="31"/>
  <c r="C1994" i="31"/>
  <c r="C1379" i="31"/>
  <c r="C1936" i="31"/>
  <c r="C3126" i="31"/>
  <c r="C2199" i="31"/>
  <c r="C599" i="31"/>
  <c r="C2083" i="31"/>
  <c r="C1519" i="31"/>
  <c r="C1773" i="31"/>
  <c r="C839" i="31"/>
  <c r="C2490" i="31"/>
  <c r="C1577" i="31"/>
  <c r="C2662" i="31"/>
  <c r="C2496" i="31"/>
  <c r="C687" i="31"/>
  <c r="C1955" i="31"/>
  <c r="C2891" i="31"/>
  <c r="C683" i="31"/>
  <c r="C670" i="31"/>
  <c r="C969" i="31"/>
  <c r="C1471" i="31"/>
  <c r="C2689" i="31"/>
  <c r="C3439" i="31"/>
  <c r="C3517" i="31"/>
  <c r="C782" i="31"/>
  <c r="C78" i="31"/>
  <c r="C2002" i="31"/>
  <c r="C1330" i="31"/>
  <c r="C911" i="31"/>
  <c r="C1821" i="31"/>
  <c r="C351" i="31"/>
  <c r="C2620" i="31"/>
  <c r="C1857" i="31"/>
  <c r="C2519" i="31"/>
  <c r="C2008" i="31"/>
  <c r="C874" i="31"/>
  <c r="C1501" i="31"/>
  <c r="C3142" i="31"/>
  <c r="C414" i="31"/>
  <c r="C835" i="31"/>
  <c r="C3183" i="31"/>
  <c r="C3298" i="31"/>
  <c r="C2231" i="31"/>
  <c r="C302" i="31"/>
  <c r="C936" i="31"/>
  <c r="C1409" i="31"/>
  <c r="C1824" i="31"/>
  <c r="C3047" i="31"/>
  <c r="C19" i="31"/>
  <c r="C3189" i="31"/>
  <c r="C2024" i="31"/>
  <c r="C2290" i="31"/>
  <c r="C1482" i="31"/>
  <c r="C713" i="31"/>
  <c r="C1032" i="31"/>
  <c r="C1307" i="31"/>
  <c r="C2526" i="31"/>
  <c r="C749" i="31"/>
  <c r="C847" i="31"/>
  <c r="C2870" i="31"/>
  <c r="C3411" i="31"/>
  <c r="C2724" i="31"/>
  <c r="C2265" i="31"/>
  <c r="C3273" i="31"/>
  <c r="C3390" i="31"/>
  <c r="C65" i="31"/>
  <c r="C2034" i="31"/>
  <c r="C2325" i="31"/>
  <c r="C289" i="31"/>
  <c r="C1623" i="31"/>
  <c r="C1837" i="31"/>
  <c r="C2001" i="31"/>
  <c r="C596" i="31"/>
  <c r="C2880" i="31"/>
  <c r="C2320" i="31"/>
  <c r="C882" i="31"/>
  <c r="C1441" i="31"/>
  <c r="C1069" i="31"/>
  <c r="C2740" i="31"/>
  <c r="C2950" i="31"/>
  <c r="C2673" i="31"/>
  <c r="C2039" i="31"/>
  <c r="C1724" i="31"/>
  <c r="C571" i="31"/>
  <c r="C1317" i="31"/>
  <c r="C606" i="31"/>
  <c r="C877" i="31"/>
  <c r="C3305" i="31"/>
  <c r="C583" i="31"/>
  <c r="C3219" i="31"/>
  <c r="C3440" i="31"/>
  <c r="C3518" i="31"/>
  <c r="C1836" i="31"/>
  <c r="C2795" i="31"/>
  <c r="C1753" i="31"/>
  <c r="C3319" i="31"/>
  <c r="C1488" i="31"/>
  <c r="C2170" i="31"/>
  <c r="C2122" i="31"/>
  <c r="C317" i="31"/>
  <c r="C208" i="31"/>
  <c r="C2489" i="31"/>
  <c r="C438" i="31"/>
  <c r="C2786" i="31"/>
  <c r="C1089" i="31"/>
  <c r="C2327" i="31"/>
  <c r="C2106" i="31"/>
  <c r="C2102" i="31"/>
  <c r="C3017" i="31"/>
  <c r="C2009" i="31"/>
  <c r="C96" i="31"/>
  <c r="C2990" i="31"/>
  <c r="C2164" i="31"/>
  <c r="C3116" i="31"/>
  <c r="C2830" i="31"/>
  <c r="C238" i="31"/>
  <c r="C2581" i="31"/>
  <c r="C186" i="31"/>
  <c r="C1582" i="31"/>
  <c r="C38" i="31"/>
  <c r="C721" i="31"/>
  <c r="C925" i="31"/>
  <c r="C1565" i="31"/>
  <c r="C3043" i="31"/>
  <c r="C858" i="31"/>
  <c r="C1175" i="31"/>
  <c r="C2516" i="31"/>
  <c r="C2765" i="31"/>
  <c r="C200" i="31"/>
  <c r="C1497" i="31"/>
  <c r="C2016" i="31"/>
  <c r="C3348" i="31"/>
  <c r="C419" i="31"/>
  <c r="C3012" i="31"/>
  <c r="C2825" i="31"/>
  <c r="C1676" i="31"/>
  <c r="C626" i="31"/>
  <c r="C641" i="31"/>
  <c r="C1423" i="31"/>
  <c r="C31" i="31"/>
  <c r="C87" i="31"/>
  <c r="C486" i="31"/>
  <c r="C585" i="31"/>
  <c r="C3018" i="31"/>
  <c r="C3113" i="31"/>
  <c r="C356" i="31"/>
  <c r="C2082" i="31"/>
  <c r="C901" i="31"/>
  <c r="C2876" i="31"/>
  <c r="C538" i="31"/>
  <c r="C137" i="31"/>
  <c r="C3352" i="31"/>
  <c r="C1366" i="31"/>
  <c r="C1208" i="31"/>
  <c r="C3360" i="31"/>
  <c r="C2502" i="31"/>
  <c r="C374" i="31"/>
  <c r="C597" i="31"/>
  <c r="C3441" i="31"/>
  <c r="C2739" i="31"/>
  <c r="C604" i="31"/>
  <c r="C218" i="31"/>
  <c r="C2402" i="31"/>
  <c r="C2628" i="31"/>
  <c r="C3125" i="31"/>
  <c r="C3250" i="31"/>
  <c r="C2954" i="31"/>
  <c r="C86" i="31"/>
  <c r="C3211" i="31"/>
  <c r="C2365" i="31"/>
  <c r="C2721" i="31"/>
  <c r="C3230" i="31"/>
  <c r="C2209" i="31"/>
  <c r="C2986" i="31"/>
  <c r="C3302" i="31"/>
  <c r="C2132" i="31"/>
  <c r="C1401" i="31"/>
  <c r="C2134" i="31"/>
  <c r="C732" i="31"/>
  <c r="C1164" i="31"/>
  <c r="C3377" i="31"/>
  <c r="C2047" i="31"/>
  <c r="C978" i="31"/>
  <c r="C3358" i="31"/>
  <c r="C1306" i="31"/>
  <c r="C3256" i="31"/>
  <c r="C1223" i="31"/>
  <c r="C2156" i="31"/>
  <c r="C685" i="31"/>
  <c r="C1253" i="31"/>
  <c r="C974" i="31"/>
  <c r="C2140" i="31"/>
  <c r="C474" i="31"/>
  <c r="C2478" i="31"/>
  <c r="C574" i="31"/>
  <c r="C631" i="31"/>
  <c r="C2598" i="31"/>
  <c r="C1609" i="31"/>
  <c r="C29" i="31"/>
  <c r="C2929" i="31"/>
  <c r="C1568" i="31"/>
  <c r="C717" i="31"/>
  <c r="C3243" i="31"/>
  <c r="C455" i="31"/>
  <c r="C2218" i="31"/>
  <c r="C2702" i="31"/>
  <c r="C1733" i="31"/>
  <c r="C2438" i="31"/>
  <c r="C2425" i="31"/>
  <c r="C814" i="31"/>
  <c r="C1751" i="31"/>
  <c r="C2340" i="31"/>
  <c r="C441" i="31"/>
  <c r="C2085" i="31"/>
  <c r="C3034" i="31"/>
  <c r="C1410" i="31"/>
  <c r="C2404" i="31"/>
  <c r="C3110" i="31"/>
  <c r="C1634" i="31"/>
  <c r="C1196" i="31"/>
  <c r="C2115" i="31"/>
  <c r="C1847" i="31"/>
  <c r="C1572" i="31"/>
  <c r="C2874" i="31"/>
  <c r="C2080" i="31"/>
  <c r="C3442" i="31"/>
  <c r="C1165" i="31"/>
  <c r="C539" i="31"/>
  <c r="C3041" i="31"/>
  <c r="C197" i="31"/>
  <c r="C2442" i="31"/>
  <c r="C1244" i="31"/>
  <c r="C1481" i="31"/>
  <c r="C1675" i="31"/>
  <c r="C2350" i="31"/>
  <c r="C3134" i="31"/>
  <c r="C1905" i="31"/>
  <c r="C278" i="31"/>
  <c r="C178" i="31"/>
  <c r="C2228" i="31"/>
  <c r="C1436" i="31"/>
  <c r="C231" i="31"/>
  <c r="C1098" i="31"/>
  <c r="C2871" i="31"/>
  <c r="C1833" i="31"/>
  <c r="C2284" i="31"/>
  <c r="C1237" i="31"/>
  <c r="C2853" i="31"/>
  <c r="C3192" i="31"/>
  <c r="C2893" i="31"/>
  <c r="C728" i="31"/>
  <c r="C1918" i="31"/>
  <c r="C2514" i="31"/>
  <c r="C2546" i="31"/>
  <c r="C1331" i="31"/>
  <c r="C1986" i="31"/>
  <c r="C3332" i="31"/>
  <c r="C3173" i="31"/>
  <c r="C1033" i="31"/>
  <c r="C3174" i="31"/>
  <c r="C3242" i="31"/>
  <c r="C2073" i="31"/>
  <c r="C3137" i="31"/>
  <c r="C3026" i="31"/>
  <c r="C2152" i="31"/>
  <c r="C1034" i="31"/>
  <c r="C37" i="31"/>
  <c r="C834" i="31"/>
  <c r="C1532" i="31"/>
  <c r="C109" i="31"/>
  <c r="C1612" i="31"/>
  <c r="C1402" i="31"/>
  <c r="C1810" i="31"/>
  <c r="C1793" i="31"/>
  <c r="C3388" i="31"/>
  <c r="C77" i="31"/>
  <c r="C719" i="31"/>
  <c r="C2020" i="31"/>
  <c r="C637" i="31"/>
  <c r="C680" i="31"/>
  <c r="C3325" i="31"/>
  <c r="C1536" i="31"/>
  <c r="C3203" i="31"/>
  <c r="C158" i="31"/>
  <c r="C68" i="31"/>
  <c r="C3410" i="31"/>
  <c r="C162" i="31"/>
  <c r="C1179" i="31"/>
  <c r="C1926" i="31"/>
  <c r="C2297" i="31"/>
  <c r="C2123" i="31"/>
  <c r="C1293" i="31"/>
  <c r="C3443" i="31"/>
  <c r="C3336" i="31"/>
  <c r="C972" i="31"/>
  <c r="C3267" i="31"/>
  <c r="C1672" i="31"/>
  <c r="C1968" i="31"/>
  <c r="C1437" i="31"/>
  <c r="C2941" i="31"/>
  <c r="C2980" i="31"/>
  <c r="C1949" i="31"/>
  <c r="C1004" i="31"/>
  <c r="C2524" i="31"/>
  <c r="C3354" i="31"/>
  <c r="C2234" i="31"/>
  <c r="C3067" i="31"/>
  <c r="C2778" i="31"/>
  <c r="C181" i="31"/>
  <c r="C1814" i="31"/>
  <c r="C2411" i="31"/>
  <c r="C393" i="31"/>
  <c r="C845" i="31"/>
  <c r="C2105" i="31"/>
  <c r="C1449" i="31"/>
  <c r="C3251" i="31"/>
  <c r="C2469" i="31"/>
  <c r="C1298" i="31"/>
  <c r="C2383" i="31"/>
  <c r="C75" i="31"/>
  <c r="C472" i="31"/>
  <c r="C2623" i="31"/>
  <c r="C2107" i="31"/>
  <c r="C791" i="31"/>
  <c r="C461" i="31"/>
  <c r="C2770" i="31"/>
  <c r="C3326" i="31"/>
  <c r="C227" i="31"/>
  <c r="C3391" i="31"/>
  <c r="C554" i="31"/>
  <c r="C2072" i="31"/>
  <c r="C1468" i="31"/>
  <c r="C1685" i="31"/>
  <c r="C1952" i="31"/>
  <c r="C1465" i="31"/>
  <c r="C3036" i="31"/>
  <c r="C696" i="31"/>
  <c r="C2356" i="31"/>
  <c r="C516" i="31"/>
  <c r="C2299" i="31"/>
  <c r="C983" i="31"/>
  <c r="C1168" i="31"/>
  <c r="C2283" i="31"/>
  <c r="C1653" i="31"/>
  <c r="C3293" i="31"/>
  <c r="C750" i="31"/>
  <c r="C149" i="31"/>
  <c r="C2819" i="31"/>
  <c r="C2430" i="31"/>
  <c r="C2814" i="31"/>
  <c r="C1273" i="31"/>
  <c r="C468" i="31"/>
  <c r="C402" i="31"/>
  <c r="C3024" i="31"/>
  <c r="C3329" i="31"/>
  <c r="C2697" i="31"/>
  <c r="C1954" i="31"/>
  <c r="C3057" i="31"/>
  <c r="C3323" i="31"/>
  <c r="C3444" i="31"/>
  <c r="C2758" i="31"/>
  <c r="C690" i="31"/>
  <c r="C770" i="31"/>
  <c r="C1545" i="31"/>
  <c r="C2924" i="31"/>
  <c r="C313" i="31"/>
  <c r="C2771" i="31"/>
  <c r="C570" i="31"/>
  <c r="C395" i="31"/>
  <c r="C2204" i="31"/>
  <c r="C2079" i="31"/>
  <c r="C3145" i="31"/>
  <c r="C30" i="31"/>
  <c r="C3150" i="31"/>
  <c r="C1320" i="31"/>
  <c r="C1794" i="31"/>
  <c r="C382" i="31"/>
  <c r="C752" i="31"/>
  <c r="C863" i="31"/>
  <c r="C3383" i="31"/>
  <c r="C1288" i="31"/>
  <c r="C2754" i="31"/>
  <c r="C3335" i="31"/>
  <c r="C1922" i="31"/>
  <c r="C1876" i="31"/>
  <c r="C2989" i="31"/>
  <c r="C3409" i="31"/>
  <c r="C2217" i="31"/>
  <c r="C2335" i="31"/>
  <c r="C3356" i="31"/>
  <c r="C566" i="31"/>
  <c r="C2706" i="31"/>
  <c r="C3129" i="31"/>
  <c r="C131" i="31"/>
  <c r="C396" i="31"/>
  <c r="C2707" i="31"/>
  <c r="C1721" i="31"/>
  <c r="C1015" i="31"/>
  <c r="C2663" i="31"/>
  <c r="C1429" i="31"/>
  <c r="C447" i="31"/>
  <c r="C3157" i="31"/>
  <c r="C1701" i="31"/>
  <c r="C2708" i="31"/>
  <c r="C310" i="31"/>
  <c r="C2471" i="31"/>
  <c r="C3238" i="31"/>
  <c r="C3169" i="31"/>
  <c r="C714" i="31"/>
  <c r="C2376" i="31"/>
  <c r="C866" i="31"/>
  <c r="C20" i="31"/>
  <c r="C255" i="31"/>
  <c r="C2590" i="31"/>
  <c r="C311" i="31"/>
  <c r="C2529" i="31"/>
  <c r="C92" i="31"/>
  <c r="C1718" i="31"/>
  <c r="C567" i="31"/>
  <c r="C1452" i="31"/>
  <c r="C1303" i="31"/>
  <c r="C1923" i="31"/>
  <c r="C1068" i="31"/>
  <c r="C3533" i="31"/>
  <c r="C1643" i="31"/>
  <c r="C1141" i="31"/>
  <c r="C3445" i="31"/>
  <c r="C3022" i="31"/>
  <c r="C1563" i="31"/>
  <c r="C1741" i="31"/>
  <c r="C330" i="31"/>
  <c r="C1460" i="31"/>
  <c r="C2141" i="31"/>
  <c r="C1129" i="31"/>
  <c r="C2569" i="31"/>
  <c r="C2093" i="31"/>
  <c r="C2375" i="31"/>
  <c r="C2126" i="31"/>
  <c r="C2811" i="31"/>
  <c r="C2766" i="31"/>
  <c r="C2417" i="31"/>
  <c r="C3299" i="31"/>
  <c r="C56" i="31"/>
  <c r="C3378" i="31"/>
  <c r="C852" i="31"/>
  <c r="C1567" i="31"/>
  <c r="C1416" i="31"/>
  <c r="C2696" i="31"/>
  <c r="C198" i="31"/>
  <c r="C694" i="31"/>
  <c r="C2868" i="31"/>
  <c r="C3014" i="31"/>
  <c r="C2084" i="31"/>
  <c r="C2316" i="31"/>
  <c r="C793" i="31"/>
  <c r="C375" i="31"/>
  <c r="C954" i="31"/>
  <c r="C560" i="31"/>
  <c r="C2625" i="31"/>
  <c r="C3144" i="31"/>
  <c r="C878" i="31"/>
  <c r="C1424" i="31"/>
  <c r="C2488" i="31"/>
  <c r="C2860" i="31"/>
  <c r="C2282" i="31"/>
  <c r="C3381" i="31"/>
  <c r="C2272" i="31"/>
  <c r="C89" i="31"/>
  <c r="C1430" i="31"/>
  <c r="C3351" i="31"/>
  <c r="C134" i="31"/>
  <c r="C1445" i="31"/>
  <c r="C3179" i="31"/>
  <c r="C2339" i="31"/>
  <c r="C741" i="31"/>
  <c r="C1805" i="31"/>
  <c r="C658" i="31"/>
  <c r="C3032" i="31"/>
  <c r="C3074" i="31"/>
  <c r="C625" i="31"/>
  <c r="C2038" i="31"/>
  <c r="C2003" i="31"/>
  <c r="C1916" i="31"/>
  <c r="C3210" i="31"/>
  <c r="C3020" i="31"/>
  <c r="C325" i="31"/>
  <c r="C3412" i="31"/>
  <c r="C433" i="31"/>
  <c r="C357" i="31"/>
  <c r="C2856" i="31"/>
  <c r="C3182" i="31"/>
  <c r="C3237" i="31"/>
  <c r="C3387" i="31"/>
  <c r="C3446" i="31"/>
  <c r="C2429" i="31"/>
  <c r="C3155" i="31"/>
  <c r="C2760" i="31"/>
  <c r="C1150" i="31"/>
  <c r="C1579" i="31"/>
  <c r="C1301" i="31"/>
  <c r="C1827" i="31"/>
  <c r="C598" i="31"/>
  <c r="C2410" i="31"/>
  <c r="C1213" i="31"/>
  <c r="C1564" i="31"/>
  <c r="C733" i="31"/>
  <c r="C1158" i="31"/>
  <c r="C2334" i="31"/>
  <c r="C994" i="31"/>
  <c r="C2124" i="31"/>
  <c r="C1369" i="31"/>
  <c r="C1329" i="31"/>
  <c r="C2645" i="31"/>
  <c r="C1448" i="31"/>
  <c r="C2956" i="31"/>
  <c r="C1656" i="31"/>
  <c r="C1639" i="31"/>
  <c r="C2437" i="31"/>
  <c r="C2280" i="31"/>
  <c r="C2919" i="31"/>
  <c r="C1856" i="31"/>
  <c r="C1014" i="31"/>
  <c r="C384" i="31"/>
  <c r="C1921" i="31"/>
  <c r="C3328" i="31"/>
  <c r="C3233" i="31"/>
  <c r="C1951" i="31"/>
  <c r="C252" i="31"/>
  <c r="C565" i="31"/>
  <c r="C1140" i="31"/>
  <c r="C406" i="31"/>
  <c r="C132" i="31"/>
  <c r="C1058" i="31"/>
  <c r="C1965" i="31"/>
  <c r="C81" i="31"/>
  <c r="C1740" i="31"/>
  <c r="C812" i="31"/>
  <c r="C3111" i="31"/>
  <c r="C986" i="31"/>
  <c r="C2920" i="31"/>
  <c r="C2826" i="31"/>
  <c r="C1217" i="31"/>
  <c r="C2679" i="31"/>
  <c r="C1711" i="31"/>
  <c r="C1906" i="31"/>
  <c r="C2270" i="31"/>
  <c r="C133" i="31"/>
  <c r="C1136" i="31"/>
  <c r="C2709" i="31"/>
  <c r="C2543" i="31"/>
  <c r="C2459" i="31"/>
  <c r="C976" i="31"/>
  <c r="C1871" i="31"/>
  <c r="C1204" i="31"/>
  <c r="C508" i="31"/>
  <c r="C2534" i="31"/>
  <c r="C1154" i="31"/>
  <c r="C3330" i="31"/>
  <c r="C2977" i="31"/>
  <c r="C1745" i="31"/>
  <c r="C3447" i="31"/>
  <c r="C870" i="31"/>
  <c r="C2129" i="31"/>
  <c r="C3220" i="31"/>
  <c r="C2181" i="31"/>
  <c r="C1110" i="31"/>
  <c r="C2890" i="31"/>
  <c r="C2886" i="31"/>
  <c r="C2222" i="31"/>
  <c r="C386" i="31"/>
  <c r="C2504" i="31"/>
  <c r="C1364" i="31"/>
  <c r="C247" i="31"/>
  <c r="C1662" i="31"/>
  <c r="C3035" i="31"/>
  <c r="C1596" i="31"/>
  <c r="C674" i="31"/>
  <c r="C2110" i="31"/>
  <c r="C2492" i="31"/>
  <c r="C2119" i="31"/>
  <c r="C2198" i="31"/>
  <c r="C2044" i="31"/>
  <c r="C2678" i="31"/>
  <c r="C1149" i="31"/>
  <c r="C1338" i="31"/>
  <c r="C3202" i="31"/>
  <c r="C3187" i="31"/>
  <c r="C427" i="31"/>
  <c r="C1784" i="31"/>
  <c r="C358" i="31"/>
  <c r="C3123" i="31"/>
  <c r="C3375" i="31"/>
  <c r="C1120" i="31"/>
  <c r="C656" i="31"/>
  <c r="C2175" i="31"/>
  <c r="C2589" i="31"/>
  <c r="C2239" i="31"/>
  <c r="C2729" i="31"/>
  <c r="C2947" i="31"/>
  <c r="C1645" i="31"/>
  <c r="C3333" i="31"/>
  <c r="C1084" i="31"/>
  <c r="C2714" i="31"/>
  <c r="C2925" i="31"/>
  <c r="C2326" i="31"/>
  <c r="C2698" i="31"/>
  <c r="C2301" i="31"/>
  <c r="C2848" i="31"/>
  <c r="C1642" i="31"/>
  <c r="C1990" i="31"/>
  <c r="C1759" i="31"/>
  <c r="C2595" i="31"/>
  <c r="C1212" i="31"/>
  <c r="C409" i="31"/>
  <c r="C1458" i="31"/>
  <c r="C767" i="31"/>
  <c r="C2648" i="31"/>
  <c r="C3217" i="31"/>
  <c r="C73" i="31"/>
  <c r="C2421" i="31"/>
  <c r="C3289" i="31"/>
  <c r="C584" i="31"/>
  <c r="C931" i="31"/>
  <c r="C913" i="31"/>
  <c r="C1832" i="31"/>
  <c r="C1021" i="31"/>
  <c r="C2818" i="31"/>
  <c r="C3448" i="31"/>
  <c r="C2788" i="31"/>
  <c r="C188" i="31"/>
  <c r="C1935" i="31"/>
  <c r="C2659" i="31"/>
  <c r="C254" i="31"/>
  <c r="C1576" i="31"/>
  <c r="C1235" i="31"/>
  <c r="C3260" i="31"/>
  <c r="C418" i="31"/>
  <c r="C3384" i="31"/>
  <c r="C3357" i="31"/>
  <c r="C3406" i="31"/>
  <c r="C2745" i="31"/>
  <c r="C2111" i="31"/>
  <c r="C2289" i="31"/>
  <c r="C2656" i="31"/>
  <c r="C3407" i="31"/>
  <c r="C507" i="31"/>
  <c r="C1142" i="31"/>
  <c r="C1584" i="31"/>
  <c r="C2143" i="31"/>
  <c r="C1143" i="31"/>
  <c r="C2357" i="31"/>
  <c r="C3303" i="31"/>
  <c r="C2550" i="31"/>
  <c r="C473" i="31"/>
  <c r="C3124" i="31"/>
  <c r="C1017" i="31"/>
  <c r="C3086" i="31"/>
  <c r="C1372" i="31"/>
  <c r="C1597" i="31"/>
  <c r="C1304" i="31"/>
  <c r="C2345" i="31"/>
  <c r="C1344" i="31"/>
  <c r="C2063" i="31"/>
  <c r="C720" i="31"/>
  <c r="C2360" i="31"/>
  <c r="C201" i="31"/>
  <c r="C848" i="31"/>
  <c r="C3107" i="31"/>
  <c r="C2608" i="31"/>
  <c r="C2416" i="31"/>
  <c r="C880" i="31"/>
  <c r="C2342" i="31"/>
  <c r="C3209" i="31"/>
  <c r="C379" i="31"/>
  <c r="C797" i="31"/>
  <c r="C3120" i="31"/>
  <c r="C1122" i="31"/>
  <c r="C1998" i="31"/>
  <c r="C710" i="31"/>
  <c r="C2857" i="31"/>
  <c r="C2609" i="31"/>
  <c r="C1878" i="31"/>
  <c r="C3190" i="31"/>
  <c r="C223" i="31"/>
  <c r="C2362" i="31"/>
  <c r="C1522" i="31"/>
  <c r="C1917" i="31"/>
  <c r="C398" i="31"/>
  <c r="C886" i="31"/>
  <c r="C1462" i="31"/>
  <c r="C697" i="31"/>
  <c r="C1967" i="31"/>
  <c r="C1546" i="31"/>
  <c r="C2361" i="31"/>
  <c r="C3449" i="31"/>
  <c r="BO10" i="10"/>
  <c r="BO13" i="10"/>
  <c r="BO15" i="10"/>
  <c r="BO11" i="10"/>
  <c r="BO16" i="10"/>
  <c r="BO17" i="10"/>
  <c r="BO19" i="10"/>
  <c r="BO20" i="10"/>
  <c r="BO18" i="10"/>
  <c r="BO14" i="10"/>
  <c r="BO21" i="10"/>
  <c r="BO12" i="10"/>
  <c r="L3518" i="31"/>
  <c r="L3517" i="31"/>
  <c r="BJ37" i="10"/>
  <c r="G949" i="31"/>
  <c r="G1859" i="31"/>
  <c r="G1519" i="31"/>
  <c r="G640" i="31"/>
  <c r="G1169" i="31"/>
  <c r="G382" i="31"/>
  <c r="HP12" i="10"/>
  <c r="HP18" i="10" s="1"/>
  <c r="IC12" i="10"/>
  <c r="IC18" i="10" s="1"/>
  <c r="HD12" i="10"/>
  <c r="HD18" i="10" s="1"/>
  <c r="HR12" i="10"/>
  <c r="HR18" i="10" s="1"/>
  <c r="HV12" i="10"/>
  <c r="HV18" i="10" s="1"/>
  <c r="HC12" i="10"/>
  <c r="HC18" i="10" s="1"/>
  <c r="HN12" i="10"/>
  <c r="HN18" i="10" s="1"/>
  <c r="GZ12" i="10"/>
  <c r="GZ18" i="10" s="1"/>
  <c r="HI12" i="10"/>
  <c r="HI18" i="10" s="1"/>
  <c r="HF12" i="10"/>
  <c r="HF18" i="10" s="1"/>
  <c r="HM12" i="10"/>
  <c r="HM18" i="10" s="1"/>
  <c r="HK12" i="10"/>
  <c r="HK18" i="10" s="1"/>
  <c r="HJ12" i="10"/>
  <c r="HJ18" i="10" s="1"/>
  <c r="GX12" i="10"/>
  <c r="GX18" i="10" s="1"/>
  <c r="HL12" i="10"/>
  <c r="HL18" i="10" s="1"/>
  <c r="HW12" i="10"/>
  <c r="HW18" i="10" s="1"/>
  <c r="HT12" i="10"/>
  <c r="HT18" i="10" s="1"/>
  <c r="ID12" i="10"/>
  <c r="ID18" i="10" s="1"/>
  <c r="HA12" i="10"/>
  <c r="HA18" i="10" s="1"/>
  <c r="IB12" i="10"/>
  <c r="IB18" i="10" s="1"/>
  <c r="HB12" i="10"/>
  <c r="HB18" i="10" s="1"/>
  <c r="HG12" i="10"/>
  <c r="HG18" i="10" s="1"/>
  <c r="HQ12" i="10"/>
  <c r="HQ18" i="10" s="1"/>
  <c r="GW12" i="10"/>
  <c r="GW18" i="10" s="1"/>
  <c r="HE12" i="10"/>
  <c r="HE18" i="10" s="1"/>
  <c r="GY12" i="10"/>
  <c r="GY18" i="10" s="1"/>
  <c r="GU12" i="10"/>
  <c r="GU18" i="10" s="1"/>
  <c r="HU12" i="10"/>
  <c r="HU18" i="10" s="1"/>
  <c r="HY12" i="10"/>
  <c r="HY18" i="10" s="1"/>
  <c r="GV12" i="10"/>
  <c r="GV18" i="10" s="1"/>
  <c r="HH12" i="10"/>
  <c r="HH18" i="10" s="1"/>
  <c r="HI19" i="10" s="1"/>
  <c r="HI20" i="10" s="1"/>
  <c r="IA12" i="10"/>
  <c r="IA18" i="10" s="1"/>
  <c r="HZ12" i="10"/>
  <c r="HZ18" i="10" s="1"/>
  <c r="HX12" i="10"/>
  <c r="HX18" i="10" s="1"/>
  <c r="HS12" i="10"/>
  <c r="HS18" i="10" s="1"/>
  <c r="HO12" i="10"/>
  <c r="HO18" i="10" s="1"/>
  <c r="FP20" i="10" a="1"/>
  <c r="FP20" i="10" s="1"/>
  <c r="FK20" i="10" a="1"/>
  <c r="FK20" i="10" s="1"/>
  <c r="FL20" i="10" a="1"/>
  <c r="FL20" i="10" s="1"/>
  <c r="EZ20" i="10" a="1"/>
  <c r="EZ20" i="10" s="1"/>
  <c r="FE20" i="10" a="1"/>
  <c r="FE20" i="10" s="1"/>
  <c r="EB20" i="10" a="1"/>
  <c r="EB20" i="10" s="1"/>
  <c r="FD20" i="10" a="1"/>
  <c r="FD20" i="10" s="1"/>
  <c r="FZ20" i="10" a="1"/>
  <c r="FZ20" i="10" s="1"/>
  <c r="FO20" i="10" a="1"/>
  <c r="FO20" i="10" s="1"/>
  <c r="FS20" i="10" a="1"/>
  <c r="FS20" i="10" s="1"/>
  <c r="GK20" i="10" a="1"/>
  <c r="GK20" i="10" s="1"/>
  <c r="GA20" i="10" a="1"/>
  <c r="GA20" i="10" s="1"/>
  <c r="FH20" i="10" a="1"/>
  <c r="FH20" i="10" s="1"/>
  <c r="EX20" i="10" a="1"/>
  <c r="EX20" i="10" s="1"/>
  <c r="EX19" i="10" s="1"/>
  <c r="EY20" i="10" a="1"/>
  <c r="EY20" i="10" s="1"/>
  <c r="FG20" i="10" a="1"/>
  <c r="FG20" i="10" s="1"/>
  <c r="FG19" i="10" s="1"/>
  <c r="EW20" i="10" a="1"/>
  <c r="EW20" i="10" s="1"/>
  <c r="FI20" i="10" a="1"/>
  <c r="FI20" i="10" s="1"/>
  <c r="FX20" i="10" a="1"/>
  <c r="FX20" i="10" s="1"/>
  <c r="EF20" i="10" a="1"/>
  <c r="EF20" i="10" s="1"/>
  <c r="EL20" i="10" a="1"/>
  <c r="EL20" i="10" s="1"/>
  <c r="EC20" i="10" a="1"/>
  <c r="EC20" i="10" s="1"/>
  <c r="EK20" i="10" a="1"/>
  <c r="EK20" i="10" s="1"/>
  <c r="FB20" i="10" a="1"/>
  <c r="FB20" i="10" s="1"/>
  <c r="GH20" i="10" a="1"/>
  <c r="GH20" i="10" s="1"/>
  <c r="ED20" i="10" a="1"/>
  <c r="ED20" i="10" s="1"/>
  <c r="GJ20" i="10" a="1"/>
  <c r="GJ20" i="10" s="1"/>
  <c r="GB20" i="10" a="1"/>
  <c r="GB20" i="10" s="1"/>
  <c r="GI20" i="10" a="1"/>
  <c r="GI20" i="10" s="1"/>
  <c r="EH20" i="10" a="1"/>
  <c r="EH20" i="10" s="1"/>
  <c r="FV20" i="10" a="1"/>
  <c r="FV20" i="10" s="1"/>
  <c r="EJ20" i="10" a="1"/>
  <c r="EJ20" i="10" s="1"/>
  <c r="GG20" i="10" a="1"/>
  <c r="GG20" i="10" s="1"/>
  <c r="ET20" i="10" a="1"/>
  <c r="ET20" i="10" s="1"/>
  <c r="FQ20" i="10" a="1"/>
  <c r="FQ20" i="10" s="1"/>
  <c r="GC20" i="10" a="1"/>
  <c r="GC20" i="10" s="1"/>
  <c r="GE20" i="10" a="1"/>
  <c r="GE20" i="10" s="1"/>
  <c r="FM20" i="10" a="1"/>
  <c r="FM20" i="10" s="1"/>
  <c r="EI20" i="10" a="1"/>
  <c r="EI20" i="10" s="1"/>
  <c r="FW20" i="10" a="1"/>
  <c r="FW20" i="10" s="1"/>
  <c r="FW19" i="10" s="1"/>
  <c r="FJ20" i="10" a="1"/>
  <c r="FJ20" i="10" s="1"/>
  <c r="GF20" i="10" a="1"/>
  <c r="GF20" i="10" s="1"/>
  <c r="EE20" i="10" a="1"/>
  <c r="EE20" i="10" s="1"/>
  <c r="FY20" i="10" a="1"/>
  <c r="FY20" i="10" s="1"/>
  <c r="FF20" i="10" a="1"/>
  <c r="FF20" i="10" s="1"/>
  <c r="EU20" i="10" a="1"/>
  <c r="EU20" i="10" s="1"/>
  <c r="FC20" i="10" a="1"/>
  <c r="FC20" i="10" s="1"/>
  <c r="GD20" i="10" a="1"/>
  <c r="GD20" i="10" s="1"/>
  <c r="EM20" i="10" a="1"/>
  <c r="EM20" i="10" s="1"/>
  <c r="FU20" i="10" a="1"/>
  <c r="FU20" i="10" s="1"/>
  <c r="FT20" i="10" a="1"/>
  <c r="FT20" i="10" s="1"/>
  <c r="FA20" i="10" a="1"/>
  <c r="FA20" i="10" s="1"/>
  <c r="EG20" i="10" a="1"/>
  <c r="EG20" i="10" s="1"/>
  <c r="EN20" i="10" a="1"/>
  <c r="EN20" i="10" s="1"/>
  <c r="ER20" i="10" a="1"/>
  <c r="ER20" i="10" s="1"/>
  <c r="FR20" i="10" a="1"/>
  <c r="FR20" i="10" s="1"/>
  <c r="EV20" i="10" a="1"/>
  <c r="EV20" i="10" s="1"/>
  <c r="ES20" i="10" a="1"/>
  <c r="ES20" i="10" s="1"/>
  <c r="FN20" i="10" a="1"/>
  <c r="FN20" i="10" s="1"/>
  <c r="EA20" i="10" a="1"/>
  <c r="EA20" i="10" s="1"/>
  <c r="IA19" i="10" l="1"/>
  <c r="IA20" i="10" s="1"/>
  <c r="HD19" i="10"/>
  <c r="HD20" i="10" s="1"/>
  <c r="HU19" i="10"/>
  <c r="HU20" i="10" s="1"/>
  <c r="GW19" i="10"/>
  <c r="GW20" i="10" s="1"/>
  <c r="HM19" i="10"/>
  <c r="HM20" i="10" s="1"/>
  <c r="HE19" i="10"/>
  <c r="HE20" i="10" s="1"/>
  <c r="GY19" i="10"/>
  <c r="GY20" i="10" s="1"/>
  <c r="HK19" i="10"/>
  <c r="HK20" i="10" s="1"/>
  <c r="HF19" i="10"/>
  <c r="HF20" i="10" s="1"/>
  <c r="HR19" i="10"/>
  <c r="HR20" i="10" s="1"/>
  <c r="HH19" i="10"/>
  <c r="HH20" i="10" s="1"/>
  <c r="HP19" i="10"/>
  <c r="HP20" i="10" s="1"/>
  <c r="IC19" i="10"/>
  <c r="IC20" i="10" s="1"/>
  <c r="HT19" i="10"/>
  <c r="HT20" i="10" s="1"/>
  <c r="HY19" i="10"/>
  <c r="HY20" i="10" s="1"/>
  <c r="HC19" i="10"/>
  <c r="HC20" i="10" s="1"/>
  <c r="HW19" i="10"/>
  <c r="HW20" i="10" s="1"/>
  <c r="T15" i="10"/>
  <c r="T19" i="10"/>
  <c r="T17" i="10"/>
  <c r="H1522" i="31"/>
  <c r="BA1522" i="31"/>
  <c r="AP1522" i="31"/>
  <c r="BA2416" i="31"/>
  <c r="H2416" i="31"/>
  <c r="AP2416" i="31"/>
  <c r="AP473" i="31"/>
  <c r="H473" i="31"/>
  <c r="BA473" i="31"/>
  <c r="AP3384" i="31"/>
  <c r="BA3384" i="31"/>
  <c r="H3384" i="31"/>
  <c r="BA584" i="31"/>
  <c r="H584" i="31"/>
  <c r="AP584" i="31"/>
  <c r="AP2698" i="31"/>
  <c r="H2698" i="31"/>
  <c r="BA2698" i="31"/>
  <c r="BA358" i="31"/>
  <c r="H358" i="31"/>
  <c r="AP358" i="31"/>
  <c r="H1662" i="31"/>
  <c r="AP1662" i="31"/>
  <c r="BA1662" i="31"/>
  <c r="BA3330" i="31"/>
  <c r="AP3330" i="31"/>
  <c r="H3330" i="31"/>
  <c r="H1217" i="31"/>
  <c r="BA1217" i="31"/>
  <c r="AP1217" i="31"/>
  <c r="AP3233" i="31"/>
  <c r="H3233" i="31"/>
  <c r="BA3233" i="31"/>
  <c r="H2124" i="31"/>
  <c r="BA2124" i="31"/>
  <c r="AP2124" i="31"/>
  <c r="BA3446" i="31"/>
  <c r="AP3446" i="31"/>
  <c r="H3446" i="31"/>
  <c r="AP3032" i="31"/>
  <c r="H3032" i="31"/>
  <c r="BA3032" i="31"/>
  <c r="AP1424" i="31"/>
  <c r="H1424" i="31"/>
  <c r="BA1424" i="31"/>
  <c r="BA1567" i="31"/>
  <c r="H1567" i="31"/>
  <c r="AP1567" i="31"/>
  <c r="H1741" i="31"/>
  <c r="AP1741" i="31"/>
  <c r="BA1741" i="31"/>
  <c r="AP2590" i="31"/>
  <c r="H2590" i="31"/>
  <c r="BA2590" i="31"/>
  <c r="AP1015" i="31"/>
  <c r="H1015" i="31"/>
  <c r="BA1015" i="31"/>
  <c r="BA2754" i="31"/>
  <c r="H2754" i="31"/>
  <c r="AP2754" i="31"/>
  <c r="H313" i="31"/>
  <c r="AP313" i="31"/>
  <c r="BA313" i="31"/>
  <c r="H2814" i="31"/>
  <c r="BA2814" i="31"/>
  <c r="AP2814" i="31"/>
  <c r="BA1952" i="31"/>
  <c r="AP1952" i="31"/>
  <c r="H1952" i="31"/>
  <c r="BA1298" i="31"/>
  <c r="AP1298" i="31"/>
  <c r="H1298" i="31"/>
  <c r="H1949" i="31"/>
  <c r="AP1949" i="31"/>
  <c r="BA1949" i="31"/>
  <c r="BA3410" i="31"/>
  <c r="AP3410" i="31"/>
  <c r="H3410" i="31"/>
  <c r="AP109" i="31"/>
  <c r="BA109" i="31"/>
  <c r="H109" i="31"/>
  <c r="BA2546" i="31"/>
  <c r="AP2546" i="31"/>
  <c r="H2546" i="31"/>
  <c r="BA278" i="31"/>
  <c r="AP278" i="31"/>
  <c r="H278" i="31"/>
  <c r="H1847" i="31"/>
  <c r="BA1847" i="31"/>
  <c r="AP1847" i="31"/>
  <c r="H2702" i="31"/>
  <c r="BA2702" i="31"/>
  <c r="AP2702" i="31"/>
  <c r="BA1253" i="31"/>
  <c r="AP1253" i="31"/>
  <c r="H1253" i="31"/>
  <c r="BA2986" i="31"/>
  <c r="AP2986" i="31"/>
  <c r="H2986" i="31"/>
  <c r="H597" i="31"/>
  <c r="BA597" i="31"/>
  <c r="AP597" i="31"/>
  <c r="H486" i="31"/>
  <c r="BA486" i="31"/>
  <c r="AP486" i="31"/>
  <c r="AP1175" i="31"/>
  <c r="BA1175" i="31"/>
  <c r="H1175" i="31"/>
  <c r="BA2009" i="31"/>
  <c r="AP2009" i="31"/>
  <c r="H2009" i="31"/>
  <c r="H2795" i="31"/>
  <c r="AP2795" i="31"/>
  <c r="BA2795" i="31"/>
  <c r="AP1069" i="31"/>
  <c r="H1069" i="31"/>
  <c r="BA1069" i="31"/>
  <c r="AP2724" i="31"/>
  <c r="H2724" i="31"/>
  <c r="BA2724" i="31"/>
  <c r="BA1409" i="31"/>
  <c r="H1409" i="31"/>
  <c r="AP1409" i="31"/>
  <c r="AP1821" i="31"/>
  <c r="BA1821" i="31"/>
  <c r="H1821" i="31"/>
  <c r="AP2496" i="31"/>
  <c r="BA2496" i="31"/>
  <c r="H2496" i="31"/>
  <c r="AP2485" i="31"/>
  <c r="BA2485" i="31"/>
  <c r="H2485" i="31"/>
  <c r="AP286" i="31"/>
  <c r="H286" i="31"/>
  <c r="BA286" i="31"/>
  <c r="BA1883" i="31"/>
  <c r="H1883" i="31"/>
  <c r="AP1883" i="31"/>
  <c r="H3416" i="31"/>
  <c r="BA3416" i="31"/>
  <c r="AP3416" i="31"/>
  <c r="AP3262" i="31"/>
  <c r="H3262" i="31"/>
  <c r="BA3262" i="31"/>
  <c r="H3382" i="31"/>
  <c r="BA3382" i="31"/>
  <c r="AP3382" i="31"/>
  <c r="BA3053" i="31"/>
  <c r="AP3053" i="31"/>
  <c r="H3053" i="31"/>
  <c r="BA3331" i="31"/>
  <c r="AP3331" i="31"/>
  <c r="H3331" i="31"/>
  <c r="BA2657" i="31"/>
  <c r="AP2657" i="31"/>
  <c r="H2657" i="31"/>
  <c r="BA2177" i="31"/>
  <c r="AP2177" i="31"/>
  <c r="H2177" i="31"/>
  <c r="AP1240" i="31"/>
  <c r="H1240" i="31"/>
  <c r="BA1240" i="31"/>
  <c r="H1687" i="31"/>
  <c r="AP1687" i="31"/>
  <c r="BA1687" i="31"/>
  <c r="BA425" i="31"/>
  <c r="H425" i="31"/>
  <c r="AP425" i="31"/>
  <c r="H887" i="31"/>
  <c r="AP887" i="31"/>
  <c r="BA887" i="31"/>
  <c r="AP1188" i="31"/>
  <c r="H1188" i="31"/>
  <c r="BA1188" i="31"/>
  <c r="AP2809" i="31"/>
  <c r="H2809" i="31"/>
  <c r="BA2809" i="31"/>
  <c r="AP50" i="31"/>
  <c r="H50" i="31"/>
  <c r="BA50" i="31"/>
  <c r="BA1588" i="31"/>
  <c r="H1588" i="31"/>
  <c r="AP1588" i="31"/>
  <c r="BA3241" i="31"/>
  <c r="AP3241" i="31"/>
  <c r="H3241" i="31"/>
  <c r="H1157" i="31"/>
  <c r="AP1157" i="31"/>
  <c r="BA1157" i="31"/>
  <c r="AP708" i="31"/>
  <c r="BA708" i="31"/>
  <c r="H708" i="31"/>
  <c r="BA128" i="31"/>
  <c r="AP128" i="31"/>
  <c r="H128" i="31"/>
  <c r="AP1233" i="31"/>
  <c r="BA1233" i="31"/>
  <c r="H1233" i="31"/>
  <c r="BA69" i="31"/>
  <c r="AP69" i="31"/>
  <c r="H69" i="31"/>
  <c r="H861" i="31"/>
  <c r="AP861" i="31"/>
  <c r="BA861" i="31"/>
  <c r="AP1492" i="31"/>
  <c r="BA1492" i="31"/>
  <c r="H1492" i="31"/>
  <c r="BA1843" i="31"/>
  <c r="AP1843" i="31"/>
  <c r="H1843" i="31"/>
  <c r="AP2135" i="31"/>
  <c r="H2135" i="31"/>
  <c r="BA2135" i="31"/>
  <c r="H808" i="31"/>
  <c r="AP808" i="31"/>
  <c r="BA808" i="31"/>
  <c r="AP841" i="31"/>
  <c r="BA841" i="31"/>
  <c r="H841" i="31"/>
  <c r="BA3361" i="31"/>
  <c r="AP3361" i="31"/>
  <c r="H3361" i="31"/>
  <c r="BA2309" i="31"/>
  <c r="AP2309" i="31"/>
  <c r="H2309" i="31"/>
  <c r="AP3271" i="31"/>
  <c r="H3271" i="31"/>
  <c r="BA3271" i="31"/>
  <c r="H3128" i="31"/>
  <c r="BA3128" i="31"/>
  <c r="AP3128" i="31"/>
  <c r="H284" i="31"/>
  <c r="BA284" i="31"/>
  <c r="AP284" i="31"/>
  <c r="H3168" i="31"/>
  <c r="AP3168" i="31"/>
  <c r="BA3168" i="31"/>
  <c r="BA821" i="31"/>
  <c r="AP821" i="31"/>
  <c r="H821" i="31"/>
  <c r="AP2996" i="31"/>
  <c r="BA2996" i="31"/>
  <c r="H2996" i="31"/>
  <c r="H471" i="31"/>
  <c r="AP471" i="31"/>
  <c r="BA471" i="31"/>
  <c r="BA736" i="31"/>
  <c r="AP736" i="31"/>
  <c r="H736" i="31"/>
  <c r="H3257" i="31"/>
  <c r="BA3257" i="31"/>
  <c r="AP3257" i="31"/>
  <c r="BA1049" i="31"/>
  <c r="AP1049" i="31"/>
  <c r="H1049" i="31"/>
  <c r="BA391" i="31"/>
  <c r="AP391" i="31"/>
  <c r="H391" i="31"/>
  <c r="H1589" i="31"/>
  <c r="BA1589" i="31"/>
  <c r="AP1589" i="31"/>
  <c r="AP1765" i="31"/>
  <c r="BA1765" i="31"/>
  <c r="H1765" i="31"/>
  <c r="BA1178" i="31"/>
  <c r="H1178" i="31"/>
  <c r="AP1178" i="31"/>
  <c r="AP1447" i="31"/>
  <c r="H1447" i="31"/>
  <c r="BA1447" i="31"/>
  <c r="H2255" i="31"/>
  <c r="AP2255" i="31"/>
  <c r="BA2255" i="31"/>
  <c r="AP1170" i="31"/>
  <c r="H1170" i="31"/>
  <c r="BA1170" i="31"/>
  <c r="BA2797" i="31"/>
  <c r="H2797" i="31"/>
  <c r="AP2797" i="31"/>
  <c r="BA1470" i="31"/>
  <c r="H1470" i="31"/>
  <c r="AP1470" i="31"/>
  <c r="AP1889" i="31"/>
  <c r="H1889" i="31"/>
  <c r="BA1889" i="31"/>
  <c r="H2453" i="31"/>
  <c r="BA2453" i="31"/>
  <c r="AP2453" i="31"/>
  <c r="AP1607" i="31"/>
  <c r="H1607" i="31"/>
  <c r="BA1607" i="31"/>
  <c r="BA3290" i="31"/>
  <c r="AP3290" i="31"/>
  <c r="H3290" i="31"/>
  <c r="AP3315" i="31"/>
  <c r="BA3315" i="31"/>
  <c r="H3315" i="31"/>
  <c r="BA179" i="31"/>
  <c r="H179" i="31"/>
  <c r="AP179" i="31"/>
  <c r="BA3085" i="31"/>
  <c r="H3085" i="31"/>
  <c r="AP3085" i="31"/>
  <c r="BA617" i="31"/>
  <c r="H617" i="31"/>
  <c r="AP617" i="31"/>
  <c r="BA703" i="31"/>
  <c r="AP703" i="31"/>
  <c r="H703" i="31"/>
  <c r="BA1993" i="31"/>
  <c r="AP1993" i="31"/>
  <c r="H1993" i="31"/>
  <c r="H2174" i="31"/>
  <c r="BA2174" i="31"/>
  <c r="AP2174" i="31"/>
  <c r="AP881" i="31"/>
  <c r="H881" i="31"/>
  <c r="BA881" i="31"/>
  <c r="AP2964" i="31"/>
  <c r="H2964" i="31"/>
  <c r="BA2964" i="31"/>
  <c r="BA2333" i="31"/>
  <c r="H2333" i="31"/>
  <c r="AP2333" i="31"/>
  <c r="H1924" i="31"/>
  <c r="AP1924" i="31"/>
  <c r="BA1924" i="31"/>
  <c r="H1989" i="31"/>
  <c r="BA1989" i="31"/>
  <c r="AP1989" i="31"/>
  <c r="H2787" i="31"/>
  <c r="AP2787" i="31"/>
  <c r="BA2787" i="31"/>
  <c r="H1512" i="31"/>
  <c r="AP1512" i="31"/>
  <c r="BA1512" i="31"/>
  <c r="AP1414" i="31"/>
  <c r="BA1414" i="31"/>
  <c r="H1414" i="31"/>
  <c r="BA1063" i="31"/>
  <c r="H1063" i="31"/>
  <c r="AP1063" i="31"/>
  <c r="AP1040" i="31"/>
  <c r="H1040" i="31"/>
  <c r="BA1040" i="31"/>
  <c r="BA79" i="31"/>
  <c r="H79" i="31"/>
  <c r="AP79" i="31"/>
  <c r="BA646" i="31"/>
  <c r="AP646" i="31"/>
  <c r="H646" i="31"/>
  <c r="AP67" i="31"/>
  <c r="BA67" i="31"/>
  <c r="H67" i="31"/>
  <c r="AP2267" i="31"/>
  <c r="BA2267" i="31"/>
  <c r="H2267" i="31"/>
  <c r="H1958" i="31"/>
  <c r="AP1958" i="31"/>
  <c r="BA1958" i="31"/>
  <c r="H2154" i="31"/>
  <c r="BA2154" i="31"/>
  <c r="AP2154" i="31"/>
  <c r="H2341" i="31"/>
  <c r="AP2341" i="31"/>
  <c r="BA2341" i="31"/>
  <c r="H2086" i="31"/>
  <c r="BA2086" i="31"/>
  <c r="AP2086" i="31"/>
  <c r="BA1467" i="31"/>
  <c r="AP1467" i="31"/>
  <c r="H1467" i="31"/>
  <c r="AP2330" i="31"/>
  <c r="H2330" i="31"/>
  <c r="BA2330" i="31"/>
  <c r="H3167" i="31"/>
  <c r="BA3167" i="31"/>
  <c r="AP3167" i="31"/>
  <c r="BA1885" i="31"/>
  <c r="AP1885" i="31"/>
  <c r="H1885" i="31"/>
  <c r="H2831" i="31"/>
  <c r="AP2831" i="31"/>
  <c r="BA2831" i="31"/>
  <c r="H2793" i="31"/>
  <c r="BA2793" i="31"/>
  <c r="AP2793" i="31"/>
  <c r="AP3096" i="31"/>
  <c r="H3096" i="31"/>
  <c r="BA3096" i="31"/>
  <c r="BA2576" i="31"/>
  <c r="AP2576" i="31"/>
  <c r="H2576" i="31"/>
  <c r="BA2347" i="31"/>
  <c r="H2347" i="31"/>
  <c r="AP2347" i="31"/>
  <c r="AP2355" i="31"/>
  <c r="BA2355" i="31"/>
  <c r="H2355" i="31"/>
  <c r="H1884" i="31"/>
  <c r="AP1884" i="31"/>
  <c r="BA1884" i="31"/>
  <c r="AP3075" i="31"/>
  <c r="H3075" i="31"/>
  <c r="BA3075" i="31"/>
  <c r="BA3321" i="31"/>
  <c r="H3321" i="31"/>
  <c r="AP3321" i="31"/>
  <c r="H2242" i="31"/>
  <c r="AP2242" i="31"/>
  <c r="BA2242" i="31"/>
  <c r="H549" i="31"/>
  <c r="AP549" i="31"/>
  <c r="BA549" i="31"/>
  <c r="H1216" i="31"/>
  <c r="AP1216" i="31"/>
  <c r="BA1216" i="31"/>
  <c r="AP333" i="31"/>
  <c r="BA333" i="31"/>
  <c r="H333" i="31"/>
  <c r="AP1910" i="31"/>
  <c r="BA1910" i="31"/>
  <c r="H1910" i="31"/>
  <c r="H1153" i="31"/>
  <c r="AP1153" i="31"/>
  <c r="BA1153" i="31"/>
  <c r="H209" i="31"/>
  <c r="BA209" i="31"/>
  <c r="AP209" i="31"/>
  <c r="BA490" i="31"/>
  <c r="H490" i="31"/>
  <c r="AP490" i="31"/>
  <c r="BA1742" i="31"/>
  <c r="H1742" i="31"/>
  <c r="AP1742" i="31"/>
  <c r="H632" i="31"/>
  <c r="BA632" i="31"/>
  <c r="AP632" i="31"/>
  <c r="H2761" i="31"/>
  <c r="BA2761" i="31"/>
  <c r="AP2761" i="31"/>
  <c r="AP3309" i="31"/>
  <c r="H3309" i="31"/>
  <c r="BA3309" i="31"/>
  <c r="H440" i="31"/>
  <c r="AP440" i="31"/>
  <c r="BA440" i="31"/>
  <c r="BA332" i="31"/>
  <c r="AP332" i="31"/>
  <c r="H332" i="31"/>
  <c r="AP1003" i="31"/>
  <c r="BA1003" i="31"/>
  <c r="H1003" i="31"/>
  <c r="H1767" i="31"/>
  <c r="BA1767" i="31"/>
  <c r="AP1767" i="31"/>
  <c r="BA1631" i="31"/>
  <c r="H1631" i="31"/>
  <c r="AP1631" i="31"/>
  <c r="H1374" i="31"/>
  <c r="AP1374" i="31"/>
  <c r="BA1374" i="31"/>
  <c r="BA3201" i="31"/>
  <c r="AP3201" i="31"/>
  <c r="H3201" i="31"/>
  <c r="H1853" i="31"/>
  <c r="BA1853" i="31"/>
  <c r="AP1853" i="31"/>
  <c r="H116" i="31"/>
  <c r="BA116" i="31"/>
  <c r="AP116" i="31"/>
  <c r="AP2604" i="31"/>
  <c r="BA2604" i="31"/>
  <c r="H2604" i="31"/>
  <c r="AP1121" i="31"/>
  <c r="H1121" i="31"/>
  <c r="BA1121" i="31"/>
  <c r="BA941" i="31"/>
  <c r="H941" i="31"/>
  <c r="AP941" i="31"/>
  <c r="H1095" i="31"/>
  <c r="AP1095" i="31"/>
  <c r="BA1095" i="31"/>
  <c r="BA1417" i="31"/>
  <c r="H1417" i="31"/>
  <c r="AP1417" i="31"/>
  <c r="BA2087" i="31"/>
  <c r="AP2087" i="31"/>
  <c r="H2087" i="31"/>
  <c r="BA143" i="31"/>
  <c r="H143" i="31"/>
  <c r="AP143" i="31"/>
  <c r="BA929" i="31"/>
  <c r="AP929" i="31"/>
  <c r="H929" i="31"/>
  <c r="BA1044" i="31"/>
  <c r="AP1044" i="31"/>
  <c r="H1044" i="31"/>
  <c r="H3007" i="31"/>
  <c r="AP3007" i="31"/>
  <c r="BA3007" i="31"/>
  <c r="H370" i="31"/>
  <c r="AP370" i="31"/>
  <c r="BA370" i="31"/>
  <c r="H2412" i="31"/>
  <c r="BA2412" i="31"/>
  <c r="AP2412" i="31"/>
  <c r="H2462" i="31"/>
  <c r="AP2462" i="31"/>
  <c r="BA2462" i="31"/>
  <c r="AP372" i="31"/>
  <c r="H372" i="31"/>
  <c r="BA372" i="31"/>
  <c r="H1516" i="31"/>
  <c r="BA1516" i="31"/>
  <c r="AP1516" i="31"/>
  <c r="H1199" i="31"/>
  <c r="AP1199" i="31"/>
  <c r="BA1199" i="31"/>
  <c r="AP2521" i="31"/>
  <c r="H2521" i="31"/>
  <c r="BA2521" i="31"/>
  <c r="H3062" i="31"/>
  <c r="BA3062" i="31"/>
  <c r="AP3062" i="31"/>
  <c r="H3054" i="31"/>
  <c r="BA3054" i="31"/>
  <c r="AP3054" i="31"/>
  <c r="AP3287" i="31"/>
  <c r="BA3287" i="31"/>
  <c r="H3287" i="31"/>
  <c r="H183" i="31"/>
  <c r="BA183" i="31"/>
  <c r="AP183" i="31"/>
  <c r="H1282" i="31"/>
  <c r="AP1282" i="31"/>
  <c r="BA1282" i="31"/>
  <c r="AP1802" i="31"/>
  <c r="BA1802" i="31"/>
  <c r="H1802" i="31"/>
  <c r="AP2302" i="31"/>
  <c r="H2302" i="31"/>
  <c r="BA2302" i="31"/>
  <c r="H1726" i="31"/>
  <c r="AP1726" i="31"/>
  <c r="BA1726" i="31"/>
  <c r="BA113" i="31"/>
  <c r="H113" i="31"/>
  <c r="AP113" i="31"/>
  <c r="BA1117" i="31"/>
  <c r="AP1117" i="31"/>
  <c r="H1117" i="31"/>
  <c r="BA893" i="31"/>
  <c r="H893" i="31"/>
  <c r="AP893" i="31"/>
  <c r="H446" i="31"/>
  <c r="AP446" i="31"/>
  <c r="BA446" i="31"/>
  <c r="H3429" i="31"/>
  <c r="BA3429" i="31"/>
  <c r="AP3429" i="31"/>
  <c r="BA3284" i="31"/>
  <c r="AP3284" i="31"/>
  <c r="H3284" i="31"/>
  <c r="AP2895" i="31"/>
  <c r="BA2895" i="31"/>
  <c r="H2895" i="31"/>
  <c r="AP3370" i="31"/>
  <c r="BA3370" i="31"/>
  <c r="H3370" i="31"/>
  <c r="AP2854" i="31"/>
  <c r="H2854" i="31"/>
  <c r="BA2854" i="31"/>
  <c r="BA1758" i="31"/>
  <c r="H1758" i="31"/>
  <c r="AP1758" i="31"/>
  <c r="H805" i="31"/>
  <c r="AP805" i="31"/>
  <c r="BA805" i="31"/>
  <c r="H2467" i="31"/>
  <c r="AP2467" i="31"/>
  <c r="BA2467" i="31"/>
  <c r="H3433" i="31"/>
  <c r="AP3433" i="31"/>
  <c r="BA3433" i="31"/>
  <c r="H3506" i="31"/>
  <c r="BA3506" i="31"/>
  <c r="AP3506" i="31"/>
  <c r="AP1760" i="31"/>
  <c r="BA1760" i="31"/>
  <c r="H1760" i="31"/>
  <c r="BA2423" i="31"/>
  <c r="H2423" i="31"/>
  <c r="AP2423" i="31"/>
  <c r="H2894" i="31"/>
  <c r="BA2894" i="31"/>
  <c r="AP2894" i="31"/>
  <c r="BA152" i="31"/>
  <c r="AP152" i="31"/>
  <c r="H152" i="31"/>
  <c r="H3489" i="31"/>
  <c r="BA3489" i="31"/>
  <c r="AP3489" i="31"/>
  <c r="H2468" i="31"/>
  <c r="BA2468" i="31"/>
  <c r="AP2468" i="31"/>
  <c r="H2970" i="31"/>
  <c r="BA2970" i="31"/>
  <c r="AP2970" i="31"/>
  <c r="AP853" i="31"/>
  <c r="H853" i="31"/>
  <c r="BA853" i="31"/>
  <c r="BA2211" i="31"/>
  <c r="H2211" i="31"/>
  <c r="AP2211" i="31"/>
  <c r="H3472" i="31"/>
  <c r="BA3472" i="31"/>
  <c r="AP3472" i="31"/>
  <c r="AP2015" i="31"/>
  <c r="H2015" i="31"/>
  <c r="BA2015" i="31"/>
  <c r="H17" i="31"/>
  <c r="BA17" i="31"/>
  <c r="AP17" i="31"/>
  <c r="BA277" i="31"/>
  <c r="H277" i="31"/>
  <c r="AP277" i="31"/>
  <c r="BA2322" i="31"/>
  <c r="H2322" i="31"/>
  <c r="AP2322" i="31"/>
  <c r="H3455" i="31"/>
  <c r="BA3455" i="31"/>
  <c r="AP3455" i="31"/>
  <c r="H2877" i="31"/>
  <c r="BA2877" i="31"/>
  <c r="AP2877" i="31"/>
  <c r="AP1706" i="31"/>
  <c r="BA1706" i="31"/>
  <c r="H1706" i="31"/>
  <c r="H765" i="31"/>
  <c r="BA765" i="31"/>
  <c r="AP765" i="31"/>
  <c r="H605" i="31"/>
  <c r="AP605" i="31"/>
  <c r="BA605" i="31"/>
  <c r="H237" i="31"/>
  <c r="AP237" i="31"/>
  <c r="BA237" i="31"/>
  <c r="AP2293" i="31"/>
  <c r="BA2293" i="31"/>
  <c r="H2293" i="31"/>
  <c r="H958" i="31"/>
  <c r="AP958" i="31"/>
  <c r="BA958" i="31"/>
  <c r="AP2667" i="31"/>
  <c r="BA2667" i="31"/>
  <c r="H2667" i="31"/>
  <c r="AP2701" i="31"/>
  <c r="BA2701" i="31"/>
  <c r="H2701" i="31"/>
  <c r="CJ11" i="10"/>
  <c r="CI11" i="10"/>
  <c r="CH20" i="10"/>
  <c r="CB11" i="10"/>
  <c r="BW11" i="10"/>
  <c r="BZ11" i="10"/>
  <c r="HQ19" i="10"/>
  <c r="HQ20" i="10" s="1"/>
  <c r="AP2362" i="31"/>
  <c r="BA2362" i="31"/>
  <c r="H2362" i="31"/>
  <c r="AP2608" i="31"/>
  <c r="H2608" i="31"/>
  <c r="BA2608" i="31"/>
  <c r="H2550" i="31"/>
  <c r="BA2550" i="31"/>
  <c r="AP2550" i="31"/>
  <c r="BA418" i="31"/>
  <c r="AP418" i="31"/>
  <c r="H418" i="31"/>
  <c r="BA3289" i="31"/>
  <c r="H3289" i="31"/>
  <c r="AP3289" i="31"/>
  <c r="BA2326" i="31"/>
  <c r="AP2326" i="31"/>
  <c r="H2326" i="31"/>
  <c r="H1784" i="31"/>
  <c r="AP1784" i="31"/>
  <c r="BA1784" i="31"/>
  <c r="H247" i="31"/>
  <c r="BA247" i="31"/>
  <c r="AP247" i="31"/>
  <c r="BA1154" i="31"/>
  <c r="H1154" i="31"/>
  <c r="AP1154" i="31"/>
  <c r="H2826" i="31"/>
  <c r="AP2826" i="31"/>
  <c r="BA2826" i="31"/>
  <c r="AP3328" i="31"/>
  <c r="H3328" i="31"/>
  <c r="BA3328" i="31"/>
  <c r="BA994" i="31"/>
  <c r="AP994" i="31"/>
  <c r="H994" i="31"/>
  <c r="H3387" i="31"/>
  <c r="BA3387" i="31"/>
  <c r="AP3387" i="31"/>
  <c r="H658" i="31"/>
  <c r="AP658" i="31"/>
  <c r="BA658" i="31"/>
  <c r="BA878" i="31"/>
  <c r="H878" i="31"/>
  <c r="AP878" i="31"/>
  <c r="BA852" i="31"/>
  <c r="AP852" i="31"/>
  <c r="H852" i="31"/>
  <c r="H1563" i="31"/>
  <c r="AP1563" i="31"/>
  <c r="BA1563" i="31"/>
  <c r="BA255" i="31"/>
  <c r="AP255" i="31"/>
  <c r="H255" i="31"/>
  <c r="H1721" i="31"/>
  <c r="BA1721" i="31"/>
  <c r="AP1721" i="31"/>
  <c r="AP1288" i="31"/>
  <c r="BA1288" i="31"/>
  <c r="H1288" i="31"/>
  <c r="AP2924" i="31"/>
  <c r="H2924" i="31"/>
  <c r="BA2924" i="31"/>
  <c r="AP2430" i="31"/>
  <c r="BA2430" i="31"/>
  <c r="H2430" i="31"/>
  <c r="BA1685" i="31"/>
  <c r="AP1685" i="31"/>
  <c r="H1685" i="31"/>
  <c r="H2469" i="31"/>
  <c r="AP2469" i="31"/>
  <c r="BA2469" i="31"/>
  <c r="BA2980" i="31"/>
  <c r="H2980" i="31"/>
  <c r="AP2980" i="31"/>
  <c r="BA68" i="31"/>
  <c r="H68" i="31"/>
  <c r="AP68" i="31"/>
  <c r="H1532" i="31"/>
  <c r="BA1532" i="31"/>
  <c r="AP1532" i="31"/>
  <c r="AP2514" i="31"/>
  <c r="BA2514" i="31"/>
  <c r="H2514" i="31"/>
  <c r="H1905" i="31"/>
  <c r="BA1905" i="31"/>
  <c r="AP1905" i="31"/>
  <c r="AP2115" i="31"/>
  <c r="H2115" i="31"/>
  <c r="BA2115" i="31"/>
  <c r="AP2218" i="31"/>
  <c r="H2218" i="31"/>
  <c r="BA2218" i="31"/>
  <c r="BA685" i="31"/>
  <c r="AP685" i="31"/>
  <c r="H685" i="31"/>
  <c r="BA2209" i="31"/>
  <c r="H2209" i="31"/>
  <c r="AP2209" i="31"/>
  <c r="BA374" i="31"/>
  <c r="AP374" i="31"/>
  <c r="H374" i="31"/>
  <c r="BA87" i="31"/>
  <c r="AP87" i="31"/>
  <c r="H87" i="31"/>
  <c r="H858" i="31"/>
  <c r="BA858" i="31"/>
  <c r="AP858" i="31"/>
  <c r="H3017" i="31"/>
  <c r="BA3017" i="31"/>
  <c r="AP3017" i="31"/>
  <c r="H1836" i="31"/>
  <c r="AP1836" i="31"/>
  <c r="BA1836" i="31"/>
  <c r="AP1441" i="31"/>
  <c r="BA1441" i="31"/>
  <c r="H1441" i="31"/>
  <c r="H3411" i="31"/>
  <c r="AP3411" i="31"/>
  <c r="BA3411" i="31"/>
  <c r="BA936" i="31"/>
  <c r="AP936" i="31"/>
  <c r="H936" i="31"/>
  <c r="BA911" i="31"/>
  <c r="AP911" i="31"/>
  <c r="H911" i="31"/>
  <c r="BA2662" i="31"/>
  <c r="H2662" i="31"/>
  <c r="AP2662" i="31"/>
  <c r="AP139" i="31"/>
  <c r="H139" i="31"/>
  <c r="BA139" i="31"/>
  <c r="AP1663" i="31"/>
  <c r="BA1663" i="31"/>
  <c r="H1663" i="31"/>
  <c r="H2583" i="31"/>
  <c r="BA2583" i="31"/>
  <c r="AP2583" i="31"/>
  <c r="H2631" i="31"/>
  <c r="BA2631" i="31"/>
  <c r="AP2631" i="31"/>
  <c r="BA2973" i="31"/>
  <c r="AP2973" i="31"/>
  <c r="H2973" i="31"/>
  <c r="AP2688" i="31"/>
  <c r="BA2688" i="31"/>
  <c r="H2688" i="31"/>
  <c r="H891" i="31"/>
  <c r="AP891" i="31"/>
  <c r="BA891" i="31"/>
  <c r="AP2636" i="31"/>
  <c r="H2636" i="31"/>
  <c r="BA2636" i="31"/>
  <c r="BA3008" i="31"/>
  <c r="AP3008" i="31"/>
  <c r="H3008" i="31"/>
  <c r="BA2382" i="31"/>
  <c r="H2382" i="31"/>
  <c r="AP2382" i="31"/>
  <c r="BA786" i="31"/>
  <c r="H786" i="31"/>
  <c r="AP786" i="31"/>
  <c r="AP813" i="31"/>
  <c r="BA813" i="31"/>
  <c r="H813" i="31"/>
  <c r="AP2984" i="31"/>
  <c r="BA2984" i="31"/>
  <c r="H2984" i="31"/>
  <c r="AP1842" i="31"/>
  <c r="H1842" i="31"/>
  <c r="BA1842" i="31"/>
  <c r="AP657" i="31"/>
  <c r="H657" i="31"/>
  <c r="BA657" i="31"/>
  <c r="BA1420" i="31"/>
  <c r="AP1420" i="31"/>
  <c r="H1420" i="31"/>
  <c r="AP361" i="31"/>
  <c r="BA361" i="31"/>
  <c r="H361" i="31"/>
  <c r="AP1070" i="31"/>
  <c r="BA1070" i="31"/>
  <c r="H1070" i="31"/>
  <c r="AP2862" i="31"/>
  <c r="BA2862" i="31"/>
  <c r="H2862" i="31"/>
  <c r="H2752" i="31"/>
  <c r="AP2752" i="31"/>
  <c r="BA2752" i="31"/>
  <c r="H1480" i="31"/>
  <c r="BA1480" i="31"/>
  <c r="AP1480" i="31"/>
  <c r="BA1925" i="31"/>
  <c r="AP1925" i="31"/>
  <c r="H1925" i="31"/>
  <c r="AP2958" i="31"/>
  <c r="BA2958" i="31"/>
  <c r="H2958" i="31"/>
  <c r="AP3422" i="31"/>
  <c r="H3422" i="31"/>
  <c r="BA3422" i="31"/>
  <c r="AP777" i="31"/>
  <c r="BA777" i="31"/>
  <c r="H777" i="31"/>
  <c r="BA1432" i="31"/>
  <c r="AP1432" i="31"/>
  <c r="H1432" i="31"/>
  <c r="H1659" i="31"/>
  <c r="AP1659" i="31"/>
  <c r="BA1659" i="31"/>
  <c r="BA1669" i="31"/>
  <c r="AP1669" i="31"/>
  <c r="H1669" i="31"/>
  <c r="AP859" i="31"/>
  <c r="H859" i="31"/>
  <c r="BA859" i="31"/>
  <c r="BA1774" i="31"/>
  <c r="AP1774" i="31"/>
  <c r="H1774" i="31"/>
  <c r="H1540" i="31"/>
  <c r="AP1540" i="31"/>
  <c r="BA1540" i="31"/>
  <c r="BA49" i="31"/>
  <c r="H49" i="31"/>
  <c r="AP49" i="31"/>
  <c r="AP984" i="31"/>
  <c r="H984" i="31"/>
  <c r="BA984" i="31"/>
  <c r="AP2699" i="31"/>
  <c r="H2699" i="31"/>
  <c r="BA2699" i="31"/>
  <c r="BA2318" i="31"/>
  <c r="H2318" i="31"/>
  <c r="AP2318" i="31"/>
  <c r="AP3301" i="31"/>
  <c r="BA3301" i="31"/>
  <c r="H3301" i="31"/>
  <c r="BA500" i="31"/>
  <c r="H500" i="31"/>
  <c r="AP500" i="31"/>
  <c r="H2295" i="31"/>
  <c r="BA2295" i="31"/>
  <c r="AP2295" i="31"/>
  <c r="BA2764" i="31"/>
  <c r="H2764" i="31"/>
  <c r="AP2764" i="31"/>
  <c r="AP3291" i="31"/>
  <c r="H3291" i="31"/>
  <c r="BA3291" i="31"/>
  <c r="BA3033" i="31"/>
  <c r="AP3033" i="31"/>
  <c r="H3033" i="31"/>
  <c r="AP2626" i="31"/>
  <c r="BA2626" i="31"/>
  <c r="H2626" i="31"/>
  <c r="H1768" i="31"/>
  <c r="AP1768" i="31"/>
  <c r="BA1768" i="31"/>
  <c r="AP1807" i="31"/>
  <c r="H1807" i="31"/>
  <c r="BA1807" i="31"/>
  <c r="BA1552" i="31"/>
  <c r="AP1552" i="31"/>
  <c r="H1552" i="31"/>
  <c r="H2157" i="31"/>
  <c r="BA2157" i="31"/>
  <c r="AP2157" i="31"/>
  <c r="BA788" i="31"/>
  <c r="H788" i="31"/>
  <c r="AP788" i="31"/>
  <c r="H2607" i="31"/>
  <c r="BA2607" i="31"/>
  <c r="AP2607" i="31"/>
  <c r="BA1413" i="31"/>
  <c r="AP1413" i="31"/>
  <c r="H1413" i="31"/>
  <c r="BA2447" i="31"/>
  <c r="H2447" i="31"/>
  <c r="AP2447" i="31"/>
  <c r="H345" i="31"/>
  <c r="AP345" i="31"/>
  <c r="BA345" i="31"/>
  <c r="BA547" i="31"/>
  <c r="H547" i="31"/>
  <c r="AP547" i="31"/>
  <c r="AP2567" i="31"/>
  <c r="H2567" i="31"/>
  <c r="BA2567" i="31"/>
  <c r="AP299" i="31"/>
  <c r="H299" i="31"/>
  <c r="BA299" i="31"/>
  <c r="BA1258" i="31"/>
  <c r="AP1258" i="31"/>
  <c r="H1258" i="31"/>
  <c r="H1246" i="31"/>
  <c r="BA1246" i="31"/>
  <c r="AP1246" i="31"/>
  <c r="BA1222" i="31"/>
  <c r="AP1222" i="31"/>
  <c r="H1222" i="31"/>
  <c r="H2842" i="31"/>
  <c r="BA2842" i="31"/>
  <c r="AP2842" i="31"/>
  <c r="AP2243" i="31"/>
  <c r="H2243" i="31"/>
  <c r="BA2243" i="31"/>
  <c r="H1887" i="31"/>
  <c r="AP1887" i="31"/>
  <c r="BA1887" i="31"/>
  <c r="BA1418" i="31"/>
  <c r="AP1418" i="31"/>
  <c r="H1418" i="31"/>
  <c r="H3278" i="31"/>
  <c r="AP3278" i="31"/>
  <c r="BA3278" i="31"/>
  <c r="BA1010" i="31"/>
  <c r="AP1010" i="31"/>
  <c r="H1010" i="31"/>
  <c r="H3044" i="31"/>
  <c r="AP3044" i="31"/>
  <c r="BA3044" i="31"/>
  <c r="H2194" i="31"/>
  <c r="BA2194" i="31"/>
  <c r="AP2194" i="31"/>
  <c r="H1243" i="31"/>
  <c r="AP1243" i="31"/>
  <c r="BA1243" i="31"/>
  <c r="AP3341" i="31"/>
  <c r="H3341" i="31"/>
  <c r="BA3341" i="31"/>
  <c r="BA1087" i="31"/>
  <c r="AP1087" i="31"/>
  <c r="H1087" i="31"/>
  <c r="AP2820" i="31"/>
  <c r="H2820" i="31"/>
  <c r="BA2820" i="31"/>
  <c r="H2815" i="31"/>
  <c r="AP2815" i="31"/>
  <c r="BA2815" i="31"/>
  <c r="H3368" i="31"/>
  <c r="BA3368" i="31"/>
  <c r="AP3368" i="31"/>
  <c r="H304" i="31"/>
  <c r="BA304" i="31"/>
  <c r="AP304" i="31"/>
  <c r="BA478" i="31"/>
  <c r="H478" i="31"/>
  <c r="AP478" i="31"/>
  <c r="BA2455" i="31"/>
  <c r="AP2455" i="31"/>
  <c r="H2455" i="31"/>
  <c r="AP1996" i="31"/>
  <c r="BA1996" i="31"/>
  <c r="H1996" i="31"/>
  <c r="AP968" i="31"/>
  <c r="BA968" i="31"/>
  <c r="H968" i="31"/>
  <c r="H1506" i="31"/>
  <c r="BA1506" i="31"/>
  <c r="AP1506" i="31"/>
  <c r="H2173" i="31"/>
  <c r="BA2173" i="31"/>
  <c r="AP2173" i="31"/>
  <c r="BA1963" i="31"/>
  <c r="H1963" i="31"/>
  <c r="AP1963" i="31"/>
  <c r="H1911" i="31"/>
  <c r="AP1911" i="31"/>
  <c r="BA1911" i="31"/>
  <c r="H110" i="31"/>
  <c r="BA110" i="31"/>
  <c r="AP110" i="31"/>
  <c r="BA1357" i="31"/>
  <c r="H1357" i="31"/>
  <c r="AP1357" i="31"/>
  <c r="H1890" i="31"/>
  <c r="AP1890" i="31"/>
  <c r="BA1890" i="31"/>
  <c r="BA1008" i="31"/>
  <c r="AP1008" i="31"/>
  <c r="H1008" i="31"/>
  <c r="AP1052" i="31"/>
  <c r="H1052" i="31"/>
  <c r="BA1052" i="31"/>
  <c r="H2051" i="31"/>
  <c r="BA2051" i="31"/>
  <c r="AP2051" i="31"/>
  <c r="AP1267" i="31"/>
  <c r="H1267" i="31"/>
  <c r="BA1267" i="31"/>
  <c r="H390" i="31"/>
  <c r="BA390" i="31"/>
  <c r="AP390" i="31"/>
  <c r="BA136" i="31"/>
  <c r="AP136" i="31"/>
  <c r="H136" i="31"/>
  <c r="H1085" i="31"/>
  <c r="AP1085" i="31"/>
  <c r="BA1085" i="31"/>
  <c r="H1181" i="31"/>
  <c r="BA1181" i="31"/>
  <c r="AP1181" i="31"/>
  <c r="BA2531" i="31"/>
  <c r="AP2531" i="31"/>
  <c r="H2531" i="31"/>
  <c r="H2451" i="31"/>
  <c r="BA2451" i="31"/>
  <c r="AP2451" i="31"/>
  <c r="AP23" i="31"/>
  <c r="BA23" i="31"/>
  <c r="H23" i="31"/>
  <c r="AP1637" i="31"/>
  <c r="H1637" i="31"/>
  <c r="BA1637" i="31"/>
  <c r="H454" i="31"/>
  <c r="AP454" i="31"/>
  <c r="BA454" i="31"/>
  <c r="AP2711" i="31"/>
  <c r="BA2711" i="31"/>
  <c r="H2711" i="31"/>
  <c r="H1854" i="31"/>
  <c r="BA1854" i="31"/>
  <c r="AP1854" i="31"/>
  <c r="AP1332" i="31"/>
  <c r="H1332" i="31"/>
  <c r="BA1332" i="31"/>
  <c r="AP2945" i="31"/>
  <c r="BA2945" i="31"/>
  <c r="H2945" i="31"/>
  <c r="H2695" i="31"/>
  <c r="AP2695" i="31"/>
  <c r="BA2695" i="31"/>
  <c r="H629" i="31"/>
  <c r="AP629" i="31"/>
  <c r="BA629" i="31"/>
  <c r="H148" i="31"/>
  <c r="AP148" i="31"/>
  <c r="BA148" i="31"/>
  <c r="BA3364" i="31"/>
  <c r="AP3364" i="31"/>
  <c r="H3364" i="31"/>
  <c r="H1326" i="31"/>
  <c r="BA1326" i="31"/>
  <c r="AP1326" i="31"/>
  <c r="BA1277" i="31"/>
  <c r="AP1277" i="31"/>
  <c r="H1277" i="31"/>
  <c r="AP2836" i="31"/>
  <c r="BA2836" i="31"/>
  <c r="H2836" i="31"/>
  <c r="AP1778" i="31"/>
  <c r="H1778" i="31"/>
  <c r="BA1778" i="31"/>
  <c r="AP799" i="31"/>
  <c r="BA799" i="31"/>
  <c r="H799" i="31"/>
  <c r="AP3156" i="31"/>
  <c r="H3156" i="31"/>
  <c r="BA3156" i="31"/>
  <c r="AP439" i="31"/>
  <c r="BA439" i="31"/>
  <c r="H439" i="31"/>
  <c r="BA1211" i="31"/>
  <c r="H1211" i="31"/>
  <c r="AP1211" i="31"/>
  <c r="BA3350" i="31"/>
  <c r="AP3350" i="31"/>
  <c r="H3350" i="31"/>
  <c r="H3025" i="31"/>
  <c r="AP3025" i="31"/>
  <c r="BA3025" i="31"/>
  <c r="H1644" i="31"/>
  <c r="BA1644" i="31"/>
  <c r="AP1644" i="31"/>
  <c r="H1816" i="31"/>
  <c r="AP1816" i="31"/>
  <c r="BA1816" i="31"/>
  <c r="H2403" i="31"/>
  <c r="AP2403" i="31"/>
  <c r="BA2403" i="31"/>
  <c r="H2391" i="31"/>
  <c r="BA2391" i="31"/>
  <c r="AP2391" i="31"/>
  <c r="AP1748" i="31"/>
  <c r="BA1748" i="31"/>
  <c r="H1748" i="31"/>
  <c r="H671" i="31"/>
  <c r="AP671" i="31"/>
  <c r="BA671" i="31"/>
  <c r="BA2710" i="31"/>
  <c r="AP2710" i="31"/>
  <c r="H2710" i="31"/>
  <c r="AP956" i="31"/>
  <c r="H956" i="31"/>
  <c r="BA956" i="31"/>
  <c r="AP1508" i="31"/>
  <c r="H1508" i="31"/>
  <c r="BA1508" i="31"/>
  <c r="AP217" i="31"/>
  <c r="H217" i="31"/>
  <c r="BA217" i="31"/>
  <c r="AP2988" i="31"/>
  <c r="BA2988" i="31"/>
  <c r="H2988" i="31"/>
  <c r="BA2465" i="31"/>
  <c r="AP2465" i="31"/>
  <c r="H2465" i="31"/>
  <c r="H592" i="31"/>
  <c r="AP592" i="31"/>
  <c r="BA592" i="31"/>
  <c r="AP1877" i="31"/>
  <c r="H1877" i="31"/>
  <c r="BA1877" i="31"/>
  <c r="BA3254" i="31"/>
  <c r="H3254" i="31"/>
  <c r="AP3254" i="31"/>
  <c r="AP635" i="31"/>
  <c r="H635" i="31"/>
  <c r="BA635" i="31"/>
  <c r="H1251" i="31"/>
  <c r="AP1251" i="31"/>
  <c r="BA1251" i="31"/>
  <c r="BA359" i="31"/>
  <c r="AP359" i="31"/>
  <c r="H359" i="31"/>
  <c r="BA1252" i="31"/>
  <c r="H1252" i="31"/>
  <c r="AP1252" i="31"/>
  <c r="AP2822" i="31"/>
  <c r="BA2822" i="31"/>
  <c r="H2822" i="31"/>
  <c r="H2444" i="31"/>
  <c r="BA2444" i="31"/>
  <c r="AP2444" i="31"/>
  <c r="H1891" i="31"/>
  <c r="AP1891" i="31"/>
  <c r="BA1891" i="31"/>
  <c r="H2057" i="31"/>
  <c r="AP2057" i="31"/>
  <c r="BA2057" i="31"/>
  <c r="BA230" i="31"/>
  <c r="AP230" i="31"/>
  <c r="H230" i="31"/>
  <c r="H2192" i="31"/>
  <c r="AP2192" i="31"/>
  <c r="BA2192" i="31"/>
  <c r="AP460" i="31"/>
  <c r="H460" i="31"/>
  <c r="BA460" i="31"/>
  <c r="AP324" i="31"/>
  <c r="H324" i="31"/>
  <c r="BA324" i="31"/>
  <c r="H769" i="31"/>
  <c r="BA769" i="31"/>
  <c r="AP769" i="31"/>
  <c r="BA2651" i="31"/>
  <c r="H2651" i="31"/>
  <c r="AP2651" i="31"/>
  <c r="BA1592" i="31"/>
  <c r="AP1592" i="31"/>
  <c r="H1592" i="31"/>
  <c r="BA756" i="31"/>
  <c r="AP756" i="31"/>
  <c r="H756" i="31"/>
  <c r="AP3401" i="31"/>
  <c r="H3401" i="31"/>
  <c r="BA3401" i="31"/>
  <c r="H3507" i="31"/>
  <c r="BA3507" i="31"/>
  <c r="AP3507" i="31"/>
  <c r="BA3079" i="31"/>
  <c r="AP3079" i="31"/>
  <c r="H3079" i="31"/>
  <c r="H1991" i="31"/>
  <c r="AP1991" i="31"/>
  <c r="BA1991" i="31"/>
  <c r="H84" i="31"/>
  <c r="BA84" i="31"/>
  <c r="AP84" i="31"/>
  <c r="BA1305" i="31"/>
  <c r="H1305" i="31"/>
  <c r="AP1305" i="31"/>
  <c r="H3490" i="31"/>
  <c r="BA3490" i="31"/>
  <c r="AP3490" i="31"/>
  <c r="BA3428" i="31"/>
  <c r="AP3428" i="31"/>
  <c r="H3428" i="31"/>
  <c r="H709" i="31"/>
  <c r="BA709" i="31"/>
  <c r="AP709" i="31"/>
  <c r="H170" i="31"/>
  <c r="BA170" i="31"/>
  <c r="AP170" i="31"/>
  <c r="AP2268" i="31"/>
  <c r="BA2268" i="31"/>
  <c r="H2268" i="31"/>
  <c r="H3473" i="31"/>
  <c r="BA3473" i="31"/>
  <c r="AP3473" i="31"/>
  <c r="H1764" i="31"/>
  <c r="BA1764" i="31"/>
  <c r="AP1764" i="31"/>
  <c r="H3059" i="31"/>
  <c r="BA3059" i="31"/>
  <c r="AP3059" i="31"/>
  <c r="AP1177" i="31"/>
  <c r="BA1177" i="31"/>
  <c r="H1177" i="31"/>
  <c r="AP2286" i="31"/>
  <c r="H2286" i="31"/>
  <c r="BA2286" i="31"/>
  <c r="H3456" i="31"/>
  <c r="BA3456" i="31"/>
  <c r="AP3456" i="31"/>
  <c r="BA1932" i="31"/>
  <c r="AP1932" i="31"/>
  <c r="H1932" i="31"/>
  <c r="AP875" i="31"/>
  <c r="H875" i="31"/>
  <c r="BA875" i="31"/>
  <c r="H569" i="31"/>
  <c r="AP569" i="31"/>
  <c r="BA569" i="31"/>
  <c r="H60" i="31"/>
  <c r="AP60" i="31"/>
  <c r="BA60" i="31"/>
  <c r="H883" i="31"/>
  <c r="BA883" i="31"/>
  <c r="AP883" i="31"/>
  <c r="BA1561" i="31"/>
  <c r="H1561" i="31"/>
  <c r="AP1561" i="31"/>
  <c r="AP563" i="31"/>
  <c r="BA563" i="31"/>
  <c r="H563" i="31"/>
  <c r="H1266" i="31"/>
  <c r="AP1266" i="31"/>
  <c r="BA1266" i="31"/>
  <c r="BA1399" i="31"/>
  <c r="H1399" i="31"/>
  <c r="AP1399" i="31"/>
  <c r="BA510" i="31"/>
  <c r="AP510" i="31"/>
  <c r="H510" i="31"/>
  <c r="AP3105" i="31"/>
  <c r="H3105" i="31"/>
  <c r="BA3105" i="31"/>
  <c r="AP692" i="31"/>
  <c r="H692" i="31"/>
  <c r="BA692" i="31"/>
  <c r="H2759" i="31"/>
  <c r="BA2759" i="31"/>
  <c r="AP2759" i="31"/>
  <c r="AP130" i="31"/>
  <c r="H130" i="31"/>
  <c r="BA130" i="31"/>
  <c r="CJ14" i="10"/>
  <c r="CI14" i="10"/>
  <c r="CB14" i="10"/>
  <c r="CH17" i="10"/>
  <c r="BW14" i="10"/>
  <c r="BZ14" i="10"/>
  <c r="IB19" i="10"/>
  <c r="IB20" i="10" s="1"/>
  <c r="HX19" i="10"/>
  <c r="HX20" i="10" s="1"/>
  <c r="AP223" i="31"/>
  <c r="BA223" i="31"/>
  <c r="H223" i="31"/>
  <c r="BA3107" i="31"/>
  <c r="H3107" i="31"/>
  <c r="AP3107" i="31"/>
  <c r="AP3303" i="31"/>
  <c r="H3303" i="31"/>
  <c r="BA3303" i="31"/>
  <c r="H3260" i="31"/>
  <c r="AP3260" i="31"/>
  <c r="BA3260" i="31"/>
  <c r="AP2421" i="31"/>
  <c r="BA2421" i="31"/>
  <c r="H2421" i="31"/>
  <c r="BA2925" i="31"/>
  <c r="H2925" i="31"/>
  <c r="AP2925" i="31"/>
  <c r="BA427" i="31"/>
  <c r="AP427" i="31"/>
  <c r="H427" i="31"/>
  <c r="AP1364" i="31"/>
  <c r="H1364" i="31"/>
  <c r="BA1364" i="31"/>
  <c r="BA2534" i="31"/>
  <c r="AP2534" i="31"/>
  <c r="H2534" i="31"/>
  <c r="H2920" i="31"/>
  <c r="BA2920" i="31"/>
  <c r="AP2920" i="31"/>
  <c r="AP1921" i="31"/>
  <c r="BA1921" i="31"/>
  <c r="H1921" i="31"/>
  <c r="AP2334" i="31"/>
  <c r="BA2334" i="31"/>
  <c r="H2334" i="31"/>
  <c r="BA3237" i="31"/>
  <c r="H3237" i="31"/>
  <c r="AP3237" i="31"/>
  <c r="H1805" i="31"/>
  <c r="AP1805" i="31"/>
  <c r="BA1805" i="31"/>
  <c r="BA3144" i="31"/>
  <c r="AP3144" i="31"/>
  <c r="H3144" i="31"/>
  <c r="BA3378" i="31"/>
  <c r="AP3378" i="31"/>
  <c r="H3378" i="31"/>
  <c r="AP3022" i="31"/>
  <c r="H3022" i="31"/>
  <c r="BA3022" i="31"/>
  <c r="H20" i="31"/>
  <c r="AP20" i="31"/>
  <c r="BA20" i="31"/>
  <c r="AP2707" i="31"/>
  <c r="BA2707" i="31"/>
  <c r="H2707" i="31"/>
  <c r="H3383" i="31"/>
  <c r="BA3383" i="31"/>
  <c r="AP3383" i="31"/>
  <c r="H1545" i="31"/>
  <c r="BA1545" i="31"/>
  <c r="AP1545" i="31"/>
  <c r="AP2819" i="31"/>
  <c r="H2819" i="31"/>
  <c r="BA2819" i="31"/>
  <c r="H1468" i="31"/>
  <c r="BA1468" i="31"/>
  <c r="AP1468" i="31"/>
  <c r="BA3251" i="31"/>
  <c r="AP3251" i="31"/>
  <c r="H3251" i="31"/>
  <c r="H2941" i="31"/>
  <c r="BA2941" i="31"/>
  <c r="AP2941" i="31"/>
  <c r="H158" i="31"/>
  <c r="AP158" i="31"/>
  <c r="BA158" i="31"/>
  <c r="H834" i="31"/>
  <c r="AP834" i="31"/>
  <c r="BA834" i="31"/>
  <c r="H1918" i="31"/>
  <c r="AP1918" i="31"/>
  <c r="BA1918" i="31"/>
  <c r="BA3134" i="31"/>
  <c r="H3134" i="31"/>
  <c r="AP3134" i="31"/>
  <c r="BA1196" i="31"/>
  <c r="AP1196" i="31"/>
  <c r="H1196" i="31"/>
  <c r="AP455" i="31"/>
  <c r="BA455" i="31"/>
  <c r="H455" i="31"/>
  <c r="AP2156" i="31"/>
  <c r="H2156" i="31"/>
  <c r="BA2156" i="31"/>
  <c r="AP3230" i="31"/>
  <c r="BA3230" i="31"/>
  <c r="H3230" i="31"/>
  <c r="AP2502" i="31"/>
  <c r="H2502" i="31"/>
  <c r="BA2502" i="31"/>
  <c r="AP31" i="31"/>
  <c r="BA31" i="31"/>
  <c r="H31" i="31"/>
  <c r="AP3043" i="31"/>
  <c r="BA3043" i="31"/>
  <c r="H3043" i="31"/>
  <c r="BA2102" i="31"/>
  <c r="AP2102" i="31"/>
  <c r="H2102" i="31"/>
  <c r="E3518" i="31"/>
  <c r="K3518" i="31"/>
  <c r="I3518" i="31"/>
  <c r="AP882" i="31"/>
  <c r="H882" i="31"/>
  <c r="BA882" i="31"/>
  <c r="BA2870" i="31"/>
  <c r="H2870" i="31"/>
  <c r="AP2870" i="31"/>
  <c r="BA302" i="31"/>
  <c r="H302" i="31"/>
  <c r="AP302" i="31"/>
  <c r="AP1330" i="31"/>
  <c r="H1330" i="31"/>
  <c r="BA1330" i="31"/>
  <c r="BA1577" i="31"/>
  <c r="AP1577" i="31"/>
  <c r="H1577" i="31"/>
  <c r="BA3249" i="31"/>
  <c r="H3249" i="31"/>
  <c r="AP3249" i="31"/>
  <c r="BA1593" i="31"/>
  <c r="H1593" i="31"/>
  <c r="AP1593" i="31"/>
  <c r="BA2259" i="31"/>
  <c r="H2259" i="31"/>
  <c r="AP2259" i="31"/>
  <c r="BA1230" i="31"/>
  <c r="H1230" i="31"/>
  <c r="AP1230" i="31"/>
  <c r="AP2503" i="31"/>
  <c r="H2503" i="31"/>
  <c r="BA2503" i="31"/>
  <c r="AP3138" i="31"/>
  <c r="H3138" i="31"/>
  <c r="BA3138" i="31"/>
  <c r="BA1987" i="31"/>
  <c r="H1987" i="31"/>
  <c r="AP1987" i="31"/>
  <c r="H2291" i="31"/>
  <c r="AP2291" i="31"/>
  <c r="BA2291" i="31"/>
  <c r="AP971" i="31"/>
  <c r="H971" i="31"/>
  <c r="BA971" i="31"/>
  <c r="BA3196" i="31"/>
  <c r="H3196" i="31"/>
  <c r="AP3196" i="31"/>
  <c r="H1051" i="31"/>
  <c r="BA1051" i="31"/>
  <c r="AP1051" i="31"/>
  <c r="H3452" i="31"/>
  <c r="BA3452" i="31"/>
  <c r="AP3452" i="31"/>
  <c r="BA3194" i="31"/>
  <c r="H3194" i="31"/>
  <c r="AP3194" i="31"/>
  <c r="H530" i="31"/>
  <c r="BA530" i="31"/>
  <c r="AP530" i="31"/>
  <c r="AP36" i="31"/>
  <c r="H36" i="31"/>
  <c r="BA36" i="31"/>
  <c r="AP2756" i="31"/>
  <c r="BA2756" i="31"/>
  <c r="H2756" i="31"/>
  <c r="H3091" i="31"/>
  <c r="BA3091" i="31"/>
  <c r="AP3091" i="31"/>
  <c r="AP1380" i="31"/>
  <c r="H1380" i="31"/>
  <c r="BA1380" i="31"/>
  <c r="BA2146" i="31"/>
  <c r="AP2146" i="31"/>
  <c r="H2146" i="31"/>
  <c r="BA3421" i="31"/>
  <c r="AP3421" i="31"/>
  <c r="H3421" i="31"/>
  <c r="H346" i="31"/>
  <c r="BA346" i="31"/>
  <c r="AP346" i="31"/>
  <c r="E3527" i="31"/>
  <c r="I3527" i="31"/>
  <c r="K3527" i="31"/>
  <c r="AQ3527" i="31" a="1"/>
  <c r="AQ3527" i="31" s="1"/>
  <c r="P3527" i="31" a="1"/>
  <c r="P3527" i="31" s="1"/>
  <c r="M3527" i="31" a="1"/>
  <c r="M3527" i="31" s="1"/>
  <c r="BA807" i="31"/>
  <c r="AP807" i="31"/>
  <c r="H807" i="31"/>
  <c r="AP928" i="31"/>
  <c r="H928" i="31"/>
  <c r="BA928" i="31"/>
  <c r="AP3385" i="31"/>
  <c r="H3385" i="31"/>
  <c r="BA3385" i="31"/>
  <c r="H652" i="31"/>
  <c r="AP652" i="31"/>
  <c r="BA652" i="31"/>
  <c r="BA662" i="31"/>
  <c r="H662" i="31"/>
  <c r="AP662" i="31"/>
  <c r="BA1535" i="31"/>
  <c r="H1535" i="31"/>
  <c r="AP1535" i="31"/>
  <c r="AP1668" i="31"/>
  <c r="BA1668" i="31"/>
  <c r="H1668" i="31"/>
  <c r="H3359" i="31"/>
  <c r="BA3359" i="31"/>
  <c r="AP3359" i="31"/>
  <c r="H1943" i="31"/>
  <c r="BA1943" i="31"/>
  <c r="AP1943" i="31"/>
  <c r="BA2427" i="31"/>
  <c r="AP2427" i="31"/>
  <c r="H2427" i="31"/>
  <c r="BA1166" i="31"/>
  <c r="AP1166" i="31"/>
  <c r="H1166" i="31"/>
  <c r="AP2276" i="31"/>
  <c r="BA2276" i="31"/>
  <c r="H2276" i="31"/>
  <c r="AP2518" i="31"/>
  <c r="H2518" i="31"/>
  <c r="BA2518" i="31"/>
  <c r="H1096" i="31"/>
  <c r="AP1096" i="31"/>
  <c r="BA1096" i="31"/>
  <c r="H949" i="31"/>
  <c r="BA949" i="31"/>
  <c r="AP949" i="31"/>
  <c r="BA2845" i="31"/>
  <c r="AP2845" i="31"/>
  <c r="H2845" i="31"/>
  <c r="AP999" i="31"/>
  <c r="BA999" i="31"/>
  <c r="H999" i="31"/>
  <c r="BA206" i="31"/>
  <c r="AP206" i="31"/>
  <c r="H206" i="31"/>
  <c r="BA503" i="31"/>
  <c r="H503" i="31"/>
  <c r="AP503" i="31"/>
  <c r="BA3031" i="31"/>
  <c r="H3031" i="31"/>
  <c r="AP3031" i="31"/>
  <c r="H2246" i="31"/>
  <c r="BA2246" i="31"/>
  <c r="AP2246" i="31"/>
  <c r="H444" i="31"/>
  <c r="AP444" i="31"/>
  <c r="BA444" i="31"/>
  <c r="BA1791" i="31"/>
  <c r="H1791" i="31"/>
  <c r="AP1791" i="31"/>
  <c r="BA2422" i="31"/>
  <c r="AP2422" i="31"/>
  <c r="H2422" i="31"/>
  <c r="H3061" i="31"/>
  <c r="AP3061" i="31"/>
  <c r="BA3061" i="31"/>
  <c r="H2801" i="31"/>
  <c r="BA2801" i="31"/>
  <c r="AP2801" i="31"/>
  <c r="AP1666" i="31"/>
  <c r="H1666" i="31"/>
  <c r="BA1666" i="31"/>
  <c r="AP205" i="31"/>
  <c r="H205" i="31"/>
  <c r="BA205" i="31"/>
  <c r="H1515" i="31"/>
  <c r="AP1515" i="31"/>
  <c r="BA1515" i="31"/>
  <c r="BA691" i="31"/>
  <c r="AP691" i="31"/>
  <c r="H691" i="31"/>
  <c r="H1624" i="31"/>
  <c r="BA1624" i="31"/>
  <c r="AP1624" i="31"/>
  <c r="BA1865" i="31"/>
  <c r="H1865" i="31"/>
  <c r="AP1865" i="31"/>
  <c r="H1700" i="31"/>
  <c r="AP1700" i="31"/>
  <c r="BA1700" i="31"/>
  <c r="AP2317" i="31"/>
  <c r="BA2317" i="31"/>
  <c r="H2317" i="31"/>
  <c r="H3154" i="31"/>
  <c r="BA3154" i="31"/>
  <c r="AP3154" i="31"/>
  <c r="BA2839" i="31"/>
  <c r="H2839" i="31"/>
  <c r="AP2839" i="31"/>
  <c r="H2263" i="31"/>
  <c r="AP2263" i="31"/>
  <c r="BA2263" i="31"/>
  <c r="BA2942" i="31"/>
  <c r="AP2942" i="31"/>
  <c r="H2942" i="31"/>
  <c r="H2558" i="31"/>
  <c r="AP2558" i="31"/>
  <c r="BA2558" i="31"/>
  <c r="BA582" i="31"/>
  <c r="AP582" i="31"/>
  <c r="H582" i="31"/>
  <c r="H1840" i="31"/>
  <c r="AP1840" i="31"/>
  <c r="BA1840" i="31"/>
  <c r="AP1603" i="31"/>
  <c r="H1603" i="31"/>
  <c r="BA1603" i="31"/>
  <c r="AP1012" i="31"/>
  <c r="H1012" i="31"/>
  <c r="BA1012" i="31"/>
  <c r="H1710" i="31"/>
  <c r="AP1710" i="31"/>
  <c r="BA1710" i="31"/>
  <c r="BA1770" i="31"/>
  <c r="H1770" i="31"/>
  <c r="AP1770" i="31"/>
  <c r="H1829" i="31"/>
  <c r="AP1829" i="31"/>
  <c r="BA1829" i="31"/>
  <c r="H3052" i="31"/>
  <c r="BA3052" i="31"/>
  <c r="AP3052" i="31"/>
  <c r="BA1862" i="31"/>
  <c r="H1862" i="31"/>
  <c r="AP1862" i="31"/>
  <c r="H225" i="31"/>
  <c r="AP225" i="31"/>
  <c r="BA225" i="31"/>
  <c r="H1064" i="31"/>
  <c r="AP1064" i="31"/>
  <c r="BA1064" i="31"/>
  <c r="H3195" i="31"/>
  <c r="AP3195" i="31"/>
  <c r="BA3195" i="31"/>
  <c r="BA3163" i="31"/>
  <c r="H3163" i="31"/>
  <c r="AP3163" i="31"/>
  <c r="BA661" i="31"/>
  <c r="AP661" i="31"/>
  <c r="H661" i="31"/>
  <c r="BA3235" i="31"/>
  <c r="AP3235" i="31"/>
  <c r="H3235" i="31"/>
  <c r="BA2647" i="31"/>
  <c r="H2647" i="31"/>
  <c r="AP2647" i="31"/>
  <c r="BA2168" i="31"/>
  <c r="H2168" i="31"/>
  <c r="AP2168" i="31"/>
  <c r="BA2865" i="31"/>
  <c r="H2865" i="31"/>
  <c r="AP2865" i="31"/>
  <c r="BA76" i="31"/>
  <c r="H76" i="31"/>
  <c r="AP76" i="31"/>
  <c r="AP1652" i="31"/>
  <c r="H1652" i="31"/>
  <c r="BA1652" i="31"/>
  <c r="H2915" i="31"/>
  <c r="AP2915" i="31"/>
  <c r="BA2915" i="31"/>
  <c r="BA423" i="31"/>
  <c r="AP423" i="31"/>
  <c r="H423" i="31"/>
  <c r="H556" i="31"/>
  <c r="AP556" i="31"/>
  <c r="BA556" i="31"/>
  <c r="AP2226" i="31"/>
  <c r="BA2226" i="31"/>
  <c r="H2226" i="31"/>
  <c r="AP3117" i="31"/>
  <c r="BA3117" i="31"/>
  <c r="H3117" i="31"/>
  <c r="AP2474" i="31"/>
  <c r="H2474" i="31"/>
  <c r="BA2474" i="31"/>
  <c r="AP3500" i="31"/>
  <c r="H3500" i="31"/>
  <c r="BA3500" i="31"/>
  <c r="H2374" i="31"/>
  <c r="BA2374" i="31"/>
  <c r="AP2374" i="31"/>
  <c r="H3225" i="31"/>
  <c r="AP3225" i="31"/>
  <c r="BA3225" i="31"/>
  <c r="H785" i="31"/>
  <c r="AP785" i="31"/>
  <c r="BA785" i="31"/>
  <c r="BA2872" i="31"/>
  <c r="H2872" i="31"/>
  <c r="AP2872" i="31"/>
  <c r="H1184" i="31"/>
  <c r="BA1184" i="31"/>
  <c r="AP1184" i="31"/>
  <c r="AP744" i="31"/>
  <c r="BA744" i="31"/>
  <c r="H744" i="31"/>
  <c r="AP1746" i="31"/>
  <c r="H1746" i="31"/>
  <c r="BA1746" i="31"/>
  <c r="AP1848" i="31"/>
  <c r="BA1848" i="31"/>
  <c r="H1848" i="31"/>
  <c r="AP3141" i="31"/>
  <c r="H3141" i="31"/>
  <c r="BA3141" i="31"/>
  <c r="BA1511" i="31"/>
  <c r="AP1511" i="31"/>
  <c r="H1511" i="31"/>
  <c r="AP2176" i="31"/>
  <c r="BA2176" i="31"/>
  <c r="H2176" i="31"/>
  <c r="BA651" i="31"/>
  <c r="H651" i="31"/>
  <c r="AP651" i="31"/>
  <c r="BA3398" i="31"/>
  <c r="AP3398" i="31"/>
  <c r="H3398" i="31"/>
  <c r="AP1544" i="31"/>
  <c r="H1544" i="31"/>
  <c r="BA1544" i="31"/>
  <c r="BA2019" i="31"/>
  <c r="H2019" i="31"/>
  <c r="AP2019" i="31"/>
  <c r="H1405" i="31"/>
  <c r="BA1405" i="31"/>
  <c r="AP1405" i="31"/>
  <c r="BA3317" i="31"/>
  <c r="H3317" i="31"/>
  <c r="AP3317" i="31"/>
  <c r="AP1938" i="31"/>
  <c r="BA1938" i="31"/>
  <c r="H1938" i="31"/>
  <c r="AP90" i="31"/>
  <c r="H90" i="31"/>
  <c r="BA90" i="31"/>
  <c r="AP349" i="31"/>
  <c r="H349" i="31"/>
  <c r="BA349" i="31"/>
  <c r="AP1263" i="31"/>
  <c r="BA1263" i="31"/>
  <c r="H1263" i="31"/>
  <c r="H476" i="31"/>
  <c r="AP476" i="31"/>
  <c r="BA476" i="31"/>
  <c r="AP484" i="31"/>
  <c r="BA484" i="31"/>
  <c r="H484" i="31"/>
  <c r="BA452" i="31"/>
  <c r="AP452" i="31"/>
  <c r="H452" i="31"/>
  <c r="AP2728" i="31"/>
  <c r="BA2728" i="31"/>
  <c r="H2728" i="31"/>
  <c r="AP2940" i="31"/>
  <c r="H2940" i="31"/>
  <c r="BA2940" i="31"/>
  <c r="BA176" i="31"/>
  <c r="AP176" i="31"/>
  <c r="H176" i="31"/>
  <c r="H1715" i="31"/>
  <c r="AP1715" i="31"/>
  <c r="BA1715" i="31"/>
  <c r="AP160" i="31"/>
  <c r="H160" i="31"/>
  <c r="BA160" i="31"/>
  <c r="H2180" i="31"/>
  <c r="BA2180" i="31"/>
  <c r="AP2180" i="31"/>
  <c r="H3001" i="31"/>
  <c r="AP3001" i="31"/>
  <c r="BA3001" i="31"/>
  <c r="H1974" i="31"/>
  <c r="AP1974" i="31"/>
  <c r="BA1974" i="31"/>
  <c r="H272" i="31"/>
  <c r="AP272" i="31"/>
  <c r="BA272" i="31"/>
  <c r="H686" i="31"/>
  <c r="BA686" i="31"/>
  <c r="AP686" i="31"/>
  <c r="H174" i="31"/>
  <c r="AP174" i="31"/>
  <c r="BA174" i="31"/>
  <c r="BA940" i="31"/>
  <c r="H940" i="31"/>
  <c r="AP940" i="31"/>
  <c r="BA851" i="31"/>
  <c r="AP851" i="31"/>
  <c r="H851" i="31"/>
  <c r="BA2400" i="31"/>
  <c r="AP2400" i="31"/>
  <c r="H2400" i="31"/>
  <c r="BA2821" i="31"/>
  <c r="H2821" i="31"/>
  <c r="AP2821" i="31"/>
  <c r="H3223" i="31"/>
  <c r="AP3223" i="31"/>
  <c r="BA3223" i="31"/>
  <c r="H1673" i="31"/>
  <c r="BA1673" i="31"/>
  <c r="AP1673" i="31"/>
  <c r="BA469" i="31"/>
  <c r="AP469" i="31"/>
  <c r="H469" i="31"/>
  <c r="H82" i="31"/>
  <c r="AP82" i="31"/>
  <c r="BA82" i="31"/>
  <c r="AP705" i="31"/>
  <c r="BA705" i="31"/>
  <c r="H705" i="31"/>
  <c r="H1867" i="31"/>
  <c r="AP1867" i="31"/>
  <c r="BA1867" i="31"/>
  <c r="H195" i="31"/>
  <c r="BA195" i="31"/>
  <c r="AP195" i="31"/>
  <c r="BA743" i="31"/>
  <c r="AP743" i="31"/>
  <c r="H743" i="31"/>
  <c r="BA644" i="31"/>
  <c r="AP644" i="31"/>
  <c r="H644" i="31"/>
  <c r="H314" i="31"/>
  <c r="AP314" i="31"/>
  <c r="BA314" i="31"/>
  <c r="AP470" i="31"/>
  <c r="H470" i="31"/>
  <c r="BA470" i="31"/>
  <c r="H660" i="31"/>
  <c r="AP660" i="31"/>
  <c r="BA660" i="31"/>
  <c r="AP2336" i="31"/>
  <c r="BA2336" i="31"/>
  <c r="H2336" i="31"/>
  <c r="AP1119" i="31"/>
  <c r="H1119" i="31"/>
  <c r="BA1119" i="31"/>
  <c r="BA3508" i="31"/>
  <c r="AP3508" i="31"/>
  <c r="H3508" i="31"/>
  <c r="H1628" i="31"/>
  <c r="AP1628" i="31"/>
  <c r="BA1628" i="31"/>
  <c r="H66" i="31"/>
  <c r="BA66" i="31"/>
  <c r="AP66" i="31"/>
  <c r="AP1895" i="31"/>
  <c r="H1895" i="31"/>
  <c r="BA1895" i="31"/>
  <c r="BA1351" i="31"/>
  <c r="H1351" i="31"/>
  <c r="AP1351" i="31"/>
  <c r="H3491" i="31"/>
  <c r="BA3491" i="31"/>
  <c r="AP3491" i="31"/>
  <c r="H2987" i="31"/>
  <c r="AP2987" i="31"/>
  <c r="BA2987" i="31"/>
  <c r="AP2439" i="31"/>
  <c r="BA2439" i="31"/>
  <c r="H2439" i="31"/>
  <c r="H2495" i="31"/>
  <c r="BA2495" i="31"/>
  <c r="AP2495" i="31"/>
  <c r="BA167" i="31"/>
  <c r="AP167" i="31"/>
  <c r="H167" i="31"/>
  <c r="H3474" i="31"/>
  <c r="BA3474" i="31"/>
  <c r="AP3474" i="31"/>
  <c r="AP1231" i="31"/>
  <c r="BA1231" i="31"/>
  <c r="H1231" i="31"/>
  <c r="H1315" i="31"/>
  <c r="AP1315" i="31"/>
  <c r="BA1315" i="31"/>
  <c r="H2131" i="31"/>
  <c r="BA2131" i="31"/>
  <c r="AP2131" i="31"/>
  <c r="AP91" i="31"/>
  <c r="H91" i="31"/>
  <c r="BA91" i="31"/>
  <c r="H3457" i="31"/>
  <c r="BA3457" i="31"/>
  <c r="AP3457" i="31"/>
  <c r="AP3045" i="31"/>
  <c r="BA3045" i="31"/>
  <c r="H3045" i="31"/>
  <c r="BA1115" i="31"/>
  <c r="AP1115" i="31"/>
  <c r="H1115" i="31"/>
  <c r="AP2757" i="31"/>
  <c r="BA2757" i="31"/>
  <c r="H2757" i="31"/>
  <c r="BA649" i="31"/>
  <c r="AP649" i="31"/>
  <c r="H649" i="31"/>
  <c r="H51" i="31"/>
  <c r="BA51" i="31"/>
  <c r="AP51" i="31"/>
  <c r="H533" i="31"/>
  <c r="BA533" i="31"/>
  <c r="AP533" i="31"/>
  <c r="H3404" i="31"/>
  <c r="BA3404" i="31"/>
  <c r="AP3404" i="31"/>
  <c r="AP1422" i="31"/>
  <c r="H1422" i="31"/>
  <c r="BA1422" i="31"/>
  <c r="H487" i="31"/>
  <c r="BA487" i="31"/>
  <c r="AP487" i="31"/>
  <c r="BA1928" i="31"/>
  <c r="H1928" i="31"/>
  <c r="AP1928" i="31"/>
  <c r="H1772" i="31"/>
  <c r="AP1772" i="31"/>
  <c r="BA1772" i="31"/>
  <c r="BA3027" i="31"/>
  <c r="H3027" i="31"/>
  <c r="AP3027" i="31"/>
  <c r="BA373" i="31"/>
  <c r="H373" i="31"/>
  <c r="AP373" i="31"/>
  <c r="AP2081" i="31"/>
  <c r="BA2081" i="31"/>
  <c r="H2081" i="31"/>
  <c r="BA1274" i="31"/>
  <c r="H1274" i="31"/>
  <c r="AP1274" i="31"/>
  <c r="H2413" i="31"/>
  <c r="BA2413" i="31"/>
  <c r="AP2413" i="31"/>
  <c r="H2549" i="31"/>
  <c r="BA2549" i="31"/>
  <c r="AP2549" i="31"/>
  <c r="H2575" i="31"/>
  <c r="AP2575" i="31"/>
  <c r="BA2575" i="31"/>
  <c r="BA1500" i="31"/>
  <c r="H1500" i="31"/>
  <c r="AP1500" i="31"/>
  <c r="CI19" i="10"/>
  <c r="CJ19" i="10"/>
  <c r="CB19" i="10"/>
  <c r="BZ19" i="10"/>
  <c r="BW19" i="10"/>
  <c r="CH12" i="10"/>
  <c r="AP3190" i="31"/>
  <c r="BA3190" i="31"/>
  <c r="H3190" i="31"/>
  <c r="BA848" i="31"/>
  <c r="AP848" i="31"/>
  <c r="H848" i="31"/>
  <c r="AP2357" i="31"/>
  <c r="H2357" i="31"/>
  <c r="BA2357" i="31"/>
  <c r="BA1235" i="31"/>
  <c r="H1235" i="31"/>
  <c r="AP1235" i="31"/>
  <c r="AP73" i="31"/>
  <c r="H73" i="31"/>
  <c r="BA73" i="31"/>
  <c r="H2714" i="31"/>
  <c r="AP2714" i="31"/>
  <c r="BA2714" i="31"/>
  <c r="BA3187" i="31"/>
  <c r="AP3187" i="31"/>
  <c r="H3187" i="31"/>
  <c r="AP2504" i="31"/>
  <c r="BA2504" i="31"/>
  <c r="H2504" i="31"/>
  <c r="AP508" i="31"/>
  <c r="BA508" i="31"/>
  <c r="H508" i="31"/>
  <c r="AP986" i="31"/>
  <c r="H986" i="31"/>
  <c r="BA986" i="31"/>
  <c r="BA384" i="31"/>
  <c r="H384" i="31"/>
  <c r="AP384" i="31"/>
  <c r="BA1158" i="31"/>
  <c r="H1158" i="31"/>
  <c r="AP1158" i="31"/>
  <c r="H3182" i="31"/>
  <c r="BA3182" i="31"/>
  <c r="AP3182" i="31"/>
  <c r="AP741" i="31"/>
  <c r="H741" i="31"/>
  <c r="BA741" i="31"/>
  <c r="H2625" i="31"/>
  <c r="AP2625" i="31"/>
  <c r="BA2625" i="31"/>
  <c r="H56" i="31"/>
  <c r="AP56" i="31"/>
  <c r="BA56" i="31"/>
  <c r="BA3445" i="31"/>
  <c r="AP3445" i="31"/>
  <c r="H3445" i="31"/>
  <c r="BA866" i="31"/>
  <c r="AP866" i="31"/>
  <c r="H866" i="31"/>
  <c r="H396" i="31"/>
  <c r="BA396" i="31"/>
  <c r="AP396" i="31"/>
  <c r="BA863" i="31"/>
  <c r="H863" i="31"/>
  <c r="AP863" i="31"/>
  <c r="AP770" i="31"/>
  <c r="BA770" i="31"/>
  <c r="H770" i="31"/>
  <c r="H149" i="31"/>
  <c r="AP149" i="31"/>
  <c r="BA149" i="31"/>
  <c r="H2072" i="31"/>
  <c r="BA2072" i="31"/>
  <c r="AP2072" i="31"/>
  <c r="BA1449" i="31"/>
  <c r="AP1449" i="31"/>
  <c r="H1449" i="31"/>
  <c r="BA1437" i="31"/>
  <c r="AP1437" i="31"/>
  <c r="H1437" i="31"/>
  <c r="H3203" i="31"/>
  <c r="AP3203" i="31"/>
  <c r="BA3203" i="31"/>
  <c r="BA37" i="31"/>
  <c r="AP37" i="31"/>
  <c r="H37" i="31"/>
  <c r="BA728" i="31"/>
  <c r="H728" i="31"/>
  <c r="AP728" i="31"/>
  <c r="H2350" i="31"/>
  <c r="BA2350" i="31"/>
  <c r="AP2350" i="31"/>
  <c r="H1634" i="31"/>
  <c r="BA1634" i="31"/>
  <c r="AP1634" i="31"/>
  <c r="AP3243" i="31"/>
  <c r="BA3243" i="31"/>
  <c r="H3243" i="31"/>
  <c r="AP1223" i="31"/>
  <c r="H1223" i="31"/>
  <c r="BA1223" i="31"/>
  <c r="AP2721" i="31"/>
  <c r="H2721" i="31"/>
  <c r="BA2721" i="31"/>
  <c r="BA3360" i="31"/>
  <c r="AP3360" i="31"/>
  <c r="H3360" i="31"/>
  <c r="AP1423" i="31"/>
  <c r="BA1423" i="31"/>
  <c r="H1423" i="31"/>
  <c r="H1565" i="31"/>
  <c r="BA1565" i="31"/>
  <c r="AP1565" i="31"/>
  <c r="BA2106" i="31"/>
  <c r="AP2106" i="31"/>
  <c r="H2106" i="31"/>
  <c r="AP3440" i="31"/>
  <c r="H3440" i="31"/>
  <c r="BA3440" i="31"/>
  <c r="AP2320" i="31"/>
  <c r="BA2320" i="31"/>
  <c r="H2320" i="31"/>
  <c r="H847" i="31"/>
  <c r="BA847" i="31"/>
  <c r="AP847" i="31"/>
  <c r="H2231" i="31"/>
  <c r="BA2231" i="31"/>
  <c r="AP2231" i="31"/>
  <c r="H2002" i="31"/>
  <c r="BA2002" i="31"/>
  <c r="AP2002" i="31"/>
  <c r="BA2490" i="31"/>
  <c r="AP2490" i="31"/>
  <c r="H2490" i="31"/>
  <c r="H1221" i="31"/>
  <c r="BA1221" i="31"/>
  <c r="AP1221" i="31"/>
  <c r="AP850" i="31"/>
  <c r="BA850" i="31"/>
  <c r="H850" i="31"/>
  <c r="H2597" i="31"/>
  <c r="AP2597" i="31"/>
  <c r="BA2597" i="31"/>
  <c r="AP253" i="31"/>
  <c r="BA253" i="31"/>
  <c r="H253" i="31"/>
  <c r="H1384" i="31"/>
  <c r="BA1384" i="31"/>
  <c r="AP1384" i="31"/>
  <c r="AP823" i="31"/>
  <c r="H823" i="31"/>
  <c r="BA823" i="31"/>
  <c r="AP1355" i="31"/>
  <c r="H1355" i="31"/>
  <c r="BA1355" i="31"/>
  <c r="AP3415" i="31"/>
  <c r="H3415" i="31"/>
  <c r="BA3415" i="31"/>
  <c r="BA622" i="31"/>
  <c r="AP622" i="31"/>
  <c r="H622" i="31"/>
  <c r="AP707" i="31"/>
  <c r="H707" i="31"/>
  <c r="BA707" i="31"/>
  <c r="BA1782" i="31"/>
  <c r="AP1782" i="31"/>
  <c r="H1782" i="31"/>
  <c r="H3436" i="31"/>
  <c r="BA3436" i="31"/>
  <c r="AP3436" i="31"/>
  <c r="BA1225" i="31"/>
  <c r="H1225" i="31"/>
  <c r="AP1225" i="31"/>
  <c r="BA2064" i="31"/>
  <c r="H2064" i="31"/>
  <c r="AP2064" i="31"/>
  <c r="AP1018" i="31"/>
  <c r="H1018" i="31"/>
  <c r="BA1018" i="31"/>
  <c r="H1517" i="31"/>
  <c r="AP1517" i="31"/>
  <c r="BA1517" i="31"/>
  <c r="H555" i="31"/>
  <c r="BA555" i="31"/>
  <c r="AP555" i="31"/>
  <c r="BA2738" i="31"/>
  <c r="H2738" i="31"/>
  <c r="AP2738" i="31"/>
  <c r="H1493" i="31"/>
  <c r="BA1493" i="31"/>
  <c r="AP1493" i="31"/>
  <c r="AP1839" i="31"/>
  <c r="H1839" i="31"/>
  <c r="BA1839" i="31"/>
  <c r="H2099" i="31"/>
  <c r="BA2099" i="31"/>
  <c r="AP2099" i="31"/>
  <c r="H1391" i="31"/>
  <c r="AP1391" i="31"/>
  <c r="BA1391" i="31"/>
  <c r="AP2178" i="31"/>
  <c r="BA2178" i="31"/>
  <c r="H2178" i="31"/>
  <c r="AP1079" i="31"/>
  <c r="H1079" i="31"/>
  <c r="BA1079" i="31"/>
  <c r="H3122" i="31"/>
  <c r="AP3122" i="31"/>
  <c r="BA3122" i="31"/>
  <c r="BA1520" i="31"/>
  <c r="AP1520" i="31"/>
  <c r="H1520" i="31"/>
  <c r="H944" i="31"/>
  <c r="AP944" i="31"/>
  <c r="BA944" i="31"/>
  <c r="H1037" i="31"/>
  <c r="BA1037" i="31"/>
  <c r="AP1037" i="31"/>
  <c r="H1507" i="31"/>
  <c r="AP1507" i="31"/>
  <c r="BA1507" i="31"/>
  <c r="BA1703" i="31"/>
  <c r="H1703" i="31"/>
  <c r="AP1703" i="31"/>
  <c r="BA618" i="31"/>
  <c r="AP618" i="31"/>
  <c r="H618" i="31"/>
  <c r="AP967" i="31"/>
  <c r="BA967" i="31"/>
  <c r="H967" i="31"/>
  <c r="BA2395" i="31"/>
  <c r="H2395" i="31"/>
  <c r="AP2395" i="31"/>
  <c r="BA2435" i="31"/>
  <c r="H2435" i="31"/>
  <c r="AP2435" i="31"/>
  <c r="BA1476" i="31"/>
  <c r="AP1476" i="31"/>
  <c r="H1476" i="31"/>
  <c r="H973" i="31"/>
  <c r="BA973" i="31"/>
  <c r="AP973" i="31"/>
  <c r="AP776" i="31"/>
  <c r="BA776" i="31"/>
  <c r="H776" i="31"/>
  <c r="AP924" i="31"/>
  <c r="BA924" i="31"/>
  <c r="H924" i="31"/>
  <c r="H2114" i="31"/>
  <c r="BA2114" i="31"/>
  <c r="AP2114" i="31"/>
  <c r="AP2216" i="31"/>
  <c r="H2216" i="31"/>
  <c r="BA2216" i="31"/>
  <c r="AP168" i="31"/>
  <c r="H168" i="31"/>
  <c r="BA168" i="31"/>
  <c r="BA125" i="31"/>
  <c r="AP125" i="31"/>
  <c r="H125" i="31"/>
  <c r="BA1547" i="31"/>
  <c r="H1547" i="31"/>
  <c r="AP1547" i="31"/>
  <c r="AP1426" i="31"/>
  <c r="BA1426" i="31"/>
  <c r="H1426" i="31"/>
  <c r="BA2951" i="31"/>
  <c r="AP2951" i="31"/>
  <c r="H2951" i="31"/>
  <c r="H2300" i="31"/>
  <c r="BA2300" i="31"/>
  <c r="AP2300" i="31"/>
  <c r="AP3178" i="31"/>
  <c r="H3178" i="31"/>
  <c r="BA3178" i="31"/>
  <c r="BA1377" i="31"/>
  <c r="H1377" i="31"/>
  <c r="AP1377" i="31"/>
  <c r="H1045" i="31"/>
  <c r="BA1045" i="31"/>
  <c r="AP1045" i="31"/>
  <c r="H58" i="31"/>
  <c r="BA58" i="31"/>
  <c r="AP58" i="31"/>
  <c r="H3263" i="31"/>
  <c r="AP3263" i="31"/>
  <c r="BA3263" i="31"/>
  <c r="H103" i="31"/>
  <c r="AP103" i="31"/>
  <c r="BA103" i="31"/>
  <c r="BA3073" i="31"/>
  <c r="H3073" i="31"/>
  <c r="AP3073" i="31"/>
  <c r="BA1271" i="31"/>
  <c r="H1271" i="31"/>
  <c r="AP1271" i="31"/>
  <c r="H204" i="31"/>
  <c r="AP204" i="31"/>
  <c r="BA204" i="31"/>
  <c r="AP2505" i="31"/>
  <c r="H2505" i="31"/>
  <c r="BA2505" i="31"/>
  <c r="H3081" i="31"/>
  <c r="BA3081" i="31"/>
  <c r="AP3081" i="31"/>
  <c r="H2934" i="31"/>
  <c r="AP2934" i="31"/>
  <c r="BA2934" i="31"/>
  <c r="H1281" i="31"/>
  <c r="AP1281" i="31"/>
  <c r="BA1281" i="31"/>
  <c r="AP1964" i="31"/>
  <c r="BA1964" i="31"/>
  <c r="H1964" i="31"/>
  <c r="BA1578" i="31"/>
  <c r="AP1578" i="31"/>
  <c r="H1578" i="31"/>
  <c r="BA1255" i="31"/>
  <c r="H1255" i="31"/>
  <c r="AP1255" i="31"/>
  <c r="AP430" i="31"/>
  <c r="BA430" i="31"/>
  <c r="H430" i="31"/>
  <c r="AP42" i="31"/>
  <c r="BA42" i="31"/>
  <c r="H42" i="31"/>
  <c r="H2241" i="31"/>
  <c r="AP2241" i="31"/>
  <c r="BA2241" i="31"/>
  <c r="H699" i="31"/>
  <c r="AP699" i="31"/>
  <c r="BA699" i="31"/>
  <c r="AP3320" i="31"/>
  <c r="BA3320" i="31"/>
  <c r="H3320" i="31"/>
  <c r="AP2445" i="31"/>
  <c r="H2445" i="31"/>
  <c r="BA2445" i="31"/>
  <c r="H2303" i="31"/>
  <c r="BA2303" i="31"/>
  <c r="AP2303" i="31"/>
  <c r="AP1346" i="31"/>
  <c r="H1346" i="31"/>
  <c r="BA1346" i="31"/>
  <c r="BA2420" i="31"/>
  <c r="AP2420" i="31"/>
  <c r="H2420" i="31"/>
  <c r="H2605" i="31"/>
  <c r="AP2605" i="31"/>
  <c r="BA2605" i="31"/>
  <c r="H2784" i="31"/>
  <c r="AP2784" i="31"/>
  <c r="BA2784" i="31"/>
  <c r="H871" i="31"/>
  <c r="BA871" i="31"/>
  <c r="AP871" i="31"/>
  <c r="BA2249" i="31"/>
  <c r="AP2249" i="31"/>
  <c r="H2249" i="31"/>
  <c r="BA2137" i="31"/>
  <c r="H2137" i="31"/>
  <c r="AP2137" i="31"/>
  <c r="BA2100" i="31"/>
  <c r="H2100" i="31"/>
  <c r="AP2100" i="31"/>
  <c r="BA1019" i="31"/>
  <c r="H1019" i="31"/>
  <c r="AP1019" i="31"/>
  <c r="H364" i="31"/>
  <c r="AP364" i="31"/>
  <c r="BA364" i="31"/>
  <c r="H1875" i="31"/>
  <c r="AP1875" i="31"/>
  <c r="BA1875" i="31"/>
  <c r="H953" i="31"/>
  <c r="AP953" i="31"/>
  <c r="BA953" i="31"/>
  <c r="BA1888" i="31"/>
  <c r="H1888" i="31"/>
  <c r="AP1888" i="31"/>
  <c r="AP2348" i="31"/>
  <c r="BA2348" i="31"/>
  <c r="H2348" i="31"/>
  <c r="BA290" i="31"/>
  <c r="AP290" i="31"/>
  <c r="H290" i="31"/>
  <c r="H2580" i="31"/>
  <c r="AP2580" i="31"/>
  <c r="BA2580" i="31"/>
  <c r="BA2627" i="31"/>
  <c r="H2627" i="31"/>
  <c r="AP2627" i="31"/>
  <c r="BA2094" i="31"/>
  <c r="AP2094" i="31"/>
  <c r="H2094" i="31"/>
  <c r="BA1323" i="31"/>
  <c r="H1323" i="31"/>
  <c r="AP1323" i="31"/>
  <c r="H1900" i="31"/>
  <c r="AP1900" i="31"/>
  <c r="BA1900" i="31"/>
  <c r="BA681" i="31"/>
  <c r="AP681" i="31"/>
  <c r="H681" i="31"/>
  <c r="AP2746" i="31"/>
  <c r="H2746" i="31"/>
  <c r="BA2746" i="31"/>
  <c r="H336" i="31"/>
  <c r="BA336" i="31"/>
  <c r="AP336" i="31"/>
  <c r="BA1210" i="31"/>
  <c r="AP1210" i="31"/>
  <c r="H1210" i="31"/>
  <c r="H2507" i="31"/>
  <c r="AP2507" i="31"/>
  <c r="BA2507" i="31"/>
  <c r="H1505" i="31"/>
  <c r="AP1505" i="31"/>
  <c r="BA1505" i="31"/>
  <c r="BA235" i="31"/>
  <c r="AP235" i="31"/>
  <c r="H235" i="31"/>
  <c r="BA1712" i="31"/>
  <c r="H1712" i="31"/>
  <c r="AP1712" i="31"/>
  <c r="AP171" i="31"/>
  <c r="H171" i="31"/>
  <c r="BA171" i="31"/>
  <c r="AP1929" i="31"/>
  <c r="H1929" i="31"/>
  <c r="BA1929" i="31"/>
  <c r="AP1555" i="31"/>
  <c r="H1555" i="31"/>
  <c r="BA1555" i="31"/>
  <c r="AP2005" i="31"/>
  <c r="BA2005" i="31"/>
  <c r="H2005" i="31"/>
  <c r="BA3199" i="31"/>
  <c r="H3199" i="31"/>
  <c r="AP3199" i="31"/>
  <c r="H2323" i="31"/>
  <c r="AP2323" i="31"/>
  <c r="BA2323" i="31"/>
  <c r="AP1795" i="31"/>
  <c r="BA1795" i="31"/>
  <c r="H1795" i="31"/>
  <c r="BA640" i="31"/>
  <c r="H640" i="31"/>
  <c r="AP640" i="31"/>
  <c r="AP2432" i="31"/>
  <c r="BA2432" i="31"/>
  <c r="H2432" i="31"/>
  <c r="BA2790" i="31"/>
  <c r="AP2790" i="31"/>
  <c r="H2790" i="31"/>
  <c r="AP3258" i="31"/>
  <c r="BA3258" i="31"/>
  <c r="H3258" i="31"/>
  <c r="BA607" i="31"/>
  <c r="H607" i="31"/>
  <c r="AP607" i="31"/>
  <c r="H1455" i="31"/>
  <c r="AP1455" i="31"/>
  <c r="BA1455" i="31"/>
  <c r="H150" i="31"/>
  <c r="AP150" i="31"/>
  <c r="BA150" i="31"/>
  <c r="BA2159" i="31"/>
  <c r="AP2159" i="31"/>
  <c r="H2159" i="31"/>
  <c r="AP2426" i="31"/>
  <c r="H2426" i="31"/>
  <c r="BA2426" i="31"/>
  <c r="BA2381" i="31"/>
  <c r="AP2381" i="31"/>
  <c r="H2381" i="31"/>
  <c r="AP2592" i="31"/>
  <c r="H2592" i="31"/>
  <c r="BA2592" i="31"/>
  <c r="H2878" i="31"/>
  <c r="BA2878" i="31"/>
  <c r="AP2878" i="31"/>
  <c r="AP997" i="31"/>
  <c r="H997" i="31"/>
  <c r="BA997" i="31"/>
  <c r="H300" i="31"/>
  <c r="AP300" i="31"/>
  <c r="BA300" i="31"/>
  <c r="AP1229" i="31"/>
  <c r="BA1229" i="31"/>
  <c r="H1229" i="31"/>
  <c r="AP846" i="31"/>
  <c r="BA846" i="31"/>
  <c r="H846" i="31"/>
  <c r="AP672" i="31"/>
  <c r="H672" i="31"/>
  <c r="BA672" i="31"/>
  <c r="BA593" i="31"/>
  <c r="AP593" i="31"/>
  <c r="H593" i="31"/>
  <c r="BA2931" i="31"/>
  <c r="AP2931" i="31"/>
  <c r="H2931" i="31"/>
  <c r="AP2837" i="31"/>
  <c r="BA2837" i="31"/>
  <c r="H2837" i="31"/>
  <c r="AP207" i="31"/>
  <c r="BA207" i="31"/>
  <c r="H207" i="31"/>
  <c r="BA2658" i="31"/>
  <c r="H2658" i="31"/>
  <c r="AP2658" i="31"/>
  <c r="BA1057" i="31"/>
  <c r="H1057" i="31"/>
  <c r="AP1057" i="31"/>
  <c r="BA3316" i="31"/>
  <c r="H3316" i="31"/>
  <c r="AP3316" i="31"/>
  <c r="H1534" i="31"/>
  <c r="BA1534" i="31"/>
  <c r="AP1534" i="31"/>
  <c r="BA1940" i="31"/>
  <c r="H1940" i="31"/>
  <c r="AP1940" i="31"/>
  <c r="H1067" i="31"/>
  <c r="BA1067" i="31"/>
  <c r="AP1067" i="31"/>
  <c r="BA2225" i="31"/>
  <c r="AP2225" i="31"/>
  <c r="H2225" i="31"/>
  <c r="BA1104" i="31"/>
  <c r="H1104" i="31"/>
  <c r="AP1104" i="31"/>
  <c r="BA2067" i="31"/>
  <c r="H2067" i="31"/>
  <c r="AP2067" i="31"/>
  <c r="H1086" i="31"/>
  <c r="BA1086" i="31"/>
  <c r="AP1086" i="31"/>
  <c r="BA3186" i="31"/>
  <c r="AP3186" i="31"/>
  <c r="H3186" i="31"/>
  <c r="H818" i="31"/>
  <c r="AP818" i="31"/>
  <c r="BA818" i="31"/>
  <c r="AP3509" i="31"/>
  <c r="H3509" i="31"/>
  <c r="BA3509" i="31"/>
  <c r="H551" i="31"/>
  <c r="AP551" i="31"/>
  <c r="BA551" i="31"/>
  <c r="BA1336" i="31"/>
  <c r="H1336" i="31"/>
  <c r="AP1336" i="31"/>
  <c r="AP2091" i="31"/>
  <c r="H2091" i="31"/>
  <c r="BA2091" i="31"/>
  <c r="AP1348" i="31"/>
  <c r="BA1348" i="31"/>
  <c r="H1348" i="31"/>
  <c r="AP3492" i="31"/>
  <c r="H3492" i="31"/>
  <c r="BA3492" i="31"/>
  <c r="AP258" i="31"/>
  <c r="BA258" i="31"/>
  <c r="H258" i="31"/>
  <c r="AP1385" i="31"/>
  <c r="BA1385" i="31"/>
  <c r="H1385" i="31"/>
  <c r="H715" i="31"/>
  <c r="AP715" i="31"/>
  <c r="BA715" i="31"/>
  <c r="AP3295" i="31"/>
  <c r="H3295" i="31"/>
  <c r="BA3295" i="31"/>
  <c r="AP3475" i="31"/>
  <c r="H3475" i="31"/>
  <c r="BA3475" i="31"/>
  <c r="BA2481" i="31"/>
  <c r="AP2481" i="31"/>
  <c r="H2481" i="31"/>
  <c r="H1475" i="31"/>
  <c r="BA1475" i="31"/>
  <c r="AP1475" i="31"/>
  <c r="AP1574" i="31"/>
  <c r="H1574" i="31"/>
  <c r="BA1574" i="31"/>
  <c r="H1090" i="31"/>
  <c r="BA1090" i="31"/>
  <c r="AP1090" i="31"/>
  <c r="H3458" i="31"/>
  <c r="BA3458" i="31"/>
  <c r="AP3458" i="31"/>
  <c r="AP1693" i="31"/>
  <c r="BA1693" i="31"/>
  <c r="H1693" i="31"/>
  <c r="H1625" i="31"/>
  <c r="BA1625" i="31"/>
  <c r="AP1625" i="31"/>
  <c r="AP2452" i="31"/>
  <c r="H2452" i="31"/>
  <c r="BA2452" i="31"/>
  <c r="H354" i="31"/>
  <c r="BA354" i="31"/>
  <c r="AP354" i="31"/>
  <c r="BA1050" i="31"/>
  <c r="AP1050" i="31"/>
  <c r="H1050" i="31"/>
  <c r="H46" i="31"/>
  <c r="AP46" i="31"/>
  <c r="BA46" i="31"/>
  <c r="H2275" i="31"/>
  <c r="AP2275" i="31"/>
  <c r="BA2275" i="31"/>
  <c r="BA2457" i="31"/>
  <c r="AP2457" i="31"/>
  <c r="H2457" i="31"/>
  <c r="BA3432" i="31"/>
  <c r="AP3432" i="31"/>
  <c r="H3432" i="31"/>
  <c r="BA1818" i="31"/>
  <c r="AP1818" i="31"/>
  <c r="H1818" i="31"/>
  <c r="BA1215" i="31"/>
  <c r="AP1215" i="31"/>
  <c r="H1215" i="31"/>
  <c r="BA1920" i="31"/>
  <c r="AP1920" i="31"/>
  <c r="H1920" i="31"/>
  <c r="H3435" i="31"/>
  <c r="BA3435" i="31"/>
  <c r="AP3435" i="31"/>
  <c r="BA675" i="31"/>
  <c r="AP675" i="31"/>
  <c r="H675" i="31"/>
  <c r="AP1103" i="31"/>
  <c r="H1103" i="31"/>
  <c r="BA1103" i="31"/>
  <c r="BA730" i="31"/>
  <c r="H730" i="31"/>
  <c r="AP730" i="31"/>
  <c r="H628" i="31"/>
  <c r="BA628" i="31"/>
  <c r="AP628" i="31"/>
  <c r="H546" i="31"/>
  <c r="BA546" i="31"/>
  <c r="AP546" i="31"/>
  <c r="BA3208" i="31"/>
  <c r="H3208" i="31"/>
  <c r="AP3208" i="31"/>
  <c r="BA2812" i="31"/>
  <c r="AP2812" i="31"/>
  <c r="H2812" i="31"/>
  <c r="BA2380" i="31"/>
  <c r="H2380" i="31"/>
  <c r="AP2380" i="31"/>
  <c r="AP3297" i="31"/>
  <c r="BA3297" i="31"/>
  <c r="H3297" i="31"/>
  <c r="AP825" i="31"/>
  <c r="H825" i="31"/>
  <c r="BA825" i="31"/>
  <c r="AP2979" i="31"/>
  <c r="H2979" i="31"/>
  <c r="BA2979" i="31"/>
  <c r="CI16" i="10"/>
  <c r="CJ16" i="10"/>
  <c r="CH15" i="10"/>
  <c r="CB16" i="10"/>
  <c r="BZ16" i="10"/>
  <c r="BW16" i="10"/>
  <c r="AP1878" i="31"/>
  <c r="BA1878" i="31"/>
  <c r="H1878" i="31"/>
  <c r="AP201" i="31"/>
  <c r="H201" i="31"/>
  <c r="BA201" i="31"/>
  <c r="H1143" i="31"/>
  <c r="BA1143" i="31"/>
  <c r="AP1143" i="31"/>
  <c r="AP1576" i="31"/>
  <c r="BA1576" i="31"/>
  <c r="H1576" i="31"/>
  <c r="AP3217" i="31"/>
  <c r="BA3217" i="31"/>
  <c r="H3217" i="31"/>
  <c r="AP1084" i="31"/>
  <c r="H1084" i="31"/>
  <c r="BA1084" i="31"/>
  <c r="BA3202" i="31"/>
  <c r="AP3202" i="31"/>
  <c r="H3202" i="31"/>
  <c r="H386" i="31"/>
  <c r="AP386" i="31"/>
  <c r="BA386" i="31"/>
  <c r="AP1204" i="31"/>
  <c r="H1204" i="31"/>
  <c r="BA1204" i="31"/>
  <c r="BA3111" i="31"/>
  <c r="H3111" i="31"/>
  <c r="AP3111" i="31"/>
  <c r="AP1014" i="31"/>
  <c r="BA1014" i="31"/>
  <c r="H1014" i="31"/>
  <c r="AP733" i="31"/>
  <c r="H733" i="31"/>
  <c r="BA733" i="31"/>
  <c r="BA2856" i="31"/>
  <c r="H2856" i="31"/>
  <c r="AP2856" i="31"/>
  <c r="AP2339" i="31"/>
  <c r="H2339" i="31"/>
  <c r="BA2339" i="31"/>
  <c r="H560" i="31"/>
  <c r="BA560" i="31"/>
  <c r="AP560" i="31"/>
  <c r="AP3299" i="31"/>
  <c r="BA3299" i="31"/>
  <c r="H3299" i="31"/>
  <c r="AP1141" i="31"/>
  <c r="H1141" i="31"/>
  <c r="BA1141" i="31"/>
  <c r="BA2376" i="31"/>
  <c r="H2376" i="31"/>
  <c r="AP2376" i="31"/>
  <c r="BA131" i="31"/>
  <c r="H131" i="31"/>
  <c r="AP131" i="31"/>
  <c r="BA752" i="31"/>
  <c r="AP752" i="31"/>
  <c r="H752" i="31"/>
  <c r="BA690" i="31"/>
  <c r="AP690" i="31"/>
  <c r="H690" i="31"/>
  <c r="BA750" i="31"/>
  <c r="H750" i="31"/>
  <c r="AP750" i="31"/>
  <c r="H554" i="31"/>
  <c r="BA554" i="31"/>
  <c r="AP554" i="31"/>
  <c r="H2105" i="31"/>
  <c r="BA2105" i="31"/>
  <c r="AP2105" i="31"/>
  <c r="H1968" i="31"/>
  <c r="AP1968" i="31"/>
  <c r="BA1968" i="31"/>
  <c r="BA1536" i="31"/>
  <c r="AP1536" i="31"/>
  <c r="H1536" i="31"/>
  <c r="BA1034" i="31"/>
  <c r="H1034" i="31"/>
  <c r="AP1034" i="31"/>
  <c r="BA2893" i="31"/>
  <c r="AP2893" i="31"/>
  <c r="H2893" i="31"/>
  <c r="BA1675" i="31"/>
  <c r="H1675" i="31"/>
  <c r="AP1675" i="31"/>
  <c r="H3110" i="31"/>
  <c r="AP3110" i="31"/>
  <c r="BA3110" i="31"/>
  <c r="BA717" i="31"/>
  <c r="AP717" i="31"/>
  <c r="H717" i="31"/>
  <c r="H3256" i="31"/>
  <c r="BA3256" i="31"/>
  <c r="AP3256" i="31"/>
  <c r="H2365" i="31"/>
  <c r="BA2365" i="31"/>
  <c r="AP2365" i="31"/>
  <c r="AP1208" i="31"/>
  <c r="BA1208" i="31"/>
  <c r="H1208" i="31"/>
  <c r="H641" i="31"/>
  <c r="BA641" i="31"/>
  <c r="AP641" i="31"/>
  <c r="BA925" i="31"/>
  <c r="H925" i="31"/>
  <c r="AP925" i="31"/>
  <c r="H2327" i="31"/>
  <c r="AP2327" i="31"/>
  <c r="BA2327" i="31"/>
  <c r="H3219" i="31"/>
  <c r="AP3219" i="31"/>
  <c r="BA3219" i="31"/>
  <c r="AP2880" i="31"/>
  <c r="H2880" i="31"/>
  <c r="BA2880" i="31"/>
  <c r="BA749" i="31"/>
  <c r="AP749" i="31"/>
  <c r="H749" i="31"/>
  <c r="AP3298" i="31"/>
  <c r="H3298" i="31"/>
  <c r="BA3298" i="31"/>
  <c r="H78" i="31"/>
  <c r="BA78" i="31"/>
  <c r="AP78" i="31"/>
  <c r="BA839" i="31"/>
  <c r="H839" i="31"/>
  <c r="AP839" i="31"/>
  <c r="BA509" i="31"/>
  <c r="AP509" i="31"/>
  <c r="H509" i="31"/>
  <c r="AP965" i="31"/>
  <c r="H965" i="31"/>
  <c r="BA965" i="31"/>
  <c r="H933" i="31"/>
  <c r="AP933" i="31"/>
  <c r="BA933" i="31"/>
  <c r="BA3327" i="31"/>
  <c r="AP3327" i="31"/>
  <c r="H3327" i="31"/>
  <c r="AP3149" i="31"/>
  <c r="H3149" i="31"/>
  <c r="BA3149" i="31"/>
  <c r="BA869" i="31"/>
  <c r="AP869" i="31"/>
  <c r="H869" i="31"/>
  <c r="BA2577" i="31"/>
  <c r="H2577" i="31"/>
  <c r="AP2577" i="31"/>
  <c r="AP2056" i="31"/>
  <c r="H2056" i="31"/>
  <c r="BA2056" i="31"/>
  <c r="H1308" i="31"/>
  <c r="BA1308" i="31"/>
  <c r="AP1308" i="31"/>
  <c r="BA2930" i="31"/>
  <c r="H2930" i="31"/>
  <c r="AP2930" i="31"/>
  <c r="BA1658" i="31"/>
  <c r="H1658" i="31"/>
  <c r="AP1658" i="31"/>
  <c r="H2528" i="31"/>
  <c r="AP2528" i="31"/>
  <c r="BA2528" i="31"/>
  <c r="H119" i="31"/>
  <c r="AP119" i="31"/>
  <c r="BA119" i="31"/>
  <c r="H224" i="31"/>
  <c r="BA224" i="31"/>
  <c r="AP224" i="31"/>
  <c r="AP185" i="31"/>
  <c r="BA185" i="31"/>
  <c r="H185" i="31"/>
  <c r="BA2578" i="31"/>
  <c r="H2578" i="31"/>
  <c r="AP2578" i="31"/>
  <c r="H199" i="31"/>
  <c r="BA199" i="31"/>
  <c r="AP199" i="31"/>
  <c r="AP634" i="31"/>
  <c r="BA634" i="31"/>
  <c r="H634" i="31"/>
  <c r="BA429" i="31"/>
  <c r="H429" i="31"/>
  <c r="AP429" i="31"/>
  <c r="H2458" i="31"/>
  <c r="AP2458" i="31"/>
  <c r="BA2458" i="31"/>
  <c r="H1583" i="31"/>
  <c r="AP1583" i="31"/>
  <c r="BA1583" i="31"/>
  <c r="BA1960" i="31"/>
  <c r="AP1960" i="31"/>
  <c r="H1960" i="31"/>
  <c r="H1339" i="31"/>
  <c r="BA1339" i="31"/>
  <c r="AP1339" i="31"/>
  <c r="AP268" i="31"/>
  <c r="BA268" i="31"/>
  <c r="H268" i="31"/>
  <c r="H1272" i="31"/>
  <c r="AP1272" i="31"/>
  <c r="BA1272" i="31"/>
  <c r="AP3175" i="31"/>
  <c r="H3175" i="31"/>
  <c r="BA3175" i="31"/>
  <c r="BA190" i="31"/>
  <c r="AP190" i="31"/>
  <c r="H190" i="31"/>
  <c r="H2409" i="31"/>
  <c r="AP2409" i="31"/>
  <c r="BA2409" i="31"/>
  <c r="H562" i="31"/>
  <c r="BA562" i="31"/>
  <c r="AP562" i="31"/>
  <c r="AP2624" i="31"/>
  <c r="H2624" i="31"/>
  <c r="BA2624" i="31"/>
  <c r="AP2332" i="31"/>
  <c r="H2332" i="31"/>
  <c r="BA2332" i="31"/>
  <c r="H1526" i="31"/>
  <c r="AP1526" i="31"/>
  <c r="BA1526" i="31"/>
  <c r="AP831" i="31"/>
  <c r="BA831" i="31"/>
  <c r="H831" i="31"/>
  <c r="H3197" i="31"/>
  <c r="AP3197" i="31"/>
  <c r="BA3197" i="31"/>
  <c r="AP758" i="31"/>
  <c r="BA758" i="31"/>
  <c r="H758" i="31"/>
  <c r="AP3013" i="31"/>
  <c r="BA3013" i="31"/>
  <c r="H3013" i="31"/>
  <c r="AP2704" i="31"/>
  <c r="BA2704" i="31"/>
  <c r="H2704" i="31"/>
  <c r="AP293" i="31"/>
  <c r="BA293" i="31"/>
  <c r="H293" i="31"/>
  <c r="AP2584" i="31"/>
  <c r="H2584" i="31"/>
  <c r="BA2584" i="31"/>
  <c r="AP588" i="31"/>
  <c r="H588" i="31"/>
  <c r="BA588" i="31"/>
  <c r="BA726" i="31"/>
  <c r="AP726" i="31"/>
  <c r="H726" i="31"/>
  <c r="AP1280" i="31"/>
  <c r="H1280" i="31"/>
  <c r="BA1280" i="31"/>
  <c r="BA2136" i="31"/>
  <c r="H2136" i="31"/>
  <c r="AP2136" i="31"/>
  <c r="AP2117" i="31"/>
  <c r="BA2117" i="31"/>
  <c r="H2117" i="31"/>
  <c r="H3255" i="31"/>
  <c r="AP3255" i="31"/>
  <c r="BA3255" i="31"/>
  <c r="H923" i="31"/>
  <c r="AP923" i="31"/>
  <c r="BA923" i="31"/>
  <c r="BA2606" i="31"/>
  <c r="AP2606" i="31"/>
  <c r="H2606" i="31"/>
  <c r="H1674" i="31"/>
  <c r="AP1674" i="31"/>
  <c r="BA1674" i="31"/>
  <c r="AP800" i="31"/>
  <c r="H800" i="31"/>
  <c r="BA800" i="31"/>
  <c r="H527" i="31"/>
  <c r="AP527" i="31"/>
  <c r="BA527" i="31"/>
  <c r="H2483" i="31"/>
  <c r="BA2483" i="31"/>
  <c r="AP2483" i="31"/>
  <c r="H766" i="31"/>
  <c r="AP766" i="31"/>
  <c r="BA766" i="31"/>
  <c r="H2798" i="31"/>
  <c r="BA2798" i="31"/>
  <c r="AP2798" i="31"/>
  <c r="H2354" i="31"/>
  <c r="AP2354" i="31"/>
  <c r="BA2354" i="31"/>
  <c r="BA3188" i="31"/>
  <c r="H3188" i="31"/>
  <c r="AP3188" i="31"/>
  <c r="AP518" i="31"/>
  <c r="H518" i="31"/>
  <c r="BA518" i="31"/>
  <c r="H2978" i="31"/>
  <c r="AP2978" i="31"/>
  <c r="BA2978" i="31"/>
  <c r="BA3266" i="31"/>
  <c r="H3266" i="31"/>
  <c r="AP3266" i="31"/>
  <c r="BA1855" i="31"/>
  <c r="AP1855" i="31"/>
  <c r="H1855" i="31"/>
  <c r="BA1201" i="31"/>
  <c r="H1201" i="31"/>
  <c r="AP1201" i="31"/>
  <c r="BA2133" i="31"/>
  <c r="AP2133" i="31"/>
  <c r="H2133" i="31"/>
  <c r="BA1071" i="31"/>
  <c r="AP1071" i="31"/>
  <c r="H1071" i="31"/>
  <c r="AP1912" i="31"/>
  <c r="H1912" i="31"/>
  <c r="BA1912" i="31"/>
  <c r="H315" i="31"/>
  <c r="BA315" i="31"/>
  <c r="AP315" i="31"/>
  <c r="AP318" i="31"/>
  <c r="H318" i="31"/>
  <c r="BA318" i="31"/>
  <c r="AP2619" i="31"/>
  <c r="BA2619" i="31"/>
  <c r="H2619" i="31"/>
  <c r="BA335" i="31"/>
  <c r="H335" i="31"/>
  <c r="AP335" i="31"/>
  <c r="BA2767" i="31"/>
  <c r="H2767" i="31"/>
  <c r="AP2767" i="31"/>
  <c r="AP908" i="31"/>
  <c r="BA908" i="31"/>
  <c r="H908" i="31"/>
  <c r="BA536" i="31"/>
  <c r="AP536" i="31"/>
  <c r="H536" i="31"/>
  <c r="AP1980" i="31"/>
  <c r="BA1980" i="31"/>
  <c r="H1980" i="31"/>
  <c r="BA2055" i="31"/>
  <c r="AP2055" i="31"/>
  <c r="H2055" i="31"/>
  <c r="BA3109" i="31"/>
  <c r="H3109" i="31"/>
  <c r="AP3109" i="31"/>
  <c r="BA352" i="31"/>
  <c r="H352" i="31"/>
  <c r="AP352" i="31"/>
  <c r="AP2232" i="31"/>
  <c r="H2232" i="31"/>
  <c r="BA2232" i="31"/>
  <c r="H2436" i="31"/>
  <c r="BA2436" i="31"/>
  <c r="AP2436" i="31"/>
  <c r="H1027" i="31"/>
  <c r="AP1027" i="31"/>
  <c r="BA1027" i="31"/>
  <c r="H2908" i="31"/>
  <c r="BA2908" i="31"/>
  <c r="AP2908" i="31"/>
  <c r="H2367" i="31"/>
  <c r="BA2367" i="31"/>
  <c r="AP2367" i="31"/>
  <c r="AP2240" i="31"/>
  <c r="H2240" i="31"/>
  <c r="BA2240" i="31"/>
  <c r="AP1975" i="31"/>
  <c r="BA1975" i="31"/>
  <c r="H1975" i="31"/>
  <c r="AP2527" i="31"/>
  <c r="H2527" i="31"/>
  <c r="BA2527" i="31"/>
  <c r="H1835" i="31"/>
  <c r="AP1835" i="31"/>
  <c r="BA1835" i="31"/>
  <c r="AP265" i="31"/>
  <c r="BA265" i="31"/>
  <c r="H265" i="31"/>
  <c r="BA1275" i="31"/>
  <c r="AP1275" i="31"/>
  <c r="H1275" i="31"/>
  <c r="AP1646" i="31"/>
  <c r="BA1646" i="31"/>
  <c r="H1646" i="31"/>
  <c r="H1999" i="31"/>
  <c r="BA1999" i="31"/>
  <c r="AP1999" i="31"/>
  <c r="H1797" i="31"/>
  <c r="BA1797" i="31"/>
  <c r="AP1797" i="31"/>
  <c r="AP1556" i="31"/>
  <c r="H1556" i="31"/>
  <c r="BA1556" i="31"/>
  <c r="BA2221" i="31"/>
  <c r="H2221" i="31"/>
  <c r="AP2221" i="31"/>
  <c r="H897" i="31"/>
  <c r="AP897" i="31"/>
  <c r="BA897" i="31"/>
  <c r="BA2861" i="31"/>
  <c r="H2861" i="31"/>
  <c r="AP2861" i="31"/>
  <c r="H837" i="31"/>
  <c r="AP837" i="31"/>
  <c r="BA837" i="31"/>
  <c r="BA3324" i="31"/>
  <c r="AP3324" i="31"/>
  <c r="H3324" i="31"/>
  <c r="BA123" i="31"/>
  <c r="AP123" i="31"/>
  <c r="H123" i="31"/>
  <c r="H2319" i="31"/>
  <c r="BA2319" i="31"/>
  <c r="AP2319" i="31"/>
  <c r="BA3280" i="31"/>
  <c r="AP3280" i="31"/>
  <c r="H3280" i="31"/>
  <c r="H1939" i="31"/>
  <c r="BA1939" i="31"/>
  <c r="AP1939" i="31"/>
  <c r="AP543" i="31"/>
  <c r="H543" i="31"/>
  <c r="BA543" i="31"/>
  <c r="AP2195" i="31"/>
  <c r="H2195" i="31"/>
  <c r="BA2195" i="31"/>
  <c r="AP292" i="31"/>
  <c r="H292" i="31"/>
  <c r="BA292" i="31"/>
  <c r="AP303" i="31"/>
  <c r="BA303" i="31"/>
  <c r="H303" i="31"/>
  <c r="H2614" i="31"/>
  <c r="BA2614" i="31"/>
  <c r="AP2614" i="31"/>
  <c r="BA1823" i="31"/>
  <c r="H1823" i="31"/>
  <c r="AP1823" i="31"/>
  <c r="AP1749" i="31"/>
  <c r="BA1749" i="31"/>
  <c r="H1749" i="31"/>
  <c r="AP172" i="31"/>
  <c r="H172" i="31"/>
  <c r="BA172" i="31"/>
  <c r="H1241" i="31"/>
  <c r="AP1241" i="31"/>
  <c r="BA1241" i="31"/>
  <c r="H3099" i="31"/>
  <c r="AP3099" i="31"/>
  <c r="BA3099" i="31"/>
  <c r="H2236" i="31"/>
  <c r="BA2236" i="31"/>
  <c r="AP2236" i="31"/>
  <c r="H2591" i="31"/>
  <c r="AP2591" i="31"/>
  <c r="BA2591" i="31"/>
  <c r="BA135" i="31"/>
  <c r="AP135" i="31"/>
  <c r="H135" i="31"/>
  <c r="AP1295" i="31"/>
  <c r="H1295" i="31"/>
  <c r="BA1295" i="31"/>
  <c r="H1461" i="31"/>
  <c r="BA1461" i="31"/>
  <c r="AP1461" i="31"/>
  <c r="AP734" i="31"/>
  <c r="H734" i="31"/>
  <c r="BA734" i="31"/>
  <c r="AP3164" i="31"/>
  <c r="BA3164" i="31"/>
  <c r="H3164" i="31"/>
  <c r="H2921" i="31"/>
  <c r="AP2921" i="31"/>
  <c r="BA2921" i="31"/>
  <c r="H1313" i="31"/>
  <c r="BA1313" i="31"/>
  <c r="AP1313" i="31"/>
  <c r="H548" i="31"/>
  <c r="BA548" i="31"/>
  <c r="AP548" i="31"/>
  <c r="BA392" i="31"/>
  <c r="AP392" i="31"/>
  <c r="H392" i="31"/>
  <c r="BA907" i="31"/>
  <c r="H907" i="31"/>
  <c r="AP907" i="31"/>
  <c r="BA2235" i="31"/>
  <c r="H2235" i="31"/>
  <c r="AP2235" i="31"/>
  <c r="H1102" i="31"/>
  <c r="AP1102" i="31"/>
  <c r="BA1102" i="31"/>
  <c r="H1001" i="31"/>
  <c r="AP1001" i="31"/>
  <c r="BA1001" i="31"/>
  <c r="AP1557" i="31"/>
  <c r="H1557" i="31"/>
  <c r="BA1557" i="31"/>
  <c r="H1601" i="31"/>
  <c r="AP1601" i="31"/>
  <c r="BA1601" i="31"/>
  <c r="BA3133" i="31"/>
  <c r="H3133" i="31"/>
  <c r="AP3133" i="31"/>
  <c r="AP716" i="31"/>
  <c r="H716" i="31"/>
  <c r="BA716" i="31"/>
  <c r="BA1636" i="31"/>
  <c r="H1636" i="31"/>
  <c r="AP1636" i="31"/>
  <c r="AP3337" i="31"/>
  <c r="BA3337" i="31"/>
  <c r="H3337" i="31"/>
  <c r="H1415" i="31"/>
  <c r="BA1415" i="31"/>
  <c r="AP1415" i="31"/>
  <c r="H1537" i="31"/>
  <c r="AP1537" i="31"/>
  <c r="BA1537" i="31"/>
  <c r="AP2201" i="31"/>
  <c r="H2201" i="31"/>
  <c r="BA2201" i="31"/>
  <c r="AP3510" i="31"/>
  <c r="H3510" i="31"/>
  <c r="BA3510" i="31"/>
  <c r="BA827" i="31"/>
  <c r="H827" i="31"/>
  <c r="AP827" i="31"/>
  <c r="H1265" i="31"/>
  <c r="BA1265" i="31"/>
  <c r="AP1265" i="31"/>
  <c r="H1378" i="31"/>
  <c r="BA1378" i="31"/>
  <c r="AP1378" i="31"/>
  <c r="BA1945" i="31"/>
  <c r="AP1945" i="31"/>
  <c r="H1945" i="31"/>
  <c r="AP3493" i="31"/>
  <c r="H3493" i="31"/>
  <c r="BA3493" i="31"/>
  <c r="BA1622" i="31"/>
  <c r="AP1622" i="31"/>
  <c r="H1622" i="31"/>
  <c r="H47" i="31"/>
  <c r="BA47" i="31"/>
  <c r="AP47" i="31"/>
  <c r="BA2816" i="31"/>
  <c r="H2816" i="31"/>
  <c r="AP2816" i="31"/>
  <c r="H2515" i="31"/>
  <c r="AP2515" i="31"/>
  <c r="BA2515" i="31"/>
  <c r="BA3476" i="31"/>
  <c r="AP3476" i="31"/>
  <c r="H3476" i="31"/>
  <c r="AP3076" i="31"/>
  <c r="H3076" i="31"/>
  <c r="BA3076" i="31"/>
  <c r="H34" i="31"/>
  <c r="BA34" i="31"/>
  <c r="AP34" i="31"/>
  <c r="BA1525" i="31"/>
  <c r="H1525" i="31"/>
  <c r="AP1525" i="31"/>
  <c r="H3459" i="31"/>
  <c r="BA3459" i="31"/>
  <c r="AP3459" i="31"/>
  <c r="AP1398" i="31"/>
  <c r="H1398" i="31"/>
  <c r="BA1398" i="31"/>
  <c r="BA3281" i="31"/>
  <c r="AP3281" i="31"/>
  <c r="H3281" i="31"/>
  <c r="AP2023" i="31"/>
  <c r="H2023" i="31"/>
  <c r="BA2023" i="31"/>
  <c r="AP2014" i="31"/>
  <c r="BA2014" i="31"/>
  <c r="H2014" i="31"/>
  <c r="BA2155" i="31"/>
  <c r="AP2155" i="31"/>
  <c r="H2155" i="31"/>
  <c r="BA822" i="31"/>
  <c r="AP822" i="31"/>
  <c r="H822" i="31"/>
  <c r="H1702" i="31"/>
  <c r="AP1702" i="31"/>
  <c r="BA1702" i="31"/>
  <c r="H2506" i="31"/>
  <c r="BA2506" i="31"/>
  <c r="AP2506" i="31"/>
  <c r="H3304" i="31"/>
  <c r="AP3304" i="31"/>
  <c r="BA3304" i="31"/>
  <c r="BA2311" i="31"/>
  <c r="H2311" i="31"/>
  <c r="AP2311" i="31"/>
  <c r="BA328" i="31"/>
  <c r="AP328" i="31"/>
  <c r="H328" i="31"/>
  <c r="AP2781" i="31"/>
  <c r="H2781" i="31"/>
  <c r="BA2781" i="31"/>
  <c r="H2287" i="31"/>
  <c r="AP2287" i="31"/>
  <c r="BA2287" i="31"/>
  <c r="BA1041" i="31"/>
  <c r="H1041" i="31"/>
  <c r="AP1041" i="31"/>
  <c r="AP41" i="31"/>
  <c r="H41" i="31"/>
  <c r="BA41" i="31"/>
  <c r="H322" i="31"/>
  <c r="BA322" i="31"/>
  <c r="AP322" i="31"/>
  <c r="H1099" i="31"/>
  <c r="BA1099" i="31"/>
  <c r="AP1099" i="31"/>
  <c r="BA3127" i="31"/>
  <c r="AP3127" i="31"/>
  <c r="H3127" i="31"/>
  <c r="H2666" i="31"/>
  <c r="BA2666" i="31"/>
  <c r="AP2666" i="31"/>
  <c r="AP1550" i="31"/>
  <c r="BA1550" i="31"/>
  <c r="H1550" i="31"/>
  <c r="BA298" i="31"/>
  <c r="AP298" i="31"/>
  <c r="H298" i="31"/>
  <c r="AP1806" i="31"/>
  <c r="H1806" i="31"/>
  <c r="BA1806" i="31"/>
  <c r="H2011" i="31"/>
  <c r="BA2011" i="31"/>
  <c r="AP2011" i="31"/>
  <c r="AP2574" i="31"/>
  <c r="BA2574" i="31"/>
  <c r="H2574" i="31"/>
  <c r="H2926" i="31"/>
  <c r="BA2926" i="31"/>
  <c r="AP2926" i="31"/>
  <c r="H2165" i="31"/>
  <c r="AP2165" i="31"/>
  <c r="BA2165" i="31"/>
  <c r="AP2372" i="31"/>
  <c r="H2372" i="31"/>
  <c r="BA2372" i="31"/>
  <c r="BA432" i="31"/>
  <c r="AP432" i="31"/>
  <c r="H432" i="31"/>
  <c r="AP369" i="31"/>
  <c r="BA369" i="31"/>
  <c r="H369" i="31"/>
  <c r="CJ12" i="10"/>
  <c r="CI12" i="10"/>
  <c r="CH19" i="10"/>
  <c r="CB12" i="10"/>
  <c r="BZ12" i="10"/>
  <c r="BW12" i="10"/>
  <c r="AP2609" i="31"/>
  <c r="BA2609" i="31"/>
  <c r="H2609" i="31"/>
  <c r="AP2360" i="31"/>
  <c r="BA2360" i="31"/>
  <c r="H2360" i="31"/>
  <c r="AP2143" i="31"/>
  <c r="BA2143" i="31"/>
  <c r="H2143" i="31"/>
  <c r="AP254" i="31"/>
  <c r="H254" i="31"/>
  <c r="BA254" i="31"/>
  <c r="H2648" i="31"/>
  <c r="AP2648" i="31"/>
  <c r="BA2648" i="31"/>
  <c r="AP3333" i="31"/>
  <c r="H3333" i="31"/>
  <c r="BA3333" i="31"/>
  <c r="BA1338" i="31"/>
  <c r="H1338" i="31"/>
  <c r="AP1338" i="31"/>
  <c r="BA2222" i="31"/>
  <c r="H2222" i="31"/>
  <c r="AP2222" i="31"/>
  <c r="AP1871" i="31"/>
  <c r="BA1871" i="31"/>
  <c r="H1871" i="31"/>
  <c r="H812" i="31"/>
  <c r="AP812" i="31"/>
  <c r="BA812" i="31"/>
  <c r="BA1856" i="31"/>
  <c r="AP1856" i="31"/>
  <c r="H1856" i="31"/>
  <c r="BA1564" i="31"/>
  <c r="AP1564" i="31"/>
  <c r="H1564" i="31"/>
  <c r="H357" i="31"/>
  <c r="BA357" i="31"/>
  <c r="AP357" i="31"/>
  <c r="BA3179" i="31"/>
  <c r="H3179" i="31"/>
  <c r="AP3179" i="31"/>
  <c r="BA954" i="31"/>
  <c r="AP954" i="31"/>
  <c r="H954" i="31"/>
  <c r="AP2417" i="31"/>
  <c r="BA2417" i="31"/>
  <c r="H2417" i="31"/>
  <c r="AP1643" i="31"/>
  <c r="BA1643" i="31"/>
  <c r="H1643" i="31"/>
  <c r="AP714" i="31"/>
  <c r="H714" i="31"/>
  <c r="BA714" i="31"/>
  <c r="AP3129" i="31"/>
  <c r="BA3129" i="31"/>
  <c r="H3129" i="31"/>
  <c r="H382" i="31"/>
  <c r="BA382" i="31"/>
  <c r="AP382" i="31"/>
  <c r="AP2758" i="31"/>
  <c r="BA2758" i="31"/>
  <c r="H2758" i="31"/>
  <c r="H3293" i="31"/>
  <c r="BA3293" i="31"/>
  <c r="AP3293" i="31"/>
  <c r="BA3391" i="31"/>
  <c r="AP3391" i="31"/>
  <c r="H3391" i="31"/>
  <c r="H845" i="31"/>
  <c r="BA845" i="31"/>
  <c r="AP845" i="31"/>
  <c r="AP1672" i="31"/>
  <c r="H1672" i="31"/>
  <c r="BA1672" i="31"/>
  <c r="BA3325" i="31"/>
  <c r="AP3325" i="31"/>
  <c r="H3325" i="31"/>
  <c r="BA2152" i="31"/>
  <c r="AP2152" i="31"/>
  <c r="H2152" i="31"/>
  <c r="H3192" i="31"/>
  <c r="BA3192" i="31"/>
  <c r="AP3192" i="31"/>
  <c r="H1481" i="31"/>
  <c r="BA1481" i="31"/>
  <c r="AP1481" i="31"/>
  <c r="AP2404" i="31"/>
  <c r="H2404" i="31"/>
  <c r="BA2404" i="31"/>
  <c r="H1568" i="31"/>
  <c r="AP1568" i="31"/>
  <c r="BA1568" i="31"/>
  <c r="BA1306" i="31"/>
  <c r="AP1306" i="31"/>
  <c r="H1306" i="31"/>
  <c r="H3211" i="31"/>
  <c r="BA3211" i="31"/>
  <c r="AP3211" i="31"/>
  <c r="BA1366" i="31"/>
  <c r="AP1366" i="31"/>
  <c r="H1366" i="31"/>
  <c r="H626" i="31"/>
  <c r="AP626" i="31"/>
  <c r="BA626" i="31"/>
  <c r="BA721" i="31"/>
  <c r="H721" i="31"/>
  <c r="AP721" i="31"/>
  <c r="AP1089" i="31"/>
  <c r="BA1089" i="31"/>
  <c r="H1089" i="31"/>
  <c r="BA583" i="31"/>
  <c r="AP583" i="31"/>
  <c r="H583" i="31"/>
  <c r="H596" i="31"/>
  <c r="BA596" i="31"/>
  <c r="AP596" i="31"/>
  <c r="H2526" i="31"/>
  <c r="AP2526" i="31"/>
  <c r="BA2526" i="31"/>
  <c r="H3183" i="31"/>
  <c r="BA3183" i="31"/>
  <c r="AP3183" i="31"/>
  <c r="AP782" i="31"/>
  <c r="BA782" i="31"/>
  <c r="H782" i="31"/>
  <c r="AP1773" i="31"/>
  <c r="H1773" i="31"/>
  <c r="BA1773" i="31"/>
  <c r="H2144" i="31"/>
  <c r="BA2144" i="31"/>
  <c r="AP2144" i="31"/>
  <c r="AP1247" i="31"/>
  <c r="H1247" i="31"/>
  <c r="BA1247" i="31"/>
  <c r="H1226" i="31"/>
  <c r="BA1226" i="31"/>
  <c r="AP1226" i="31"/>
  <c r="H1134" i="31"/>
  <c r="BA1134" i="31"/>
  <c r="AP1134" i="31"/>
  <c r="BA3162" i="31"/>
  <c r="H3162" i="31"/>
  <c r="AP3162" i="31"/>
  <c r="H1879" i="31"/>
  <c r="BA1879" i="31"/>
  <c r="AP1879" i="31"/>
  <c r="H3064" i="31"/>
  <c r="AP3064" i="31"/>
  <c r="BA3064" i="31"/>
  <c r="AP2398" i="31"/>
  <c r="H2398" i="31"/>
  <c r="BA2398" i="31"/>
  <c r="AP3389" i="31"/>
  <c r="BA3389" i="31"/>
  <c r="H3389" i="31"/>
  <c r="H3292" i="31"/>
  <c r="BA3292" i="31"/>
  <c r="AP3292" i="31"/>
  <c r="H2206" i="31"/>
  <c r="AP2206" i="31"/>
  <c r="BA2206" i="31"/>
  <c r="H493" i="31"/>
  <c r="BA493" i="31"/>
  <c r="AP493" i="31"/>
  <c r="AP2508" i="31"/>
  <c r="BA2508" i="31"/>
  <c r="H2508" i="31"/>
  <c r="BA3002" i="31"/>
  <c r="AP3002" i="31"/>
  <c r="H3002" i="31"/>
  <c r="BA1937" i="31"/>
  <c r="H1937" i="31"/>
  <c r="AP1937" i="31"/>
  <c r="AP1830" i="31"/>
  <c r="H1830" i="31"/>
  <c r="BA1830" i="31"/>
  <c r="AP1859" i="31"/>
  <c r="H1859" i="31"/>
  <c r="BA1859" i="31"/>
  <c r="H1297" i="31"/>
  <c r="AP1297" i="31"/>
  <c r="BA1297" i="31"/>
  <c r="AP2535" i="31"/>
  <c r="BA2535" i="31"/>
  <c r="H2535" i="31"/>
  <c r="BA3143" i="31"/>
  <c r="AP3143" i="31"/>
  <c r="H3143" i="31"/>
  <c r="AP2556" i="31"/>
  <c r="H2556" i="31"/>
  <c r="BA2556" i="31"/>
  <c r="AP1292" i="31"/>
  <c r="BA1292" i="31"/>
  <c r="H1292" i="31"/>
  <c r="AP1060" i="31"/>
  <c r="H1060" i="31"/>
  <c r="BA1060" i="31"/>
  <c r="AP1394" i="31"/>
  <c r="H1394" i="31"/>
  <c r="BA1394" i="31"/>
  <c r="AP93" i="31"/>
  <c r="BA93" i="31"/>
  <c r="H93" i="31"/>
  <c r="AP545" i="31"/>
  <c r="H545" i="31"/>
  <c r="BA545" i="31"/>
  <c r="AP2571" i="31"/>
  <c r="BA2571" i="31"/>
  <c r="H2571" i="31"/>
  <c r="AP1942" i="31"/>
  <c r="H1942" i="31"/>
  <c r="BA1942" i="31"/>
  <c r="BA1066" i="31"/>
  <c r="H1066" i="31"/>
  <c r="AP1066" i="31"/>
  <c r="BA2138" i="31"/>
  <c r="H2138" i="31"/>
  <c r="AP2138" i="31"/>
  <c r="H2852" i="31"/>
  <c r="BA2852" i="31"/>
  <c r="AP2852" i="31"/>
  <c r="H3098" i="31"/>
  <c r="AP3098" i="31"/>
  <c r="BA3098" i="31"/>
  <c r="AP2127" i="31"/>
  <c r="BA2127" i="31"/>
  <c r="H2127" i="31"/>
  <c r="H1286" i="31"/>
  <c r="BA1286" i="31"/>
  <c r="AP1286" i="31"/>
  <c r="H2307" i="31"/>
  <c r="AP2307" i="31"/>
  <c r="BA2307" i="31"/>
  <c r="H404" i="31"/>
  <c r="BA404" i="31"/>
  <c r="AP404" i="31"/>
  <c r="BA2655" i="31"/>
  <c r="H2655" i="31"/>
  <c r="AP2655" i="31"/>
  <c r="H2304" i="31"/>
  <c r="BA2304" i="31"/>
  <c r="AP2304" i="31"/>
  <c r="AP1527" i="31"/>
  <c r="BA1527" i="31"/>
  <c r="H1527" i="31"/>
  <c r="AP2511" i="31"/>
  <c r="H2511" i="31"/>
  <c r="BA2511" i="31"/>
  <c r="H2484" i="31"/>
  <c r="BA2484" i="31"/>
  <c r="AP2484" i="31"/>
  <c r="BA1393" i="31"/>
  <c r="H1393" i="31"/>
  <c r="AP1393" i="31"/>
  <c r="H1866" i="31"/>
  <c r="AP1866" i="31"/>
  <c r="BA1866" i="31"/>
  <c r="H2065" i="31"/>
  <c r="AP2065" i="31"/>
  <c r="BA2065" i="31"/>
  <c r="BA2817" i="31"/>
  <c r="AP2817" i="31"/>
  <c r="H2817" i="31"/>
  <c r="H1825" i="31"/>
  <c r="BA1825" i="31"/>
  <c r="AP1825" i="31"/>
  <c r="BA2224" i="31"/>
  <c r="AP2224" i="31"/>
  <c r="H2224" i="31"/>
  <c r="H1660" i="31"/>
  <c r="BA1660" i="31"/>
  <c r="AP1660" i="31"/>
  <c r="H779" i="31"/>
  <c r="BA779" i="31"/>
  <c r="AP779" i="31"/>
  <c r="H1613" i="31"/>
  <c r="BA1613" i="31"/>
  <c r="AP1613" i="31"/>
  <c r="BA1817" i="31"/>
  <c r="H1817" i="31"/>
  <c r="AP1817" i="31"/>
  <c r="BA645" i="31"/>
  <c r="H645" i="31"/>
  <c r="AP645" i="31"/>
  <c r="AP269" i="31"/>
  <c r="H269" i="31"/>
  <c r="BA269" i="31"/>
  <c r="BA3152" i="31"/>
  <c r="H3152" i="31"/>
  <c r="AP3152" i="31"/>
  <c r="BA1762" i="31"/>
  <c r="AP1762" i="31"/>
  <c r="H1762" i="31"/>
  <c r="AP1283" i="31"/>
  <c r="BA1283" i="31"/>
  <c r="H1283" i="31"/>
  <c r="H2672" i="31"/>
  <c r="BA2672" i="31"/>
  <c r="AP2672" i="31"/>
  <c r="AP2681" i="31"/>
  <c r="BA2681" i="31"/>
  <c r="H2681" i="31"/>
  <c r="BA101" i="31"/>
  <c r="AP101" i="31"/>
  <c r="H101" i="31"/>
  <c r="BA2220" i="31"/>
  <c r="H2220" i="31"/>
  <c r="AP2220" i="31"/>
  <c r="BA126" i="31"/>
  <c r="AP126" i="31"/>
  <c r="H126" i="31"/>
  <c r="BA1691" i="31"/>
  <c r="H1691" i="31"/>
  <c r="AP1691" i="31"/>
  <c r="AP988" i="31"/>
  <c r="H988" i="31"/>
  <c r="BA988" i="31"/>
  <c r="BA572" i="31"/>
  <c r="AP572" i="31"/>
  <c r="H572" i="31"/>
  <c r="H558" i="31"/>
  <c r="BA558" i="31"/>
  <c r="AP558" i="31"/>
  <c r="BA2012" i="31"/>
  <c r="AP2012" i="31"/>
  <c r="H2012" i="31"/>
  <c r="AP2308" i="31"/>
  <c r="H2308" i="31"/>
  <c r="BA2308" i="31"/>
  <c r="AP1310" i="31"/>
  <c r="H1310" i="31"/>
  <c r="BA1310" i="31"/>
  <c r="H2643" i="31"/>
  <c r="BA2643" i="31"/>
  <c r="AP2643" i="31"/>
  <c r="BA3029" i="31"/>
  <c r="H3029" i="31"/>
  <c r="AP3029" i="31"/>
  <c r="H688" i="31"/>
  <c r="AP688" i="31"/>
  <c r="BA688" i="31"/>
  <c r="AP2046" i="31"/>
  <c r="BA2046" i="31"/>
  <c r="H2046" i="31"/>
  <c r="BA483" i="31"/>
  <c r="H483" i="31"/>
  <c r="AP483" i="31"/>
  <c r="AP895" i="31"/>
  <c r="H895" i="31"/>
  <c r="BA895" i="31"/>
  <c r="H1074" i="31"/>
  <c r="BA1074" i="31"/>
  <c r="AP1074" i="31"/>
  <c r="BA2223" i="31"/>
  <c r="AP2223" i="31"/>
  <c r="H2223" i="31"/>
  <c r="H3088" i="31"/>
  <c r="AP3088" i="31"/>
  <c r="BA3088" i="31"/>
  <c r="AP1152" i="31"/>
  <c r="H1152" i="31"/>
  <c r="BA1152" i="31"/>
  <c r="BA1479" i="31"/>
  <c r="AP1479" i="31"/>
  <c r="H1479" i="31"/>
  <c r="H182" i="31"/>
  <c r="AP182" i="31"/>
  <c r="BA182" i="31"/>
  <c r="H1800" i="31"/>
  <c r="AP1800" i="31"/>
  <c r="BA1800" i="31"/>
  <c r="H434" i="31"/>
  <c r="AP434" i="31"/>
  <c r="BA434" i="31"/>
  <c r="BA3322" i="31"/>
  <c r="AP3322" i="31"/>
  <c r="H3322" i="31"/>
  <c r="H1290" i="31"/>
  <c r="BA1290" i="31"/>
  <c r="AP1290" i="31"/>
  <c r="AP501" i="31"/>
  <c r="H501" i="31"/>
  <c r="BA501" i="31"/>
  <c r="BA739" i="31"/>
  <c r="AP739" i="31"/>
  <c r="H739" i="31"/>
  <c r="AP3296" i="31"/>
  <c r="BA3296" i="31"/>
  <c r="H3296" i="31"/>
  <c r="BA1459" i="31"/>
  <c r="H1459" i="31"/>
  <c r="AP1459" i="31"/>
  <c r="AP54" i="31"/>
  <c r="BA54" i="31"/>
  <c r="H54" i="31"/>
  <c r="BA1309" i="31"/>
  <c r="H1309" i="31"/>
  <c r="AP1309" i="31"/>
  <c r="BA864" i="31"/>
  <c r="H864" i="31"/>
  <c r="AP864" i="31"/>
  <c r="AP3063" i="31"/>
  <c r="H3063" i="31"/>
  <c r="BA3063" i="31"/>
  <c r="BA105" i="31"/>
  <c r="AP105" i="31"/>
  <c r="H105" i="31"/>
  <c r="H2210" i="31"/>
  <c r="AP2210" i="31"/>
  <c r="BA2210" i="31"/>
  <c r="H2949" i="31"/>
  <c r="AP2949" i="31"/>
  <c r="BA2949" i="31"/>
  <c r="AP2900" i="31"/>
  <c r="BA2900" i="31"/>
  <c r="H2900" i="31"/>
  <c r="H63" i="31"/>
  <c r="AP63" i="31"/>
  <c r="BA63" i="31"/>
  <c r="BA492" i="31"/>
  <c r="H492" i="31"/>
  <c r="AP492" i="31"/>
  <c r="BA608" i="31"/>
  <c r="H608" i="31"/>
  <c r="AP608" i="31"/>
  <c r="AP2692" i="31"/>
  <c r="H2692" i="31"/>
  <c r="BA2692" i="31"/>
  <c r="H663" i="31"/>
  <c r="BA663" i="31"/>
  <c r="AP663" i="31"/>
  <c r="H2563" i="31"/>
  <c r="AP2563" i="31"/>
  <c r="BA2563" i="31"/>
  <c r="H1692" i="31"/>
  <c r="BA1692" i="31"/>
  <c r="AP1692" i="31"/>
  <c r="BA521" i="31"/>
  <c r="H521" i="31"/>
  <c r="AP521" i="31"/>
  <c r="AP2547" i="31"/>
  <c r="H2547" i="31"/>
  <c r="BA2547" i="31"/>
  <c r="BA1786" i="31"/>
  <c r="AP1786" i="31"/>
  <c r="H1786" i="31"/>
  <c r="BA3247" i="31"/>
  <c r="AP3247" i="31"/>
  <c r="H3247" i="31"/>
  <c r="H2030" i="31"/>
  <c r="AP2030" i="31"/>
  <c r="BA2030" i="31"/>
  <c r="H2981" i="31"/>
  <c r="AP2981" i="31"/>
  <c r="BA2981" i="31"/>
  <c r="BA124" i="31"/>
  <c r="H124" i="31"/>
  <c r="AP124" i="31"/>
  <c r="BA1321" i="31"/>
  <c r="AP1321" i="31"/>
  <c r="H1321" i="31"/>
  <c r="H1858" i="31"/>
  <c r="BA1858" i="31"/>
  <c r="AP1858" i="31"/>
  <c r="BA1454" i="31"/>
  <c r="H1454" i="31"/>
  <c r="AP1454" i="31"/>
  <c r="BA1651" i="31"/>
  <c r="AP1651" i="31"/>
  <c r="H1651" i="31"/>
  <c r="AP2725" i="31"/>
  <c r="BA2725" i="31"/>
  <c r="H2725" i="31"/>
  <c r="H2352" i="31"/>
  <c r="BA2352" i="31"/>
  <c r="AP2352" i="31"/>
  <c r="BA2602" i="31"/>
  <c r="AP2602" i="31"/>
  <c r="H2602" i="31"/>
  <c r="AP1815" i="31"/>
  <c r="H1815" i="31"/>
  <c r="BA1815" i="31"/>
  <c r="H2139" i="31"/>
  <c r="AP2139" i="31"/>
  <c r="BA2139" i="31"/>
  <c r="AP32" i="31"/>
  <c r="BA32" i="31"/>
  <c r="H32" i="31"/>
  <c r="H1735" i="31"/>
  <c r="AP1735" i="31"/>
  <c r="BA1735" i="31"/>
  <c r="H348" i="31"/>
  <c r="BA348" i="31"/>
  <c r="AP348" i="31"/>
  <c r="AP502" i="31"/>
  <c r="BA502" i="31"/>
  <c r="H502" i="31"/>
  <c r="H2720" i="31"/>
  <c r="AP2720" i="31"/>
  <c r="BA2720" i="31"/>
  <c r="AP578" i="31"/>
  <c r="H578" i="31"/>
  <c r="BA578" i="31"/>
  <c r="H1257" i="31"/>
  <c r="AP1257" i="31"/>
  <c r="BA1257" i="31"/>
  <c r="H2565" i="31"/>
  <c r="BA2565" i="31"/>
  <c r="AP2565" i="31"/>
  <c r="H3511" i="31"/>
  <c r="AP3511" i="31"/>
  <c r="BA3511" i="31"/>
  <c r="AP2551" i="31"/>
  <c r="H2551" i="31"/>
  <c r="BA2551" i="31"/>
  <c r="H1529" i="31"/>
  <c r="AP1529" i="31"/>
  <c r="BA1529" i="31"/>
  <c r="H344" i="31"/>
  <c r="AP344" i="31"/>
  <c r="BA344" i="31"/>
  <c r="AP3494" i="31"/>
  <c r="H3494" i="31"/>
  <c r="BA3494" i="31"/>
  <c r="BA2070" i="31"/>
  <c r="AP2070" i="31"/>
  <c r="H2070" i="31"/>
  <c r="AP1573" i="31"/>
  <c r="BA1573" i="31"/>
  <c r="H1573" i="31"/>
  <c r="BA616" i="31"/>
  <c r="H616" i="31"/>
  <c r="AP616" i="31"/>
  <c r="AP1077" i="31"/>
  <c r="H1077" i="31"/>
  <c r="BA1077" i="31"/>
  <c r="AP3477" i="31"/>
  <c r="H3477" i="31"/>
  <c r="BA3477" i="31"/>
  <c r="BA2883" i="31"/>
  <c r="H2883" i="31"/>
  <c r="AP2883" i="31"/>
  <c r="H1156" i="31"/>
  <c r="AP1156" i="31"/>
  <c r="BA1156" i="31"/>
  <c r="H746" i="31"/>
  <c r="AP746" i="31"/>
  <c r="BA746" i="31"/>
  <c r="AP279" i="31"/>
  <c r="BA279" i="31"/>
  <c r="H279" i="31"/>
  <c r="BA3460" i="31"/>
  <c r="AP3460" i="31"/>
  <c r="H3460" i="31"/>
  <c r="AP2723" i="31"/>
  <c r="H2723" i="31"/>
  <c r="BA2723" i="31"/>
  <c r="H2351" i="31"/>
  <c r="AP2351" i="31"/>
  <c r="BA2351" i="31"/>
  <c r="BA1621" i="31"/>
  <c r="H1621" i="31"/>
  <c r="AP1621" i="31"/>
  <c r="BA1868" i="31"/>
  <c r="H1868" i="31"/>
  <c r="AP1868" i="31"/>
  <c r="H1341" i="31"/>
  <c r="BA1341" i="31"/>
  <c r="AP1341" i="31"/>
  <c r="H3427" i="31"/>
  <c r="BA3427" i="31"/>
  <c r="AP3427" i="31"/>
  <c r="AP1734" i="31"/>
  <c r="BA1734" i="31"/>
  <c r="H1734" i="31"/>
  <c r="AP932" i="31"/>
  <c r="H932" i="31"/>
  <c r="BA932" i="31"/>
  <c r="H2477" i="31"/>
  <c r="BA2477" i="31"/>
  <c r="AP2477" i="31"/>
  <c r="AP3185" i="31"/>
  <c r="H3185" i="31"/>
  <c r="BA3185" i="31"/>
  <c r="BA2125" i="31"/>
  <c r="AP2125" i="31"/>
  <c r="H2125" i="31"/>
  <c r="BA2296" i="31"/>
  <c r="AP2296" i="31"/>
  <c r="H2296" i="31"/>
  <c r="H1381" i="31"/>
  <c r="BA1381" i="31"/>
  <c r="AP1381" i="31"/>
  <c r="H1679" i="31"/>
  <c r="BA1679" i="31"/>
  <c r="AP1679" i="31"/>
  <c r="H2179" i="31"/>
  <c r="BA2179" i="31"/>
  <c r="AP2179" i="31"/>
  <c r="AP1498" i="31"/>
  <c r="BA1498" i="31"/>
  <c r="H1498" i="31"/>
  <c r="AP1743" i="31"/>
  <c r="BA1743" i="31"/>
  <c r="H1743" i="31"/>
  <c r="BA1909" i="31"/>
  <c r="AP1909" i="31"/>
  <c r="H1909" i="31"/>
  <c r="H2344" i="31"/>
  <c r="AP2344" i="31"/>
  <c r="BA2344" i="31"/>
  <c r="H226" i="31"/>
  <c r="AP226" i="31"/>
  <c r="BA226" i="31"/>
  <c r="H1485" i="31"/>
  <c r="AP1485" i="31"/>
  <c r="BA1485" i="31"/>
  <c r="BA3248" i="31"/>
  <c r="AP3248" i="31"/>
  <c r="H3248" i="31"/>
  <c r="BA1333" i="31"/>
  <c r="H1333" i="31"/>
  <c r="AP1333" i="31"/>
  <c r="AP2233" i="31"/>
  <c r="BA2233" i="31"/>
  <c r="H2233" i="31"/>
  <c r="BA2446" i="31"/>
  <c r="H2446" i="31"/>
  <c r="AP2446" i="31"/>
  <c r="BA2813" i="31"/>
  <c r="AP2813" i="31"/>
  <c r="H2813" i="31"/>
  <c r="AP914" i="31"/>
  <c r="H914" i="31"/>
  <c r="BA914" i="31"/>
  <c r="AP2431" i="31"/>
  <c r="BA2431" i="31"/>
  <c r="H2431" i="31"/>
  <c r="H2944" i="31"/>
  <c r="BA2944" i="31"/>
  <c r="AP2944" i="31"/>
  <c r="H2113" i="31"/>
  <c r="BA2113" i="31"/>
  <c r="AP2113" i="31"/>
  <c r="AP1970" i="31"/>
  <c r="H1970" i="31"/>
  <c r="BA1970" i="31"/>
  <c r="H1035" i="31"/>
  <c r="AP1035" i="31"/>
  <c r="BA1035" i="31"/>
  <c r="AP2370" i="31"/>
  <c r="H2370" i="31"/>
  <c r="BA2370" i="31"/>
  <c r="H1109" i="31"/>
  <c r="AP1109" i="31"/>
  <c r="BA1109" i="31"/>
  <c r="CI13" i="10"/>
  <c r="CJ13" i="10"/>
  <c r="CH18" i="10"/>
  <c r="BZ13" i="10"/>
  <c r="BW13" i="10"/>
  <c r="CB13" i="10"/>
  <c r="BA2857" i="31"/>
  <c r="AP2857" i="31"/>
  <c r="H2857" i="31"/>
  <c r="AP720" i="31"/>
  <c r="BA720" i="31"/>
  <c r="H720" i="31"/>
  <c r="H1584" i="31"/>
  <c r="AP1584" i="31"/>
  <c r="BA1584" i="31"/>
  <c r="BA2659" i="31"/>
  <c r="AP2659" i="31"/>
  <c r="H2659" i="31"/>
  <c r="AP767" i="31"/>
  <c r="H767" i="31"/>
  <c r="BA767" i="31"/>
  <c r="H1645" i="31"/>
  <c r="AP1645" i="31"/>
  <c r="BA1645" i="31"/>
  <c r="AP1149" i="31"/>
  <c r="H1149" i="31"/>
  <c r="BA1149" i="31"/>
  <c r="H2886" i="31"/>
  <c r="BA2886" i="31"/>
  <c r="AP2886" i="31"/>
  <c r="H976" i="31"/>
  <c r="AP976" i="31"/>
  <c r="BA976" i="31"/>
  <c r="BA1740" i="31"/>
  <c r="AP1740" i="31"/>
  <c r="H1740" i="31"/>
  <c r="H2919" i="31"/>
  <c r="BA2919" i="31"/>
  <c r="AP2919" i="31"/>
  <c r="AP1213" i="31"/>
  <c r="BA1213" i="31"/>
  <c r="H1213" i="31"/>
  <c r="AP433" i="31"/>
  <c r="BA433" i="31"/>
  <c r="H433" i="31"/>
  <c r="H1445" i="31"/>
  <c r="AP1445" i="31"/>
  <c r="BA1445" i="31"/>
  <c r="H375" i="31"/>
  <c r="BA375" i="31"/>
  <c r="AP375" i="31"/>
  <c r="H2766" i="31"/>
  <c r="AP2766" i="31"/>
  <c r="BA2766" i="31"/>
  <c r="I3533" i="31"/>
  <c r="E3533" i="31"/>
  <c r="K3533" i="31"/>
  <c r="BA3169" i="31"/>
  <c r="AP3169" i="31"/>
  <c r="H3169" i="31"/>
  <c r="AP2706" i="31"/>
  <c r="BA2706" i="31"/>
  <c r="H2706" i="31"/>
  <c r="AP1794" i="31"/>
  <c r="H1794" i="31"/>
  <c r="BA1794" i="31"/>
  <c r="H3444" i="31"/>
  <c r="BA3444" i="31"/>
  <c r="AP3444" i="31"/>
  <c r="AP1653" i="31"/>
  <c r="H1653" i="31"/>
  <c r="BA1653" i="31"/>
  <c r="H227" i="31"/>
  <c r="BA227" i="31"/>
  <c r="AP227" i="31"/>
  <c r="H393" i="31"/>
  <c r="BA393" i="31"/>
  <c r="AP393" i="31"/>
  <c r="H3267" i="31"/>
  <c r="AP3267" i="31"/>
  <c r="BA3267" i="31"/>
  <c r="BA680" i="31"/>
  <c r="AP680" i="31"/>
  <c r="H680" i="31"/>
  <c r="AP3026" i="31"/>
  <c r="H3026" i="31"/>
  <c r="BA3026" i="31"/>
  <c r="H2853" i="31"/>
  <c r="AP2853" i="31"/>
  <c r="BA2853" i="31"/>
  <c r="BA1244" i="31"/>
  <c r="H1244" i="31"/>
  <c r="AP1244" i="31"/>
  <c r="BA1410" i="31"/>
  <c r="H1410" i="31"/>
  <c r="AP1410" i="31"/>
  <c r="AP2929" i="31"/>
  <c r="H2929" i="31"/>
  <c r="BA2929" i="31"/>
  <c r="H3358" i="31"/>
  <c r="AP3358" i="31"/>
  <c r="BA3358" i="31"/>
  <c r="H86" i="31"/>
  <c r="AP86" i="31"/>
  <c r="BA86" i="31"/>
  <c r="BA3352" i="31"/>
  <c r="AP3352" i="31"/>
  <c r="H3352" i="31"/>
  <c r="AP1676" i="31"/>
  <c r="H1676" i="31"/>
  <c r="BA1676" i="31"/>
  <c r="AP38" i="31"/>
  <c r="BA38" i="31"/>
  <c r="H38" i="31"/>
  <c r="AP2786" i="31"/>
  <c r="BA2786" i="31"/>
  <c r="H2786" i="31"/>
  <c r="H3305" i="31"/>
  <c r="BA3305" i="31"/>
  <c r="AP3305" i="31"/>
  <c r="H2001" i="31"/>
  <c r="BA2001" i="31"/>
  <c r="AP2001" i="31"/>
  <c r="AP1307" i="31"/>
  <c r="H1307" i="31"/>
  <c r="BA1307" i="31"/>
  <c r="H835" i="31"/>
  <c r="AP835" i="31"/>
  <c r="BA835" i="31"/>
  <c r="E3517" i="31"/>
  <c r="H3517" i="31"/>
  <c r="H13" i="31" s="1"/>
  <c r="I3517" i="31"/>
  <c r="K3517" i="31"/>
  <c r="BA3517" i="31"/>
  <c r="AP3517" i="31"/>
  <c r="H1519" i="31"/>
  <c r="BA1519" i="31"/>
  <c r="AP1519" i="31"/>
  <c r="H700" i="31"/>
  <c r="AP700" i="31"/>
  <c r="BA700" i="31"/>
  <c r="H1145" i="31"/>
  <c r="AP1145" i="31"/>
  <c r="BA1145" i="31"/>
  <c r="H365" i="31"/>
  <c r="BA365" i="31"/>
  <c r="AP365" i="31"/>
  <c r="H586" i="31"/>
  <c r="AP586" i="31"/>
  <c r="BA586" i="31"/>
  <c r="BA981" i="31"/>
  <c r="H981" i="31"/>
  <c r="AP981" i="31"/>
  <c r="BA580" i="31"/>
  <c r="AP580" i="31"/>
  <c r="H580" i="31"/>
  <c r="BA3270" i="31"/>
  <c r="H3270" i="31"/>
  <c r="AP3270" i="31"/>
  <c r="H1615" i="31"/>
  <c r="BA1615" i="31"/>
  <c r="AP1615" i="31"/>
  <c r="AP2118" i="31"/>
  <c r="H2118" i="31"/>
  <c r="BA2118" i="31"/>
  <c r="AP3019" i="31"/>
  <c r="BA3019" i="31"/>
  <c r="H3019" i="31"/>
  <c r="H243" i="31"/>
  <c r="BA243" i="31"/>
  <c r="AP243" i="31"/>
  <c r="H642" i="31"/>
  <c r="BA642" i="31"/>
  <c r="AP642" i="31"/>
  <c r="BA3380" i="31"/>
  <c r="AP3380" i="31"/>
  <c r="H3380" i="31"/>
  <c r="H415" i="31"/>
  <c r="BA415" i="31"/>
  <c r="AP415" i="31"/>
  <c r="H1809" i="31"/>
  <c r="BA1809" i="31"/>
  <c r="AP1809" i="31"/>
  <c r="BA3451" i="31"/>
  <c r="AP3451" i="31"/>
  <c r="H3451" i="31"/>
  <c r="H747" i="31"/>
  <c r="AP747" i="31"/>
  <c r="BA747" i="31"/>
  <c r="BA919" i="31"/>
  <c r="H919" i="31"/>
  <c r="AP919" i="31"/>
  <c r="AP83" i="31"/>
  <c r="H83" i="31"/>
  <c r="BA83" i="31"/>
  <c r="H659" i="31"/>
  <c r="AP659" i="31"/>
  <c r="BA659" i="31"/>
  <c r="BA459" i="31"/>
  <c r="AP459" i="31"/>
  <c r="H459" i="31"/>
  <c r="BA762" i="31"/>
  <c r="AP762" i="31"/>
  <c r="H762" i="31"/>
  <c r="AP3259" i="31"/>
  <c r="H3259" i="31"/>
  <c r="BA3259" i="31"/>
  <c r="AP3379" i="31"/>
  <c r="BA3379" i="31"/>
  <c r="H3379" i="31"/>
  <c r="BA2789" i="31"/>
  <c r="H2789" i="31"/>
  <c r="AP2789" i="31"/>
  <c r="BA2867" i="31"/>
  <c r="AP2867" i="31"/>
  <c r="H2867" i="31"/>
  <c r="AP1268" i="31"/>
  <c r="H1268" i="31"/>
  <c r="BA1268" i="31"/>
  <c r="H2035" i="31"/>
  <c r="BA2035" i="31"/>
  <c r="AP2035" i="31"/>
  <c r="H498" i="31"/>
  <c r="AP498" i="31"/>
  <c r="BA498" i="31"/>
  <c r="AP3042" i="31"/>
  <c r="BA3042" i="31"/>
  <c r="H3042" i="31"/>
  <c r="BA1761" i="31"/>
  <c r="AP1761" i="31"/>
  <c r="H1761" i="31"/>
  <c r="AP3224" i="31"/>
  <c r="H3224" i="31"/>
  <c r="BA3224" i="31"/>
  <c r="AP94" i="31"/>
  <c r="BA94" i="31"/>
  <c r="H94" i="31"/>
  <c r="BA2779" i="31"/>
  <c r="H2779" i="31"/>
  <c r="AP2779" i="31"/>
  <c r="AP3314" i="31"/>
  <c r="BA3314" i="31"/>
  <c r="H3314" i="31"/>
  <c r="H3066" i="31"/>
  <c r="AP3066" i="31"/>
  <c r="BA3066" i="31"/>
  <c r="AP118" i="31"/>
  <c r="BA118" i="31"/>
  <c r="H118" i="31"/>
  <c r="H3274" i="31"/>
  <c r="BA3274" i="31"/>
  <c r="AP3274" i="31"/>
  <c r="H2062" i="31"/>
  <c r="BA2062" i="31"/>
  <c r="AP2062" i="31"/>
  <c r="AP2869" i="31"/>
  <c r="BA2869" i="31"/>
  <c r="H2869" i="31"/>
  <c r="AP3171" i="31"/>
  <c r="BA3171" i="31"/>
  <c r="H3171" i="31"/>
  <c r="BA1335" i="31"/>
  <c r="AP1335" i="31"/>
  <c r="H1335" i="31"/>
  <c r="H2499" i="31"/>
  <c r="AP2499" i="31"/>
  <c r="BA2499" i="31"/>
  <c r="BA1632" i="31"/>
  <c r="H1632" i="31"/>
  <c r="AP1632" i="31"/>
  <c r="H388" i="31"/>
  <c r="AP388" i="31"/>
  <c r="BA388" i="31"/>
  <c r="AP1285" i="31"/>
  <c r="H1285" i="31"/>
  <c r="BA1285" i="31"/>
  <c r="AP3049" i="31"/>
  <c r="H3049" i="31"/>
  <c r="BA3049" i="31"/>
  <c r="BA3311" i="31"/>
  <c r="AP3311" i="31"/>
  <c r="H3311" i="31"/>
  <c r="AP3028" i="31"/>
  <c r="H3028" i="31"/>
  <c r="BA3028" i="31"/>
  <c r="AP783" i="31"/>
  <c r="BA783" i="31"/>
  <c r="H783" i="31"/>
  <c r="BA3269" i="31"/>
  <c r="H3269" i="31"/>
  <c r="AP3269" i="31"/>
  <c r="BA43" i="31"/>
  <c r="AP43" i="31"/>
  <c r="H43" i="31"/>
  <c r="AP1220" i="31"/>
  <c r="BA1220" i="31"/>
  <c r="H1220" i="31"/>
  <c r="BA2433" i="31"/>
  <c r="H2433" i="31"/>
  <c r="AP2433" i="31"/>
  <c r="AP1789" i="31"/>
  <c r="H1789" i="31"/>
  <c r="BA1789" i="31"/>
  <c r="H1234" i="31"/>
  <c r="BA1234" i="31"/>
  <c r="AP1234" i="31"/>
  <c r="AP2052" i="31"/>
  <c r="H2052" i="31"/>
  <c r="BA2052" i="31"/>
  <c r="AP3236" i="31"/>
  <c r="BA3236" i="31"/>
  <c r="H3236" i="31"/>
  <c r="H1694" i="31"/>
  <c r="BA1694" i="31"/>
  <c r="AP1694" i="31"/>
  <c r="AP233" i="31"/>
  <c r="BA233" i="31"/>
  <c r="H233" i="31"/>
  <c r="AP627" i="31"/>
  <c r="BA627" i="31"/>
  <c r="H627" i="31"/>
  <c r="H2615" i="31"/>
  <c r="BA2615" i="31"/>
  <c r="AP2615" i="31"/>
  <c r="AP2314" i="31"/>
  <c r="H2314" i="31"/>
  <c r="BA2314" i="31"/>
  <c r="H1108" i="31"/>
  <c r="AP1108" i="31"/>
  <c r="BA1108" i="31"/>
  <c r="AP591" i="31"/>
  <c r="BA591" i="31"/>
  <c r="H591" i="31"/>
  <c r="AP3121" i="31"/>
  <c r="H3121" i="31"/>
  <c r="BA3121" i="31"/>
  <c r="H1148" i="31"/>
  <c r="BA1148" i="31"/>
  <c r="AP1148" i="31"/>
  <c r="BA1587" i="31"/>
  <c r="AP1587" i="31"/>
  <c r="H1587" i="31"/>
  <c r="H1841" i="31"/>
  <c r="BA1841" i="31"/>
  <c r="AP1841" i="31"/>
  <c r="AP610" i="31"/>
  <c r="BA610" i="31"/>
  <c r="H610" i="31"/>
  <c r="AP2207" i="31"/>
  <c r="BA2207" i="31"/>
  <c r="H2207" i="31"/>
  <c r="H3198" i="31"/>
  <c r="BA3198" i="31"/>
  <c r="AP3198" i="31"/>
  <c r="AP1340" i="31"/>
  <c r="H1340" i="31"/>
  <c r="BA1340" i="31"/>
  <c r="AP816" i="31"/>
  <c r="BA816" i="31"/>
  <c r="H816" i="31"/>
  <c r="H1528" i="31"/>
  <c r="AP1528" i="31"/>
  <c r="BA1528" i="31"/>
  <c r="AP802" i="31"/>
  <c r="BA802" i="31"/>
  <c r="H802" i="31"/>
  <c r="AP1097" i="31"/>
  <c r="BA1097" i="31"/>
  <c r="H1097" i="31"/>
  <c r="H2899" i="31"/>
  <c r="BA2899" i="31"/>
  <c r="AP2899" i="31"/>
  <c r="H2690" i="31"/>
  <c r="BA2690" i="31"/>
  <c r="AP2690" i="31"/>
  <c r="AP3340" i="31"/>
  <c r="H3340" i="31"/>
  <c r="BA3340" i="31"/>
  <c r="H2401" i="31"/>
  <c r="AP2401" i="31"/>
  <c r="BA2401" i="31"/>
  <c r="H1657" i="31"/>
  <c r="AP1657" i="31"/>
  <c r="BA1657" i="31"/>
  <c r="H1042" i="31"/>
  <c r="BA1042" i="31"/>
  <c r="AP1042" i="31"/>
  <c r="AP3112" i="31"/>
  <c r="BA3112" i="31"/>
  <c r="H3112" i="31"/>
  <c r="H1898" i="31"/>
  <c r="AP1898" i="31"/>
  <c r="BA1898" i="31"/>
  <c r="BA1988" i="31"/>
  <c r="AP1988" i="31"/>
  <c r="H1988" i="31"/>
  <c r="BA1727" i="31"/>
  <c r="AP1727" i="31"/>
  <c r="H1727" i="31"/>
  <c r="H917" i="31"/>
  <c r="AP917" i="31"/>
  <c r="BA917" i="31"/>
  <c r="H523" i="31"/>
  <c r="BA523" i="31"/>
  <c r="AP523" i="31"/>
  <c r="AP2026" i="31"/>
  <c r="H2026" i="31"/>
  <c r="BA2026" i="31"/>
  <c r="H1543" i="31"/>
  <c r="BA1543" i="31"/>
  <c r="AP1543" i="31"/>
  <c r="H957" i="31"/>
  <c r="BA957" i="31"/>
  <c r="AP957" i="31"/>
  <c r="BA854" i="31"/>
  <c r="AP854" i="31"/>
  <c r="H854" i="31"/>
  <c r="BA377" i="31"/>
  <c r="AP377" i="31"/>
  <c r="H377" i="31"/>
  <c r="AP1038" i="31"/>
  <c r="H1038" i="31"/>
  <c r="BA1038" i="31"/>
  <c r="BA2633" i="31"/>
  <c r="AP2633" i="31"/>
  <c r="H2633" i="31"/>
  <c r="AP3071" i="31"/>
  <c r="BA3071" i="31"/>
  <c r="H3071" i="31"/>
  <c r="E3529" i="31"/>
  <c r="AQ3529" i="31" a="1"/>
  <c r="AQ3529" i="31" s="1"/>
  <c r="I3529" i="31"/>
  <c r="K3529" i="31"/>
  <c r="P3529" i="31" a="1"/>
  <c r="P3529" i="31" s="1"/>
  <c r="M3529" i="31" a="1"/>
  <c r="M3529" i="31" s="1"/>
  <c r="AP2285" i="31"/>
  <c r="BA2285" i="31"/>
  <c r="H2285" i="31"/>
  <c r="AP1919" i="31"/>
  <c r="H1919" i="31"/>
  <c r="BA1919" i="31"/>
  <c r="BA589" i="31"/>
  <c r="H589" i="31"/>
  <c r="AP589" i="31"/>
  <c r="AP442" i="31"/>
  <c r="H442" i="31"/>
  <c r="BA442" i="31"/>
  <c r="AP3177" i="31"/>
  <c r="BA3177" i="31"/>
  <c r="H3177" i="31"/>
  <c r="H3030" i="31"/>
  <c r="AP3030" i="31"/>
  <c r="BA3030" i="31"/>
  <c r="H2873" i="31"/>
  <c r="AP2873" i="31"/>
  <c r="BA2873" i="31"/>
  <c r="AP2292" i="31"/>
  <c r="H2292" i="31"/>
  <c r="BA2292" i="31"/>
  <c r="AP3342" i="31"/>
  <c r="BA3342" i="31"/>
  <c r="H3342" i="31"/>
  <c r="AP53" i="31"/>
  <c r="BA53" i="31"/>
  <c r="H53" i="31"/>
  <c r="BA2479" i="31"/>
  <c r="AP2479" i="31"/>
  <c r="H2479" i="31"/>
  <c r="AP682" i="31"/>
  <c r="BA682" i="31"/>
  <c r="H682" i="31"/>
  <c r="H3395" i="31"/>
  <c r="BA3395" i="31"/>
  <c r="AP3395" i="31"/>
  <c r="BA963" i="31"/>
  <c r="AP963" i="31"/>
  <c r="H963" i="31"/>
  <c r="BA2634" i="31"/>
  <c r="AP2634" i="31"/>
  <c r="H2634" i="31"/>
  <c r="AP526" i="31"/>
  <c r="H526" i="31"/>
  <c r="BA526" i="31"/>
  <c r="AP1618" i="31"/>
  <c r="BA1618" i="31"/>
  <c r="H1618" i="31"/>
  <c r="AP2927" i="31"/>
  <c r="BA2927" i="31"/>
  <c r="H2927" i="31"/>
  <c r="BA819" i="31"/>
  <c r="AP819" i="31"/>
  <c r="H819" i="31"/>
  <c r="H403" i="31"/>
  <c r="BA403" i="31"/>
  <c r="AP403" i="31"/>
  <c r="BA338" i="31"/>
  <c r="AP338" i="31"/>
  <c r="H338" i="31"/>
  <c r="AP435" i="31"/>
  <c r="H435" i="31"/>
  <c r="BA435" i="31"/>
  <c r="AP1144" i="31"/>
  <c r="BA1144" i="31"/>
  <c r="H1144" i="31"/>
  <c r="AP1382" i="31"/>
  <c r="H1382" i="31"/>
  <c r="BA1382" i="31"/>
  <c r="AP3228" i="31"/>
  <c r="BA3228" i="31"/>
  <c r="H3228" i="31"/>
  <c r="H3176" i="31"/>
  <c r="BA3176" i="31"/>
  <c r="AP3176" i="31"/>
  <c r="H1570" i="31"/>
  <c r="BA1570" i="31"/>
  <c r="AP1570" i="31"/>
  <c r="H524" i="31"/>
  <c r="AP524" i="31"/>
  <c r="BA524" i="31"/>
  <c r="H809" i="31"/>
  <c r="AP809" i="31"/>
  <c r="BA809" i="31"/>
  <c r="H3495" i="31"/>
  <c r="AP3495" i="31"/>
  <c r="BA3495" i="31"/>
  <c r="BA648" i="31"/>
  <c r="H648" i="31"/>
  <c r="AP648" i="31"/>
  <c r="H3102" i="31"/>
  <c r="BA3102" i="31"/>
  <c r="AP3102" i="31"/>
  <c r="H2074" i="31"/>
  <c r="BA2074" i="31"/>
  <c r="AP2074" i="31"/>
  <c r="AP3245" i="31"/>
  <c r="H3245" i="31"/>
  <c r="BA3245" i="31"/>
  <c r="AP3478" i="31"/>
  <c r="H3478" i="31"/>
  <c r="BA3478" i="31"/>
  <c r="BA211" i="31"/>
  <c r="AP211" i="31"/>
  <c r="H211" i="31"/>
  <c r="H3310" i="31"/>
  <c r="BA3310" i="31"/>
  <c r="AP3310" i="31"/>
  <c r="H647" i="31"/>
  <c r="BA647" i="31"/>
  <c r="AP647" i="31"/>
  <c r="AP1626" i="31"/>
  <c r="BA1626" i="31"/>
  <c r="H1626" i="31"/>
  <c r="AP3461" i="31"/>
  <c r="H3461" i="31"/>
  <c r="BA3461" i="31"/>
  <c r="BA2200" i="31"/>
  <c r="H2200" i="31"/>
  <c r="AP2200" i="31"/>
  <c r="H2910" i="31"/>
  <c r="AP2910" i="31"/>
  <c r="BA2910" i="31"/>
  <c r="BA865" i="31"/>
  <c r="AP865" i="31"/>
  <c r="H865" i="31"/>
  <c r="AP3246" i="31"/>
  <c r="H3246" i="31"/>
  <c r="BA3246" i="31"/>
  <c r="AP2162" i="31"/>
  <c r="BA2162" i="31"/>
  <c r="H2162" i="31"/>
  <c r="AP3170" i="31"/>
  <c r="BA3170" i="31"/>
  <c r="H3170" i="31"/>
  <c r="H407" i="31"/>
  <c r="BA407" i="31"/>
  <c r="AP407" i="31"/>
  <c r="AP3232" i="31"/>
  <c r="H3232" i="31"/>
  <c r="BA3232" i="31"/>
  <c r="BA2036" i="31"/>
  <c r="AP2036" i="31"/>
  <c r="H2036" i="31"/>
  <c r="AP142" i="31"/>
  <c r="BA142" i="31"/>
  <c r="H142" i="31"/>
  <c r="BA3265" i="31"/>
  <c r="AP3265" i="31"/>
  <c r="H3265" i="31"/>
  <c r="H832" i="31"/>
  <c r="AP832" i="31"/>
  <c r="BA832" i="31"/>
  <c r="AP2669" i="31"/>
  <c r="BA2669" i="31"/>
  <c r="H2669" i="31"/>
  <c r="BA2630" i="31"/>
  <c r="AP2630" i="31"/>
  <c r="H2630" i="31"/>
  <c r="H2434" i="31"/>
  <c r="BA2434" i="31"/>
  <c r="AP2434" i="31"/>
  <c r="AP1983" i="31"/>
  <c r="H1983" i="31"/>
  <c r="BA1983" i="31"/>
  <c r="AP2473" i="31"/>
  <c r="BA2473" i="31"/>
  <c r="H2473" i="31"/>
  <c r="H1232" i="31"/>
  <c r="AP1232" i="31"/>
  <c r="BA1232" i="31"/>
  <c r="AP773" i="31"/>
  <c r="BA773" i="31"/>
  <c r="H773" i="31"/>
  <c r="BA2358" i="31"/>
  <c r="AP2358" i="31"/>
  <c r="H2358" i="31"/>
  <c r="AP1874" i="31"/>
  <c r="BA1874" i="31"/>
  <c r="H1874" i="31"/>
  <c r="AP1463" i="31"/>
  <c r="BA1463" i="31"/>
  <c r="H1463" i="31"/>
  <c r="AP177" i="31"/>
  <c r="H177" i="31"/>
  <c r="BA177" i="31"/>
  <c r="AP55" i="31"/>
  <c r="H55" i="31"/>
  <c r="BA55" i="31"/>
  <c r="AP1451" i="31"/>
  <c r="H1451" i="31"/>
  <c r="BA1451" i="31"/>
  <c r="BA2150" i="31"/>
  <c r="H2150" i="31"/>
  <c r="AP2150" i="31"/>
  <c r="BA1704" i="31"/>
  <c r="AP1704" i="31"/>
  <c r="H1704" i="31"/>
  <c r="BA1595" i="31"/>
  <c r="H1595" i="31"/>
  <c r="AP1595" i="31"/>
  <c r="BA2171" i="31"/>
  <c r="AP2171" i="31"/>
  <c r="H2171" i="31"/>
  <c r="H2572" i="31"/>
  <c r="AP2572" i="31"/>
  <c r="BA2572" i="31"/>
  <c r="BA2866" i="31"/>
  <c r="H2866" i="31"/>
  <c r="AP2866" i="31"/>
  <c r="H2579" i="31"/>
  <c r="AP2579" i="31"/>
  <c r="BA2579" i="31"/>
  <c r="BA1752" i="31"/>
  <c r="H1752" i="31"/>
  <c r="AP1752" i="31"/>
  <c r="H1438" i="31"/>
  <c r="BA1438" i="31"/>
  <c r="AP1438" i="31"/>
  <c r="AP2022" i="31"/>
  <c r="BA2022" i="31"/>
  <c r="H2022" i="31"/>
  <c r="H111" i="31"/>
  <c r="AP111" i="31"/>
  <c r="BA111" i="31"/>
  <c r="BA2999" i="31"/>
  <c r="H2999" i="31"/>
  <c r="AP2999" i="31"/>
  <c r="BA2031" i="31"/>
  <c r="H2031" i="31"/>
  <c r="AP2031" i="31"/>
  <c r="H3374" i="31"/>
  <c r="BA3374" i="31"/>
  <c r="AP3374" i="31"/>
  <c r="CI18" i="10"/>
  <c r="CJ18" i="10"/>
  <c r="BZ18" i="10"/>
  <c r="CB18" i="10"/>
  <c r="CH13" i="10"/>
  <c r="BW18" i="10"/>
  <c r="HZ19" i="10"/>
  <c r="HZ20" i="10" s="1"/>
  <c r="HV19" i="10"/>
  <c r="HV20" i="10" s="1"/>
  <c r="HL19" i="10"/>
  <c r="HL20" i="10" s="1"/>
  <c r="GV19" i="10"/>
  <c r="GV20" i="10" s="1"/>
  <c r="HN19" i="10"/>
  <c r="HN20" i="10" s="1"/>
  <c r="H3449" i="31"/>
  <c r="BA3449" i="31"/>
  <c r="AP3449" i="31"/>
  <c r="H710" i="31"/>
  <c r="BA710" i="31"/>
  <c r="AP710" i="31"/>
  <c r="H2063" i="31"/>
  <c r="AP2063" i="31"/>
  <c r="BA2063" i="31"/>
  <c r="H1142" i="31"/>
  <c r="BA1142" i="31"/>
  <c r="AP1142" i="31"/>
  <c r="H1935" i="31"/>
  <c r="BA1935" i="31"/>
  <c r="AP1935" i="31"/>
  <c r="H1458" i="31"/>
  <c r="AP1458" i="31"/>
  <c r="BA1458" i="31"/>
  <c r="AP2947" i="31"/>
  <c r="BA2947" i="31"/>
  <c r="H2947" i="31"/>
  <c r="H2678" i="31"/>
  <c r="AP2678" i="31"/>
  <c r="BA2678" i="31"/>
  <c r="H2890" i="31"/>
  <c r="AP2890" i="31"/>
  <c r="BA2890" i="31"/>
  <c r="AP2459" i="31"/>
  <c r="H2459" i="31"/>
  <c r="BA2459" i="31"/>
  <c r="H81" i="31"/>
  <c r="AP81" i="31"/>
  <c r="BA81" i="31"/>
  <c r="BA2280" i="31"/>
  <c r="H2280" i="31"/>
  <c r="AP2280" i="31"/>
  <c r="BA2410" i="31"/>
  <c r="H2410" i="31"/>
  <c r="AP2410" i="31"/>
  <c r="AP3412" i="31"/>
  <c r="H3412" i="31"/>
  <c r="BA3412" i="31"/>
  <c r="H134" i="31"/>
  <c r="AP134" i="31"/>
  <c r="BA134" i="31"/>
  <c r="H793" i="31"/>
  <c r="AP793" i="31"/>
  <c r="BA793" i="31"/>
  <c r="H2811" i="31"/>
  <c r="AP2811" i="31"/>
  <c r="BA2811" i="31"/>
  <c r="BA1068" i="31"/>
  <c r="AP1068" i="31"/>
  <c r="H1068" i="31"/>
  <c r="H3238" i="31"/>
  <c r="BA3238" i="31"/>
  <c r="AP3238" i="31"/>
  <c r="AP566" i="31"/>
  <c r="BA566" i="31"/>
  <c r="H566" i="31"/>
  <c r="BA1320" i="31"/>
  <c r="AP1320" i="31"/>
  <c r="H1320" i="31"/>
  <c r="H3323" i="31"/>
  <c r="BA3323" i="31"/>
  <c r="AP3323" i="31"/>
  <c r="H2283" i="31"/>
  <c r="BA2283" i="31"/>
  <c r="AP2283" i="31"/>
  <c r="BA3326" i="31"/>
  <c r="AP3326" i="31"/>
  <c r="H3326" i="31"/>
  <c r="H2411" i="31"/>
  <c r="AP2411" i="31"/>
  <c r="BA2411" i="31"/>
  <c r="H972" i="31"/>
  <c r="AP972" i="31"/>
  <c r="BA972" i="31"/>
  <c r="AP637" i="31"/>
  <c r="BA637" i="31"/>
  <c r="H637" i="31"/>
  <c r="BA3137" i="31"/>
  <c r="AP3137" i="31"/>
  <c r="H3137" i="31"/>
  <c r="AP1237" i="31"/>
  <c r="H1237" i="31"/>
  <c r="BA1237" i="31"/>
  <c r="H2442" i="31"/>
  <c r="BA2442" i="31"/>
  <c r="AP2442" i="31"/>
  <c r="BA3034" i="31"/>
  <c r="H3034" i="31"/>
  <c r="AP3034" i="31"/>
  <c r="H29" i="31"/>
  <c r="BA29" i="31"/>
  <c r="AP29" i="31"/>
  <c r="H978" i="31"/>
  <c r="BA978" i="31"/>
  <c r="AP978" i="31"/>
  <c r="AP2954" i="31"/>
  <c r="H2954" i="31"/>
  <c r="BA2954" i="31"/>
  <c r="AP137" i="31"/>
  <c r="BA137" i="31"/>
  <c r="H137" i="31"/>
  <c r="BA2825" i="31"/>
  <c r="AP2825" i="31"/>
  <c r="H2825" i="31"/>
  <c r="BA1582" i="31"/>
  <c r="H1582" i="31"/>
  <c r="AP1582" i="31"/>
  <c r="H438" i="31"/>
  <c r="AP438" i="31"/>
  <c r="BA438" i="31"/>
  <c r="H877" i="31"/>
  <c r="BA877" i="31"/>
  <c r="AP877" i="31"/>
  <c r="BA1837" i="31"/>
  <c r="AP1837" i="31"/>
  <c r="H1837" i="31"/>
  <c r="BA1032" i="31"/>
  <c r="AP1032" i="31"/>
  <c r="H1032" i="31"/>
  <c r="AP414" i="31"/>
  <c r="H414" i="31"/>
  <c r="BA414" i="31"/>
  <c r="AP3439" i="31"/>
  <c r="H3439" i="31"/>
  <c r="BA3439" i="31"/>
  <c r="H2083" i="31"/>
  <c r="BA2083" i="31"/>
  <c r="AP2083" i="31"/>
  <c r="AP2388" i="31"/>
  <c r="H2388" i="31"/>
  <c r="BA2388" i="31"/>
  <c r="BA146" i="31"/>
  <c r="H146" i="31"/>
  <c r="AP146" i="31"/>
  <c r="H40" i="31"/>
  <c r="AP40" i="31"/>
  <c r="BA40" i="31"/>
  <c r="AP3277" i="31"/>
  <c r="BA3277" i="31"/>
  <c r="H3277" i="31"/>
  <c r="BA1113" i="31"/>
  <c r="AP1113" i="31"/>
  <c r="H1113" i="31"/>
  <c r="H2936" i="31"/>
  <c r="AP2936" i="31"/>
  <c r="BA2936" i="31"/>
  <c r="AP3300" i="31"/>
  <c r="BA3300" i="31"/>
  <c r="H3300" i="31"/>
  <c r="H2948" i="31"/>
  <c r="AP2948" i="31"/>
  <c r="BA2948" i="31"/>
  <c r="AP1433" i="31"/>
  <c r="BA1433" i="31"/>
  <c r="H1433" i="31"/>
  <c r="BA411" i="31"/>
  <c r="H411" i="31"/>
  <c r="AP411" i="31"/>
  <c r="I3519" i="31"/>
  <c r="K3519" i="31"/>
  <c r="AQ3519" i="31" a="1"/>
  <c r="AQ3519" i="31" s="1"/>
  <c r="E3519" i="31"/>
  <c r="H1575" i="31"/>
  <c r="BA1575" i="31"/>
  <c r="AP1575" i="31"/>
  <c r="H1031" i="31"/>
  <c r="BA1031" i="31"/>
  <c r="AP1031" i="31"/>
  <c r="BA3072" i="31"/>
  <c r="H3072" i="31"/>
  <c r="AP3072" i="31"/>
  <c r="BA1709" i="31"/>
  <c r="AP1709" i="31"/>
  <c r="H1709" i="31"/>
  <c r="H2888" i="31"/>
  <c r="AP2888" i="31"/>
  <c r="BA2888" i="31"/>
  <c r="AP778" i="31"/>
  <c r="BA778" i="31"/>
  <c r="H778" i="31"/>
  <c r="AP1376" i="31"/>
  <c r="H1376" i="31"/>
  <c r="BA1376" i="31"/>
  <c r="BA2500" i="31"/>
  <c r="H2500" i="31"/>
  <c r="AP2500" i="31"/>
  <c r="BA244" i="31"/>
  <c r="H244" i="31"/>
  <c r="AP244" i="31"/>
  <c r="BA397" i="31"/>
  <c r="AP397" i="31"/>
  <c r="H397" i="31"/>
  <c r="BA1043" i="31"/>
  <c r="AP1043" i="31"/>
  <c r="H1043" i="31"/>
  <c r="H376" i="31"/>
  <c r="BA376" i="31"/>
  <c r="AP376" i="31"/>
  <c r="AP1081" i="31"/>
  <c r="H1081" i="31"/>
  <c r="BA1081" i="31"/>
  <c r="H312" i="31"/>
  <c r="BA312" i="31"/>
  <c r="AP312" i="31"/>
  <c r="H1820" i="31"/>
  <c r="AP1820" i="31"/>
  <c r="BA1820" i="31"/>
  <c r="H2635" i="31"/>
  <c r="AP2635" i="31"/>
  <c r="BA2635" i="31"/>
  <c r="BA2187" i="31"/>
  <c r="AP2187" i="31"/>
  <c r="H2187" i="31"/>
  <c r="H2525" i="31"/>
  <c r="AP2525" i="31"/>
  <c r="BA2525" i="31"/>
  <c r="H48" i="31"/>
  <c r="BA48" i="31"/>
  <c r="AP48" i="31"/>
  <c r="H1627" i="31"/>
  <c r="AP1627" i="31"/>
  <c r="BA1627" i="31"/>
  <c r="BA107" i="31"/>
  <c r="H107" i="31"/>
  <c r="AP107" i="31"/>
  <c r="H1026" i="31"/>
  <c r="BA1026" i="31"/>
  <c r="AP1026" i="31"/>
  <c r="H1731" i="31"/>
  <c r="AP1731" i="31"/>
  <c r="BA1731" i="31"/>
  <c r="H1655" i="31"/>
  <c r="BA1655" i="31"/>
  <c r="AP1655" i="31"/>
  <c r="BA1352" i="31"/>
  <c r="H1352" i="31"/>
  <c r="AP1352" i="31"/>
  <c r="AP1354" i="31"/>
  <c r="BA1354" i="31"/>
  <c r="H1354" i="31"/>
  <c r="BA457" i="31"/>
  <c r="AP457" i="31"/>
  <c r="H457" i="31"/>
  <c r="BA1094" i="31"/>
  <c r="H1094" i="31"/>
  <c r="AP1094" i="31"/>
  <c r="BA1400" i="31"/>
  <c r="H1400" i="31"/>
  <c r="AP1400" i="31"/>
  <c r="AP1756" i="31"/>
  <c r="BA1756" i="31"/>
  <c r="H1756" i="31"/>
  <c r="BA727" i="31"/>
  <c r="AP727" i="31"/>
  <c r="H727" i="31"/>
  <c r="BA2742" i="31"/>
  <c r="H2742" i="31"/>
  <c r="AP2742" i="31"/>
  <c r="AP194" i="31"/>
  <c r="BA194" i="31"/>
  <c r="H194" i="31"/>
  <c r="BA3399" i="31"/>
  <c r="H3399" i="31"/>
  <c r="AP3399" i="31"/>
  <c r="H2166" i="31"/>
  <c r="AP2166" i="31"/>
  <c r="BA2166" i="31"/>
  <c r="H557" i="31"/>
  <c r="AP557" i="31"/>
  <c r="BA557" i="31"/>
  <c r="AP3200" i="31"/>
  <c r="H3200" i="31"/>
  <c r="BA3200" i="31"/>
  <c r="H3272" i="31"/>
  <c r="BA3272" i="31"/>
  <c r="AP3272" i="31"/>
  <c r="AP2186" i="31"/>
  <c r="BA2186" i="31"/>
  <c r="H2186" i="31"/>
  <c r="H955" i="31"/>
  <c r="BA955" i="31"/>
  <c r="AP955" i="31"/>
  <c r="AP2258" i="31"/>
  <c r="H2258" i="31"/>
  <c r="BA2258" i="31"/>
  <c r="H771" i="31"/>
  <c r="AP771" i="31"/>
  <c r="BA771" i="31"/>
  <c r="AP1509" i="31"/>
  <c r="BA1509" i="31"/>
  <c r="H1509" i="31"/>
  <c r="H2952" i="31"/>
  <c r="AP2952" i="31"/>
  <c r="BA2952" i="31"/>
  <c r="H1314" i="31"/>
  <c r="BA1314" i="31"/>
  <c r="AP1314" i="31"/>
  <c r="H1992" i="31"/>
  <c r="BA1992" i="31"/>
  <c r="AP1992" i="31"/>
  <c r="BA506" i="31"/>
  <c r="H506" i="31"/>
  <c r="AP506" i="31"/>
  <c r="AP1554" i="31"/>
  <c r="BA1554" i="31"/>
  <c r="H1554" i="31"/>
  <c r="H327" i="31"/>
  <c r="BA327" i="31"/>
  <c r="AP327" i="31"/>
  <c r="BA3172" i="31"/>
  <c r="AP3172" i="31"/>
  <c r="H3172" i="31"/>
  <c r="H3006" i="31"/>
  <c r="BA3006" i="31"/>
  <c r="AP3006" i="31"/>
  <c r="BA784" i="31"/>
  <c r="AP784" i="31"/>
  <c r="H784" i="31"/>
  <c r="AP1337" i="31"/>
  <c r="H1337" i="31"/>
  <c r="BA1337" i="31"/>
  <c r="BA541" i="31"/>
  <c r="AP541" i="31"/>
  <c r="H541" i="31"/>
  <c r="AP1161" i="31"/>
  <c r="BA1161" i="31"/>
  <c r="H1161" i="31"/>
  <c r="AP1114" i="31"/>
  <c r="H1114" i="31"/>
  <c r="BA1114" i="31"/>
  <c r="AP947" i="31"/>
  <c r="H947" i="31"/>
  <c r="BA947" i="31"/>
  <c r="H774" i="31"/>
  <c r="AP774" i="31"/>
  <c r="BA774" i="31"/>
  <c r="BA576" i="31"/>
  <c r="AP576" i="31"/>
  <c r="H576" i="31"/>
  <c r="AP3065" i="31"/>
  <c r="H3065" i="31"/>
  <c r="BA3065" i="31"/>
  <c r="AP2396" i="31"/>
  <c r="H2396" i="31"/>
  <c r="BA2396" i="31"/>
  <c r="AP3046" i="31"/>
  <c r="BA3046" i="31"/>
  <c r="H3046" i="31"/>
  <c r="AP85" i="31"/>
  <c r="BA85" i="31"/>
  <c r="H85" i="31"/>
  <c r="BA1811" i="31"/>
  <c r="H1811" i="31"/>
  <c r="AP1811" i="31"/>
  <c r="BA2963" i="31"/>
  <c r="AP2963" i="31"/>
  <c r="H2963" i="31"/>
  <c r="H520" i="31"/>
  <c r="BA520" i="31"/>
  <c r="AP520" i="31"/>
  <c r="AP1054" i="31"/>
  <c r="H1054" i="31"/>
  <c r="BA1054" i="31"/>
  <c r="H1300" i="31"/>
  <c r="AP1300" i="31"/>
  <c r="BA1300" i="31"/>
  <c r="H115" i="31"/>
  <c r="AP115" i="31"/>
  <c r="BA115" i="31"/>
  <c r="AP2058" i="31"/>
  <c r="BA2058" i="31"/>
  <c r="H2058" i="31"/>
  <c r="BA2281" i="31"/>
  <c r="H2281" i="31"/>
  <c r="AP2281" i="31"/>
  <c r="BA2033" i="31"/>
  <c r="H2033" i="31"/>
  <c r="AP2033" i="31"/>
  <c r="H421" i="31"/>
  <c r="BA421" i="31"/>
  <c r="AP421" i="31"/>
  <c r="BA2803" i="31"/>
  <c r="H2803" i="31"/>
  <c r="AP2803" i="31"/>
  <c r="BA2946" i="31"/>
  <c r="AP2946" i="31"/>
  <c r="H2946" i="31"/>
  <c r="H948" i="31"/>
  <c r="AP948" i="31"/>
  <c r="BA948" i="31"/>
  <c r="BA2912" i="31"/>
  <c r="AP2912" i="31"/>
  <c r="H2912" i="31"/>
  <c r="BA975" i="31"/>
  <c r="AP975" i="31"/>
  <c r="H975" i="31"/>
  <c r="H2377" i="31"/>
  <c r="BA2377" i="31"/>
  <c r="AP2377" i="31"/>
  <c r="BA3207" i="31"/>
  <c r="AP3207" i="31"/>
  <c r="H3207" i="31"/>
  <c r="AP2202" i="31"/>
  <c r="BA2202" i="31"/>
  <c r="H2202" i="31"/>
  <c r="BA3484" i="31"/>
  <c r="AP3484" i="31"/>
  <c r="H3484" i="31"/>
  <c r="BA385" i="31"/>
  <c r="AP385" i="31"/>
  <c r="H385" i="31"/>
  <c r="H3010" i="31"/>
  <c r="BA3010" i="31"/>
  <c r="AP3010" i="31"/>
  <c r="H1688" i="31"/>
  <c r="BA1688" i="31"/>
  <c r="AP1688" i="31"/>
  <c r="AP1328" i="31"/>
  <c r="H1328" i="31"/>
  <c r="BA1328" i="31"/>
  <c r="H1845" i="31"/>
  <c r="AP1845" i="31"/>
  <c r="BA1845" i="31"/>
  <c r="H1371" i="31"/>
  <c r="AP1371" i="31"/>
  <c r="BA1371" i="31"/>
  <c r="H964" i="31"/>
  <c r="AP964" i="31"/>
  <c r="BA964" i="31"/>
  <c r="BA1870" i="31"/>
  <c r="H1870" i="31"/>
  <c r="AP1870" i="31"/>
  <c r="BA833" i="31"/>
  <c r="AP833" i="31"/>
  <c r="H833" i="31"/>
  <c r="BA2995" i="31"/>
  <c r="AP2995" i="31"/>
  <c r="H2995" i="31"/>
  <c r="BA1259" i="31"/>
  <c r="AP1259" i="31"/>
  <c r="H1259" i="31"/>
  <c r="AP1985" i="31"/>
  <c r="H1985" i="31"/>
  <c r="BA1985" i="31"/>
  <c r="BA1927" i="31"/>
  <c r="AP1927" i="31"/>
  <c r="H1927" i="31"/>
  <c r="BA1135" i="31"/>
  <c r="AP1135" i="31"/>
  <c r="H1135" i="31"/>
  <c r="BA216" i="31"/>
  <c r="AP216" i="31"/>
  <c r="H216" i="31"/>
  <c r="AP422" i="31"/>
  <c r="H422" i="31"/>
  <c r="BA422" i="31"/>
  <c r="AP2783" i="31"/>
  <c r="BA2783" i="31"/>
  <c r="H2783" i="31"/>
  <c r="AP2385" i="31"/>
  <c r="H2385" i="31"/>
  <c r="BA2385" i="31"/>
  <c r="AP24" i="31"/>
  <c r="H24" i="31"/>
  <c r="BA24" i="31"/>
  <c r="BA2161" i="31"/>
  <c r="H2161" i="31"/>
  <c r="AP2161" i="31"/>
  <c r="BA1242" i="31"/>
  <c r="H1242" i="31"/>
  <c r="AP1242" i="31"/>
  <c r="H3366" i="31"/>
  <c r="AP3366" i="31"/>
  <c r="BA3366" i="31"/>
  <c r="AP3362" i="31"/>
  <c r="H3362" i="31"/>
  <c r="BA3362" i="31"/>
  <c r="AP499" i="31"/>
  <c r="H499" i="31"/>
  <c r="BA499" i="31"/>
  <c r="AP900" i="31"/>
  <c r="H900" i="31"/>
  <c r="BA900" i="31"/>
  <c r="H458" i="31"/>
  <c r="AP458" i="31"/>
  <c r="BA458" i="31"/>
  <c r="BA1716" i="31"/>
  <c r="AP1716" i="31"/>
  <c r="H1716" i="31"/>
  <c r="BA1813" i="31"/>
  <c r="AP1813" i="31"/>
  <c r="H1813" i="31"/>
  <c r="AP2250" i="31"/>
  <c r="H2250" i="31"/>
  <c r="BA2250" i="31"/>
  <c r="H3512" i="31"/>
  <c r="BA3512" i="31"/>
  <c r="AP3512" i="31"/>
  <c r="BA477" i="31"/>
  <c r="AP477" i="31"/>
  <c r="H477" i="31"/>
  <c r="BA1294" i="31"/>
  <c r="AP1294" i="31"/>
  <c r="H1294" i="31"/>
  <c r="BA2716" i="31"/>
  <c r="H2716" i="31"/>
  <c r="AP2716" i="31"/>
  <c r="H2306" i="31"/>
  <c r="BA2306" i="31"/>
  <c r="AP2306" i="31"/>
  <c r="AP3479" i="31"/>
  <c r="H3479" i="31"/>
  <c r="BA3479" i="31"/>
  <c r="AP2638" i="31"/>
  <c r="BA2638" i="31"/>
  <c r="H2638" i="31"/>
  <c r="BA2808" i="31"/>
  <c r="H2808" i="31"/>
  <c r="AP2808" i="31"/>
  <c r="H2828" i="31"/>
  <c r="AP2828" i="31"/>
  <c r="BA2828" i="31"/>
  <c r="AP3100" i="31"/>
  <c r="H3100" i="31"/>
  <c r="BA3100" i="31"/>
  <c r="AP3462" i="31"/>
  <c r="H3462" i="31"/>
  <c r="BA3462" i="31"/>
  <c r="H1959" i="31"/>
  <c r="BA1959" i="31"/>
  <c r="AP1959" i="31"/>
  <c r="BA3104" i="31"/>
  <c r="AP3104" i="31"/>
  <c r="H3104" i="31"/>
  <c r="BA1524" i="31"/>
  <c r="H1524" i="31"/>
  <c r="AP1524" i="31"/>
  <c r="BA1239" i="31"/>
  <c r="AP1239" i="31"/>
  <c r="H1239" i="31"/>
  <c r="BA775" i="31"/>
  <c r="H775" i="31"/>
  <c r="AP775" i="31"/>
  <c r="AP2744" i="31"/>
  <c r="BA2744" i="31"/>
  <c r="H2744" i="31"/>
  <c r="BA1365" i="31"/>
  <c r="AP1365" i="31"/>
  <c r="H1365" i="31"/>
  <c r="H991" i="31"/>
  <c r="BA991" i="31"/>
  <c r="AP991" i="31"/>
  <c r="BA59" i="31"/>
  <c r="AP59" i="31"/>
  <c r="H59" i="31"/>
  <c r="H347" i="31"/>
  <c r="AP347" i="31"/>
  <c r="BA347" i="31"/>
  <c r="BA679" i="31"/>
  <c r="H679" i="31"/>
  <c r="AP679" i="31"/>
  <c r="BA173" i="31"/>
  <c r="AP173" i="31"/>
  <c r="H173" i="31"/>
  <c r="BA2586" i="31"/>
  <c r="AP2586" i="31"/>
  <c r="H2586" i="31"/>
  <c r="BA1962" i="31"/>
  <c r="AP1962" i="31"/>
  <c r="H1962" i="31"/>
  <c r="BA1892" i="31"/>
  <c r="H1892" i="31"/>
  <c r="AP1892" i="31"/>
  <c r="AP738" i="31"/>
  <c r="H738" i="31"/>
  <c r="BA738" i="31"/>
  <c r="BA485" i="31"/>
  <c r="AP485" i="31"/>
  <c r="H485" i="31"/>
  <c r="BA904" i="31"/>
  <c r="H904" i="31"/>
  <c r="AP904" i="31"/>
  <c r="H1453" i="31"/>
  <c r="BA1453" i="31"/>
  <c r="AP1453" i="31"/>
  <c r="AP3147" i="31"/>
  <c r="H3147" i="31"/>
  <c r="BA3147" i="31"/>
  <c r="H3426" i="31"/>
  <c r="BA3426" i="31"/>
  <c r="AP3426" i="31"/>
  <c r="AP1913" i="31"/>
  <c r="BA1913" i="31"/>
  <c r="H1913" i="31"/>
  <c r="BA141" i="31"/>
  <c r="AP141" i="31"/>
  <c r="H141" i="31"/>
  <c r="H1864" i="31"/>
  <c r="BA1864" i="31"/>
  <c r="AP1864" i="31"/>
  <c r="AP1531" i="31"/>
  <c r="BA1531" i="31"/>
  <c r="H1531" i="31"/>
  <c r="AP1312" i="31"/>
  <c r="BA1312" i="31"/>
  <c r="H1312" i="31"/>
  <c r="H1502" i="31"/>
  <c r="BA1502" i="31"/>
  <c r="AP1502" i="31"/>
  <c r="AP2214" i="31"/>
  <c r="H2214" i="31"/>
  <c r="BA2214" i="31"/>
  <c r="AP2588" i="31"/>
  <c r="H2588" i="31"/>
  <c r="BA2588" i="31"/>
  <c r="H234" i="31"/>
  <c r="BA234" i="31"/>
  <c r="AP234" i="31"/>
  <c r="AP1194" i="31"/>
  <c r="H1194" i="31"/>
  <c r="BA1194" i="31"/>
  <c r="AP1444" i="31"/>
  <c r="BA1444" i="31"/>
  <c r="H1444" i="31"/>
  <c r="BA2791" i="31"/>
  <c r="AP2791" i="31"/>
  <c r="H2791" i="31"/>
  <c r="AP3431" i="31"/>
  <c r="H3431" i="31"/>
  <c r="BA3431" i="31"/>
  <c r="H61" i="31"/>
  <c r="BA61" i="31"/>
  <c r="AP61" i="31"/>
  <c r="BA811" i="31"/>
  <c r="AP811" i="31"/>
  <c r="H811" i="31"/>
  <c r="AP1375" i="31"/>
  <c r="H1375" i="31"/>
  <c r="BA1375" i="31"/>
  <c r="H449" i="31"/>
  <c r="AP449" i="31"/>
  <c r="BA449" i="31"/>
  <c r="BA2061" i="31"/>
  <c r="H2061" i="31"/>
  <c r="AP2061" i="31"/>
  <c r="AP2456" i="31"/>
  <c r="BA2456" i="31"/>
  <c r="H2456" i="31"/>
  <c r="H2749" i="31"/>
  <c r="AP2749" i="31"/>
  <c r="BA2749" i="31"/>
  <c r="H445" i="31"/>
  <c r="BA445" i="31"/>
  <c r="AP445" i="31"/>
  <c r="H1852" i="31"/>
  <c r="AP1852" i="31"/>
  <c r="BA1852" i="31"/>
  <c r="BA1192" i="31"/>
  <c r="H1192" i="31"/>
  <c r="AP1192" i="31"/>
  <c r="CI15" i="10"/>
  <c r="CJ15" i="10"/>
  <c r="CB15" i="10"/>
  <c r="BW15" i="10"/>
  <c r="CH16" i="10"/>
  <c r="BZ15" i="10"/>
  <c r="GZ19" i="10"/>
  <c r="GZ20" i="10" s="1"/>
  <c r="II18" i="10"/>
  <c r="IH18" i="10"/>
  <c r="IH19" i="10" s="1"/>
  <c r="IH20" i="10" s="1"/>
  <c r="HG19" i="10"/>
  <c r="HG20" i="10" s="1"/>
  <c r="H2361" i="31"/>
  <c r="AP2361" i="31"/>
  <c r="BA2361" i="31"/>
  <c r="H1998" i="31"/>
  <c r="BA1998" i="31"/>
  <c r="AP1998" i="31"/>
  <c r="AP1344" i="31"/>
  <c r="H1344" i="31"/>
  <c r="BA1344" i="31"/>
  <c r="AP507" i="31"/>
  <c r="BA507" i="31"/>
  <c r="H507" i="31"/>
  <c r="BA188" i="31"/>
  <c r="AP188" i="31"/>
  <c r="H188" i="31"/>
  <c r="BA409" i="31"/>
  <c r="AP409" i="31"/>
  <c r="H409" i="31"/>
  <c r="BA2729" i="31"/>
  <c r="H2729" i="31"/>
  <c r="AP2729" i="31"/>
  <c r="BA2044" i="31"/>
  <c r="H2044" i="31"/>
  <c r="AP2044" i="31"/>
  <c r="AP1110" i="31"/>
  <c r="BA1110" i="31"/>
  <c r="H1110" i="31"/>
  <c r="AP2543" i="31"/>
  <c r="H2543" i="31"/>
  <c r="BA2543" i="31"/>
  <c r="AP1965" i="31"/>
  <c r="BA1965" i="31"/>
  <c r="H1965" i="31"/>
  <c r="H2437" i="31"/>
  <c r="BA2437" i="31"/>
  <c r="AP2437" i="31"/>
  <c r="H598" i="31"/>
  <c r="BA598" i="31"/>
  <c r="AP598" i="31"/>
  <c r="AP325" i="31"/>
  <c r="H325" i="31"/>
  <c r="BA325" i="31"/>
  <c r="H3351" i="31"/>
  <c r="BA3351" i="31"/>
  <c r="AP3351" i="31"/>
  <c r="H2316" i="31"/>
  <c r="BA2316" i="31"/>
  <c r="AP2316" i="31"/>
  <c r="AP2126" i="31"/>
  <c r="BA2126" i="31"/>
  <c r="H2126" i="31"/>
  <c r="H1923" i="31"/>
  <c r="BA1923" i="31"/>
  <c r="AP1923" i="31"/>
  <c r="BA2471" i="31"/>
  <c r="H2471" i="31"/>
  <c r="AP2471" i="31"/>
  <c r="AP3356" i="31"/>
  <c r="H3356" i="31"/>
  <c r="BA3356" i="31"/>
  <c r="H3150" i="31"/>
  <c r="BA3150" i="31"/>
  <c r="AP3150" i="31"/>
  <c r="BA3057" i="31"/>
  <c r="H3057" i="31"/>
  <c r="AP3057" i="31"/>
  <c r="AP1168" i="31"/>
  <c r="BA1168" i="31"/>
  <c r="H1168" i="31"/>
  <c r="BA2770" i="31"/>
  <c r="AP2770" i="31"/>
  <c r="H2770" i="31"/>
  <c r="BA1814" i="31"/>
  <c r="H1814" i="31"/>
  <c r="AP1814" i="31"/>
  <c r="H3336" i="31"/>
  <c r="BA3336" i="31"/>
  <c r="AP3336" i="31"/>
  <c r="AP2020" i="31"/>
  <c r="H2020" i="31"/>
  <c r="BA2020" i="31"/>
  <c r="BA2073" i="31"/>
  <c r="H2073" i="31"/>
  <c r="AP2073" i="31"/>
  <c r="H2284" i="31"/>
  <c r="AP2284" i="31"/>
  <c r="BA2284" i="31"/>
  <c r="H197" i="31"/>
  <c r="BA197" i="31"/>
  <c r="AP197" i="31"/>
  <c r="H2085" i="31"/>
  <c r="BA2085" i="31"/>
  <c r="AP2085" i="31"/>
  <c r="H1609" i="31"/>
  <c r="BA1609" i="31"/>
  <c r="AP1609" i="31"/>
  <c r="H2047" i="31"/>
  <c r="BA2047" i="31"/>
  <c r="AP2047" i="31"/>
  <c r="BA3250" i="31"/>
  <c r="AP3250" i="31"/>
  <c r="H3250" i="31"/>
  <c r="H538" i="31"/>
  <c r="BA538" i="31"/>
  <c r="AP538" i="31"/>
  <c r="H3012" i="31"/>
  <c r="AP3012" i="31"/>
  <c r="BA3012" i="31"/>
  <c r="AP186" i="31"/>
  <c r="H186" i="31"/>
  <c r="BA186" i="31"/>
  <c r="H2489" i="31"/>
  <c r="BA2489" i="31"/>
  <c r="AP2489" i="31"/>
  <c r="H606" i="31"/>
  <c r="AP606" i="31"/>
  <c r="BA606" i="31"/>
  <c r="BA1623" i="31"/>
  <c r="H1623" i="31"/>
  <c r="AP1623" i="31"/>
  <c r="AP713" i="31"/>
  <c r="H713" i="31"/>
  <c r="BA713" i="31"/>
  <c r="BA3142" i="31"/>
  <c r="H3142" i="31"/>
  <c r="AP3142" i="31"/>
  <c r="BA2689" i="31"/>
  <c r="H2689" i="31"/>
  <c r="AP2689" i="31"/>
  <c r="H599" i="31"/>
  <c r="BA599" i="31"/>
  <c r="AP599" i="31"/>
  <c r="AP1757" i="31"/>
  <c r="H1757" i="31"/>
  <c r="BA1757" i="31"/>
  <c r="BA2671" i="31"/>
  <c r="H2671" i="31"/>
  <c r="AP2671" i="31"/>
  <c r="AP2665" i="31"/>
  <c r="H2665" i="31"/>
  <c r="BA2665" i="31"/>
  <c r="AP3349" i="31"/>
  <c r="H3349" i="31"/>
  <c r="BA3349" i="31"/>
  <c r="BA2913" i="31"/>
  <c r="AP2913" i="31"/>
  <c r="H2913" i="31"/>
  <c r="AP2017" i="31"/>
  <c r="H2017" i="31"/>
  <c r="BA2017" i="31"/>
  <c r="BA1695" i="31"/>
  <c r="H1695" i="31"/>
  <c r="AP1695" i="31"/>
  <c r="AP363" i="31"/>
  <c r="H363" i="31"/>
  <c r="BA363" i="31"/>
  <c r="AP2273" i="31"/>
  <c r="BA2273" i="31"/>
  <c r="H2273" i="31"/>
  <c r="BA1650" i="31"/>
  <c r="H1650" i="31"/>
  <c r="AP1650" i="31"/>
  <c r="H259" i="31"/>
  <c r="BA259" i="31"/>
  <c r="AP259" i="31"/>
  <c r="H3413" i="31"/>
  <c r="BA3413" i="31"/>
  <c r="AP3413" i="31"/>
  <c r="AP2544" i="31"/>
  <c r="BA2544" i="31"/>
  <c r="H2544" i="31"/>
  <c r="H1894" i="31"/>
  <c r="AP1894" i="31"/>
  <c r="BA1894" i="31"/>
  <c r="H2359" i="31"/>
  <c r="AP2359" i="31"/>
  <c r="BA2359" i="31"/>
  <c r="BA540" i="31"/>
  <c r="AP540" i="31"/>
  <c r="H540" i="31"/>
  <c r="AP1466" i="31"/>
  <c r="BA1466" i="31"/>
  <c r="H1466" i="31"/>
  <c r="BA1131" i="31"/>
  <c r="H1131" i="31"/>
  <c r="AP1131" i="31"/>
  <c r="H3216" i="31"/>
  <c r="BA3216" i="31"/>
  <c r="AP3216" i="31"/>
  <c r="AP1396" i="31"/>
  <c r="BA1396" i="31"/>
  <c r="H1396" i="31"/>
  <c r="BA2879" i="31"/>
  <c r="AP2879" i="31"/>
  <c r="H2879" i="31"/>
  <c r="BA2881" i="31"/>
  <c r="H2881" i="31"/>
  <c r="AP2881" i="31"/>
  <c r="AP3108" i="31"/>
  <c r="BA3108" i="31"/>
  <c r="H3108" i="31"/>
  <c r="BA1138" i="31"/>
  <c r="H1138" i="31"/>
  <c r="AP1138" i="31"/>
  <c r="H309" i="31"/>
  <c r="BA309" i="31"/>
  <c r="AP309" i="31"/>
  <c r="AP3234" i="31"/>
  <c r="H3234" i="31"/>
  <c r="BA3234" i="31"/>
  <c r="AP2968" i="31"/>
  <c r="H2968" i="31"/>
  <c r="BA2968" i="31"/>
  <c r="H1697" i="31"/>
  <c r="AP1697" i="31"/>
  <c r="BA1697" i="31"/>
  <c r="AP2805" i="31"/>
  <c r="BA2805" i="31"/>
  <c r="H2805" i="31"/>
  <c r="AP496" i="31"/>
  <c r="BA496" i="31"/>
  <c r="H496" i="31"/>
  <c r="H1763" i="31"/>
  <c r="BA1763" i="31"/>
  <c r="AP1763" i="31"/>
  <c r="H2617" i="31"/>
  <c r="BA2617" i="31"/>
  <c r="AP2617" i="31"/>
  <c r="H2092" i="31"/>
  <c r="BA2092" i="31"/>
  <c r="AP2092" i="31"/>
  <c r="H525" i="31"/>
  <c r="AP525" i="31"/>
  <c r="BA525" i="31"/>
  <c r="H993" i="31"/>
  <c r="AP993" i="31"/>
  <c r="BA993" i="31"/>
  <c r="BA2983" i="31"/>
  <c r="AP2983" i="31"/>
  <c r="H2983" i="31"/>
  <c r="H1024" i="31"/>
  <c r="AP1024" i="31"/>
  <c r="BA1024" i="31"/>
  <c r="AP120" i="31"/>
  <c r="BA120" i="31"/>
  <c r="H120" i="31"/>
  <c r="AP463" i="31"/>
  <c r="H463" i="31"/>
  <c r="BA463" i="31"/>
  <c r="AP2025" i="31"/>
  <c r="BA2025" i="31"/>
  <c r="H2025" i="31"/>
  <c r="H164" i="31"/>
  <c r="BA164" i="31"/>
  <c r="AP164" i="31"/>
  <c r="AP1717" i="31"/>
  <c r="BA1717" i="31"/>
  <c r="H1717" i="31"/>
  <c r="AP614" i="31"/>
  <c r="H614" i="31"/>
  <c r="BA614" i="31"/>
  <c r="AP1562" i="31"/>
  <c r="H1562" i="31"/>
  <c r="BA1562" i="31"/>
  <c r="H1491" i="31"/>
  <c r="BA1491" i="31"/>
  <c r="AP1491" i="31"/>
  <c r="AP22" i="31"/>
  <c r="BA22" i="31"/>
  <c r="H22" i="31"/>
  <c r="AP1478" i="31"/>
  <c r="BA1478" i="31"/>
  <c r="H1478" i="31"/>
  <c r="H3215" i="31"/>
  <c r="BA3215" i="31"/>
  <c r="AP3215" i="31"/>
  <c r="H2649" i="31"/>
  <c r="AP2649" i="31"/>
  <c r="BA2649" i="31"/>
  <c r="H892" i="31"/>
  <c r="AP892" i="31"/>
  <c r="BA892" i="31"/>
  <c r="BA2461" i="31"/>
  <c r="H2461" i="31"/>
  <c r="AP2461" i="31"/>
  <c r="AP946" i="31"/>
  <c r="BA946" i="31"/>
  <c r="H946" i="31"/>
  <c r="BA2762" i="31"/>
  <c r="H2762" i="31"/>
  <c r="AP2762" i="31"/>
  <c r="H1187" i="31"/>
  <c r="AP1187" i="31"/>
  <c r="BA1187" i="31"/>
  <c r="AP595" i="31"/>
  <c r="H595" i="31"/>
  <c r="BA595" i="31"/>
  <c r="BA339" i="31"/>
  <c r="AP339" i="31"/>
  <c r="H339" i="31"/>
  <c r="AP1872" i="31"/>
  <c r="BA1872" i="31"/>
  <c r="H1872" i="31"/>
  <c r="H701" i="31"/>
  <c r="BA701" i="31"/>
  <c r="AP701" i="31"/>
  <c r="AP3226" i="31"/>
  <c r="BA3226" i="31"/>
  <c r="H3226" i="31"/>
  <c r="AP2675" i="31"/>
  <c r="H2675" i="31"/>
  <c r="BA2675" i="31"/>
  <c r="H451" i="31"/>
  <c r="AP451" i="31"/>
  <c r="BA451" i="31"/>
  <c r="AP280" i="31"/>
  <c r="BA280" i="31"/>
  <c r="H280" i="31"/>
  <c r="BA2972" i="31"/>
  <c r="AP2972" i="31"/>
  <c r="H2972" i="31"/>
  <c r="BA519" i="31"/>
  <c r="AP519" i="31"/>
  <c r="H519" i="31"/>
  <c r="H2722" i="31"/>
  <c r="BA2722" i="31"/>
  <c r="AP2722" i="31"/>
  <c r="H2248" i="31"/>
  <c r="AP2248" i="31"/>
  <c r="BA2248" i="31"/>
  <c r="AP579" i="31"/>
  <c r="BA579" i="31"/>
  <c r="H579" i="31"/>
  <c r="H2191" i="31"/>
  <c r="BA2191" i="31"/>
  <c r="AP2191" i="31"/>
  <c r="AP1681" i="31"/>
  <c r="H1681" i="31"/>
  <c r="BA1681" i="31"/>
  <c r="BA97" i="31"/>
  <c r="AP97" i="31"/>
  <c r="H97" i="31"/>
  <c r="BA2089" i="31"/>
  <c r="AP2089" i="31"/>
  <c r="H2089" i="31"/>
  <c r="BA1218" i="31"/>
  <c r="H1218" i="31"/>
  <c r="AP1218" i="31"/>
  <c r="H1016" i="31"/>
  <c r="AP1016" i="31"/>
  <c r="BA1016" i="31"/>
  <c r="BA915" i="31"/>
  <c r="H915" i="31"/>
  <c r="AP915" i="31"/>
  <c r="AP796" i="31"/>
  <c r="BA796" i="31"/>
  <c r="H796" i="31"/>
  <c r="AP1167" i="31"/>
  <c r="H1167" i="31"/>
  <c r="BA1167" i="31"/>
  <c r="BA1427" i="31"/>
  <c r="H1427" i="31"/>
  <c r="AP1427" i="31"/>
  <c r="BA2918" i="31"/>
  <c r="AP2918" i="31"/>
  <c r="H2918" i="31"/>
  <c r="AP1091" i="31"/>
  <c r="H1091" i="31"/>
  <c r="BA1091" i="31"/>
  <c r="AP362" i="31"/>
  <c r="H362" i="31"/>
  <c r="BA362" i="31"/>
  <c r="AP1744" i="31"/>
  <c r="BA1744" i="31"/>
  <c r="H1744" i="31"/>
  <c r="BA1785" i="31"/>
  <c r="AP1785" i="31"/>
  <c r="H1785" i="31"/>
  <c r="BA522" i="31"/>
  <c r="H522" i="31"/>
  <c r="AP522" i="31"/>
  <c r="H1116" i="31"/>
  <c r="AP1116" i="31"/>
  <c r="BA1116" i="31"/>
  <c r="H711" i="31"/>
  <c r="AP711" i="31"/>
  <c r="BA711" i="31"/>
  <c r="H961" i="31"/>
  <c r="BA961" i="31"/>
  <c r="AP961" i="31"/>
  <c r="H1611" i="31"/>
  <c r="AP1611" i="31"/>
  <c r="BA1611" i="31"/>
  <c r="BA282" i="31"/>
  <c r="H282" i="31"/>
  <c r="AP282" i="31"/>
  <c r="BA241" i="31"/>
  <c r="H241" i="31"/>
  <c r="AP241" i="31"/>
  <c r="AP1269" i="31"/>
  <c r="BA1269" i="31"/>
  <c r="H1269" i="31"/>
  <c r="BA3231" i="31"/>
  <c r="AP3231" i="31"/>
  <c r="H3231" i="31"/>
  <c r="BA2774" i="31"/>
  <c r="AP2774" i="31"/>
  <c r="H2774" i="31"/>
  <c r="H1185" i="31"/>
  <c r="BA1185" i="31"/>
  <c r="AP1185" i="31"/>
  <c r="H1005" i="31"/>
  <c r="AP1005" i="31"/>
  <c r="BA1005" i="31"/>
  <c r="BA2596" i="31"/>
  <c r="AP2596" i="31"/>
  <c r="H2596" i="31"/>
  <c r="BA1075" i="31"/>
  <c r="H1075" i="31"/>
  <c r="AP1075" i="31"/>
  <c r="BA3397" i="31"/>
  <c r="AP3397" i="31"/>
  <c r="H3397" i="31"/>
  <c r="BA1548" i="31"/>
  <c r="AP1548" i="31"/>
  <c r="H1548" i="31"/>
  <c r="AP1602" i="31"/>
  <c r="BA1602" i="31"/>
  <c r="H1602" i="31"/>
  <c r="H1729" i="31"/>
  <c r="BA1729" i="31"/>
  <c r="AP1729" i="31"/>
  <c r="AP798" i="31"/>
  <c r="H798" i="31"/>
  <c r="BA798" i="31"/>
  <c r="H760" i="31"/>
  <c r="AP760" i="31"/>
  <c r="BA760" i="31"/>
  <c r="H121" i="31"/>
  <c r="BA121" i="31"/>
  <c r="AP121" i="31"/>
  <c r="H340" i="31"/>
  <c r="BA340" i="31"/>
  <c r="AP340" i="31"/>
  <c r="H1978" i="31"/>
  <c r="AP1978" i="31"/>
  <c r="BA1978" i="31"/>
  <c r="H456" i="31"/>
  <c r="AP456" i="31"/>
  <c r="BA456" i="31"/>
  <c r="AP1421" i="31"/>
  <c r="BA1421" i="31"/>
  <c r="H1421" i="31"/>
  <c r="AP57" i="31"/>
  <c r="BA57" i="31"/>
  <c r="H57" i="31"/>
  <c r="BA1419" i="31"/>
  <c r="H1419" i="31"/>
  <c r="AP1419" i="31"/>
  <c r="H1819" i="31"/>
  <c r="AP1819" i="31"/>
  <c r="BA1819" i="31"/>
  <c r="BA754" i="31"/>
  <c r="AP754" i="31"/>
  <c r="H754" i="31"/>
  <c r="BA3252" i="31"/>
  <c r="AP3252" i="31"/>
  <c r="H3252" i="31"/>
  <c r="AP3282" i="31"/>
  <c r="BA3282" i="31"/>
  <c r="H3282" i="31"/>
  <c r="AP1997" i="31"/>
  <c r="H1997" i="31"/>
  <c r="BA1997" i="31"/>
  <c r="BA2227" i="31"/>
  <c r="H2227" i="31"/>
  <c r="AP2227" i="31"/>
  <c r="AP3094" i="31"/>
  <c r="BA3094" i="31"/>
  <c r="H3094" i="31"/>
  <c r="AP636" i="31"/>
  <c r="BA636" i="31"/>
  <c r="H636" i="31"/>
  <c r="AP2640" i="31"/>
  <c r="H2640" i="31"/>
  <c r="BA2640" i="31"/>
  <c r="BA1124" i="31"/>
  <c r="AP1124" i="31"/>
  <c r="H1124" i="31"/>
  <c r="BA2585" i="31"/>
  <c r="H2585" i="31"/>
  <c r="AP2585" i="31"/>
  <c r="AP2741" i="31"/>
  <c r="H2741" i="31"/>
  <c r="BA2741" i="31"/>
  <c r="BA3496" i="31"/>
  <c r="AP3496" i="31"/>
  <c r="H3496" i="31"/>
  <c r="BA1549" i="31"/>
  <c r="AP1549" i="31"/>
  <c r="H1549" i="31"/>
  <c r="AP1083" i="31"/>
  <c r="BA1083" i="31"/>
  <c r="H1083" i="31"/>
  <c r="BA1966" i="31"/>
  <c r="AP1966" i="31"/>
  <c r="H1966" i="31"/>
  <c r="H428" i="31"/>
  <c r="BA428" i="31"/>
  <c r="AP428" i="31"/>
  <c r="AP3463" i="31"/>
  <c r="H3463" i="31"/>
  <c r="BA3463" i="31"/>
  <c r="BA653" i="31"/>
  <c r="H653" i="31"/>
  <c r="AP653" i="31"/>
  <c r="H3244" i="31"/>
  <c r="BA3244" i="31"/>
  <c r="AP3244" i="31"/>
  <c r="BA2776" i="31"/>
  <c r="H2776" i="31"/>
  <c r="AP2776" i="31"/>
  <c r="BA1707" i="31"/>
  <c r="AP1707" i="31"/>
  <c r="H1707" i="31"/>
  <c r="BA3136" i="31"/>
  <c r="H3136" i="31"/>
  <c r="AP3136" i="31"/>
  <c r="AP1020" i="31"/>
  <c r="BA1020" i="31"/>
  <c r="H1020" i="31"/>
  <c r="BA559" i="31"/>
  <c r="H559" i="31"/>
  <c r="AP559" i="31"/>
  <c r="AP2090" i="31"/>
  <c r="BA2090" i="31"/>
  <c r="H2090" i="31"/>
  <c r="BA2013" i="31"/>
  <c r="H2013" i="31"/>
  <c r="AP2013" i="31"/>
  <c r="AP534" i="31"/>
  <c r="H534" i="31"/>
  <c r="BA534" i="31"/>
  <c r="AP166" i="31"/>
  <c r="BA166" i="31"/>
  <c r="H166" i="31"/>
  <c r="BA1006" i="31"/>
  <c r="AP1006" i="31"/>
  <c r="H1006" i="31"/>
  <c r="BA3148" i="31"/>
  <c r="H3148" i="31"/>
  <c r="AP3148" i="31"/>
  <c r="H962" i="31"/>
  <c r="AP962" i="31"/>
  <c r="BA962" i="31"/>
  <c r="AP1698" i="31"/>
  <c r="BA1698" i="31"/>
  <c r="H1698" i="31"/>
  <c r="BA1677" i="31"/>
  <c r="H1677" i="31"/>
  <c r="AP1677" i="31"/>
  <c r="H1383" i="31"/>
  <c r="AP1383" i="31"/>
  <c r="BA1383" i="31"/>
  <c r="AQ3520" i="31" a="1"/>
  <c r="AQ3520" i="31" s="1"/>
  <c r="K3520" i="31"/>
  <c r="E3520" i="31"/>
  <c r="I3520" i="31"/>
  <c r="M3520" i="31" a="1"/>
  <c r="M3520" i="31" s="1"/>
  <c r="P3520" i="31" a="1"/>
  <c r="P3520" i="31" s="1"/>
  <c r="AP2553" i="31"/>
  <c r="BA2553" i="31"/>
  <c r="H2553" i="31"/>
  <c r="AP353" i="31"/>
  <c r="BA353" i="31"/>
  <c r="H353" i="31"/>
  <c r="AP144" i="31"/>
  <c r="BA144" i="31"/>
  <c r="H144" i="31"/>
  <c r="AP2078" i="31"/>
  <c r="H2078" i="31"/>
  <c r="BA2078" i="31"/>
  <c r="AP810" i="31"/>
  <c r="BA810" i="31"/>
  <c r="H810" i="31"/>
  <c r="AP3118" i="31"/>
  <c r="H3118" i="31"/>
  <c r="BA3118" i="31"/>
  <c r="H1284" i="31"/>
  <c r="BA1284" i="31"/>
  <c r="AP1284" i="31"/>
  <c r="H3344" i="31"/>
  <c r="BA3344" i="31"/>
  <c r="AP3344" i="31"/>
  <c r="AP1442" i="31"/>
  <c r="H1442" i="31"/>
  <c r="BA1442" i="31"/>
  <c r="BA3339" i="31"/>
  <c r="H3339" i="31"/>
  <c r="AP3339" i="31"/>
  <c r="H1950" i="31"/>
  <c r="BA1950" i="31"/>
  <c r="AP1950" i="31"/>
  <c r="BA826" i="31"/>
  <c r="AP826" i="31"/>
  <c r="H826" i="31"/>
  <c r="BA868" i="31"/>
  <c r="AP868" i="31"/>
  <c r="H868" i="31"/>
  <c r="AP2843" i="31"/>
  <c r="H2843" i="31"/>
  <c r="BA2843" i="31"/>
  <c r="H1775" i="31"/>
  <c r="AP1775" i="31"/>
  <c r="BA1775" i="31"/>
  <c r="BA88" i="31"/>
  <c r="H88" i="31"/>
  <c r="AP88" i="31"/>
  <c r="H879" i="31"/>
  <c r="BA879" i="31"/>
  <c r="AP879" i="31"/>
  <c r="BA2969" i="31"/>
  <c r="AP2969" i="31"/>
  <c r="H2969" i="31"/>
  <c r="AP2613" i="31"/>
  <c r="BA2613" i="31"/>
  <c r="H2613" i="31"/>
  <c r="AP2120" i="31"/>
  <c r="BA2120" i="31"/>
  <c r="H2120" i="31"/>
  <c r="H74" i="31"/>
  <c r="AP74" i="31"/>
  <c r="BA74" i="31"/>
  <c r="AP985" i="31"/>
  <c r="BA985" i="31"/>
  <c r="H985" i="31"/>
  <c r="AP3425" i="31"/>
  <c r="BA3425" i="31"/>
  <c r="H3425" i="31"/>
  <c r="AP2536" i="31"/>
  <c r="BA2536" i="31"/>
  <c r="H2536" i="31"/>
  <c r="H401" i="31"/>
  <c r="AP401" i="31"/>
  <c r="BA401" i="31"/>
  <c r="H2254" i="31"/>
  <c r="AP2254" i="31"/>
  <c r="BA2254" i="31"/>
  <c r="H2414" i="31"/>
  <c r="BA2414" i="31"/>
  <c r="AP2414" i="31"/>
  <c r="H1941" i="31"/>
  <c r="AP1941" i="31"/>
  <c r="BA1941" i="31"/>
  <c r="AP3023" i="31"/>
  <c r="H3023" i="31"/>
  <c r="BA3023" i="31"/>
  <c r="BA2962" i="31"/>
  <c r="H2962" i="31"/>
  <c r="AP2962" i="31"/>
  <c r="BA722" i="31"/>
  <c r="H722" i="31"/>
  <c r="AP722" i="31"/>
  <c r="HJ19" i="10"/>
  <c r="HJ20" i="10" s="1"/>
  <c r="BA1546" i="31"/>
  <c r="H1546" i="31"/>
  <c r="AP1546" i="31"/>
  <c r="AP1122" i="31"/>
  <c r="BA1122" i="31"/>
  <c r="H1122" i="31"/>
  <c r="BA2345" i="31"/>
  <c r="AP2345" i="31"/>
  <c r="H2345" i="31"/>
  <c r="BA3407" i="31"/>
  <c r="AP3407" i="31"/>
  <c r="H3407" i="31"/>
  <c r="AP2788" i="31"/>
  <c r="H2788" i="31"/>
  <c r="BA2788" i="31"/>
  <c r="AP1212" i="31"/>
  <c r="H1212" i="31"/>
  <c r="BA1212" i="31"/>
  <c r="H2239" i="31"/>
  <c r="BA2239" i="31"/>
  <c r="AP2239" i="31"/>
  <c r="H2198" i="31"/>
  <c r="BA2198" i="31"/>
  <c r="AP2198" i="31"/>
  <c r="BA2181" i="31"/>
  <c r="AP2181" i="31"/>
  <c r="H2181" i="31"/>
  <c r="BA2709" i="31"/>
  <c r="AP2709" i="31"/>
  <c r="H2709" i="31"/>
  <c r="BA1058" i="31"/>
  <c r="H1058" i="31"/>
  <c r="AP1058" i="31"/>
  <c r="H1639" i="31"/>
  <c r="AP1639" i="31"/>
  <c r="BA1639" i="31"/>
  <c r="AP1827" i="31"/>
  <c r="BA1827" i="31"/>
  <c r="H1827" i="31"/>
  <c r="BA3020" i="31"/>
  <c r="H3020" i="31"/>
  <c r="AP3020" i="31"/>
  <c r="AP1430" i="31"/>
  <c r="BA1430" i="31"/>
  <c r="H1430" i="31"/>
  <c r="BA2084" i="31"/>
  <c r="AP2084" i="31"/>
  <c r="H2084" i="31"/>
  <c r="H2375" i="31"/>
  <c r="BA2375" i="31"/>
  <c r="AP2375" i="31"/>
  <c r="AP1303" i="31"/>
  <c r="H1303" i="31"/>
  <c r="BA1303" i="31"/>
  <c r="AP310" i="31"/>
  <c r="H310" i="31"/>
  <c r="BA310" i="31"/>
  <c r="AP2335" i="31"/>
  <c r="H2335" i="31"/>
  <c r="BA2335" i="31"/>
  <c r="H30" i="31"/>
  <c r="AP30" i="31"/>
  <c r="BA30" i="31"/>
  <c r="BA1954" i="31"/>
  <c r="H1954" i="31"/>
  <c r="AP1954" i="31"/>
  <c r="AP983" i="31"/>
  <c r="H983" i="31"/>
  <c r="BA983" i="31"/>
  <c r="H461" i="31"/>
  <c r="AP461" i="31"/>
  <c r="BA461" i="31"/>
  <c r="BA181" i="31"/>
  <c r="AP181" i="31"/>
  <c r="H181" i="31"/>
  <c r="BA3443" i="31"/>
  <c r="AP3443" i="31"/>
  <c r="H3443" i="31"/>
  <c r="H719" i="31"/>
  <c r="BA719" i="31"/>
  <c r="AP719" i="31"/>
  <c r="H3242" i="31"/>
  <c r="BA3242" i="31"/>
  <c r="AP3242" i="31"/>
  <c r="BA1833" i="31"/>
  <c r="H1833" i="31"/>
  <c r="AP1833" i="31"/>
  <c r="AP3041" i="31"/>
  <c r="BA3041" i="31"/>
  <c r="H3041" i="31"/>
  <c r="AP441" i="31"/>
  <c r="BA441" i="31"/>
  <c r="H441" i="31"/>
  <c r="AP2598" i="31"/>
  <c r="BA2598" i="31"/>
  <c r="H2598" i="31"/>
  <c r="BA3377" i="31"/>
  <c r="H3377" i="31"/>
  <c r="AP3377" i="31"/>
  <c r="AP3125" i="31"/>
  <c r="BA3125" i="31"/>
  <c r="H3125" i="31"/>
  <c r="AP2876" i="31"/>
  <c r="H2876" i="31"/>
  <c r="BA2876" i="31"/>
  <c r="BA419" i="31"/>
  <c r="AP419" i="31"/>
  <c r="H419" i="31"/>
  <c r="AP2581" i="31"/>
  <c r="H2581" i="31"/>
  <c r="BA2581" i="31"/>
  <c r="AP208" i="31"/>
  <c r="H208" i="31"/>
  <c r="BA208" i="31"/>
  <c r="H1317" i="31"/>
  <c r="BA1317" i="31"/>
  <c r="AP1317" i="31"/>
  <c r="H289" i="31"/>
  <c r="BA289" i="31"/>
  <c r="AP289" i="31"/>
  <c r="BA1482" i="31"/>
  <c r="H1482" i="31"/>
  <c r="AP1482" i="31"/>
  <c r="AP1501" i="31"/>
  <c r="BA1501" i="31"/>
  <c r="H1501" i="31"/>
  <c r="BA1471" i="31"/>
  <c r="H1471" i="31"/>
  <c r="AP1471" i="31"/>
  <c r="BA2199" i="31"/>
  <c r="H2199" i="31"/>
  <c r="AP2199" i="31"/>
  <c r="AP1439" i="31"/>
  <c r="H1439" i="31"/>
  <c r="BA1439" i="31"/>
  <c r="BA127" i="31"/>
  <c r="AP127" i="31"/>
  <c r="H127" i="31"/>
  <c r="H1776" i="31"/>
  <c r="BA1776" i="31"/>
  <c r="AP1776" i="31"/>
  <c r="H3016" i="31"/>
  <c r="BA3016" i="31"/>
  <c r="AP3016" i="31"/>
  <c r="BA1494" i="31"/>
  <c r="AP1494" i="31"/>
  <c r="H1494" i="31"/>
  <c r="H2650" i="31"/>
  <c r="AP2650" i="31"/>
  <c r="BA2650" i="31"/>
  <c r="AQ3530" i="31" a="1"/>
  <c r="AQ3530" i="31" s="1"/>
  <c r="K3530" i="31"/>
  <c r="I3530" i="31"/>
  <c r="E3530" i="31"/>
  <c r="H2408" i="31"/>
  <c r="AP2408" i="31"/>
  <c r="BA2408" i="31"/>
  <c r="H1594" i="31"/>
  <c r="AP1594" i="31"/>
  <c r="BA1594" i="31"/>
  <c r="AP1640" i="31"/>
  <c r="H1640" i="31"/>
  <c r="BA1640" i="31"/>
  <c r="H1023" i="31"/>
  <c r="BA1023" i="31"/>
  <c r="AP1023" i="31"/>
  <c r="BA514" i="31"/>
  <c r="AP514" i="31"/>
  <c r="H514" i="31"/>
  <c r="BA3058" i="31"/>
  <c r="AP3058" i="31"/>
  <c r="H3058" i="31"/>
  <c r="H2491" i="31"/>
  <c r="BA2491" i="31"/>
  <c r="AP2491" i="31"/>
  <c r="H2901" i="31"/>
  <c r="BA2901" i="31"/>
  <c r="AP2901" i="31"/>
  <c r="BA1080" i="31"/>
  <c r="AP1080" i="31"/>
  <c r="H1080" i="31"/>
  <c r="AP210" i="31"/>
  <c r="H210" i="31"/>
  <c r="BA210" i="31"/>
  <c r="BA654" i="31"/>
  <c r="AP654" i="31"/>
  <c r="H654" i="31"/>
  <c r="BA3078" i="31"/>
  <c r="AP3078" i="31"/>
  <c r="H3078" i="31"/>
  <c r="H1100" i="31"/>
  <c r="BA1100" i="31"/>
  <c r="AP1100" i="31"/>
  <c r="BA2208" i="31"/>
  <c r="AP2208" i="31"/>
  <c r="H2208" i="31"/>
  <c r="BA3087" i="31"/>
  <c r="AP3087" i="31"/>
  <c r="H3087" i="31"/>
  <c r="BA2260" i="31"/>
  <c r="AP2260" i="31"/>
  <c r="H2260" i="31"/>
  <c r="H724" i="31"/>
  <c r="BA724" i="31"/>
  <c r="AP724" i="31"/>
  <c r="H1633" i="31"/>
  <c r="AP1633" i="31"/>
  <c r="BA1633" i="31"/>
  <c r="AP2363" i="31"/>
  <c r="H2363" i="31"/>
  <c r="BA2363" i="31"/>
  <c r="H1147" i="31"/>
  <c r="AP1147" i="31"/>
  <c r="BA1147" i="31"/>
  <c r="AP1039" i="31"/>
  <c r="H1039" i="31"/>
  <c r="BA1039" i="31"/>
  <c r="AP1228" i="31"/>
  <c r="BA1228" i="31"/>
  <c r="H1228" i="31"/>
  <c r="BA193" i="31"/>
  <c r="AP193" i="31"/>
  <c r="H193" i="31"/>
  <c r="BA2428" i="31"/>
  <c r="H2428" i="31"/>
  <c r="AP2428" i="31"/>
  <c r="AP1363" i="31"/>
  <c r="H1363" i="31"/>
  <c r="BA1363" i="31"/>
  <c r="H890" i="31"/>
  <c r="AP890" i="31"/>
  <c r="BA890" i="31"/>
  <c r="BA2833" i="31"/>
  <c r="H2833" i="31"/>
  <c r="AP2833" i="31"/>
  <c r="H2494" i="31"/>
  <c r="BA2494" i="31"/>
  <c r="AP2494" i="31"/>
  <c r="BA270" i="31"/>
  <c r="H270" i="31"/>
  <c r="AP270" i="31"/>
  <c r="AP684" i="31"/>
  <c r="BA684" i="31"/>
  <c r="H684" i="31"/>
  <c r="BA2943" i="31"/>
  <c r="AP2943" i="31"/>
  <c r="H2943" i="31"/>
  <c r="AP2386" i="31"/>
  <c r="BA2386" i="31"/>
  <c r="H2386" i="31"/>
  <c r="BA2189" i="31"/>
  <c r="H2189" i="31"/>
  <c r="AP2189" i="31"/>
  <c r="BA2440" i="31"/>
  <c r="H2440" i="31"/>
  <c r="AP2440" i="31"/>
  <c r="BA2804" i="31"/>
  <c r="AP2804" i="31"/>
  <c r="H2804" i="31"/>
  <c r="BA2006" i="31"/>
  <c r="AP2006" i="31"/>
  <c r="H2006" i="31"/>
  <c r="BA1189" i="31"/>
  <c r="AP1189" i="31"/>
  <c r="H1189" i="31"/>
  <c r="AP2349" i="31"/>
  <c r="H2349" i="31"/>
  <c r="BA2349" i="31"/>
  <c r="BA2512" i="31"/>
  <c r="H2512" i="31"/>
  <c r="AP2512" i="31"/>
  <c r="AP62" i="31"/>
  <c r="H62" i="31"/>
  <c r="BA62" i="31"/>
  <c r="BA921" i="31"/>
  <c r="H921" i="31"/>
  <c r="AP921" i="31"/>
  <c r="H2183" i="31"/>
  <c r="BA2183" i="31"/>
  <c r="AP2183" i="31"/>
  <c r="AP2637" i="31"/>
  <c r="H2637" i="31"/>
  <c r="BA2637" i="31"/>
  <c r="BA2163" i="31"/>
  <c r="AP2163" i="31"/>
  <c r="H2163" i="31"/>
  <c r="BA1971" i="31"/>
  <c r="AP1971" i="31"/>
  <c r="H1971" i="31"/>
  <c r="H1510" i="31"/>
  <c r="BA1510" i="31"/>
  <c r="AP1510" i="31"/>
  <c r="AP1172" i="31"/>
  <c r="H1172" i="31"/>
  <c r="BA1172" i="31"/>
  <c r="H2121" i="31"/>
  <c r="BA2121" i="31"/>
  <c r="AP2121" i="31"/>
  <c r="BA702" i="31"/>
  <c r="AP702" i="31"/>
  <c r="H702" i="31"/>
  <c r="H1788" i="31"/>
  <c r="AP1788" i="31"/>
  <c r="BA1788" i="31"/>
  <c r="BA1961" i="31"/>
  <c r="AP1961" i="31"/>
  <c r="H1961" i="31"/>
  <c r="H982" i="31"/>
  <c r="BA982" i="31"/>
  <c r="AP982" i="31"/>
  <c r="H3159" i="31"/>
  <c r="AP3159" i="31"/>
  <c r="BA3159" i="31"/>
  <c r="AP3119" i="31"/>
  <c r="BA3119" i="31"/>
  <c r="H3119" i="31"/>
  <c r="AP1316" i="31"/>
  <c r="BA1316" i="31"/>
  <c r="H1316" i="31"/>
  <c r="H729" i="31"/>
  <c r="BA729" i="31"/>
  <c r="AP729" i="31"/>
  <c r="H1367" i="31"/>
  <c r="AP1367" i="31"/>
  <c r="BA1367" i="31"/>
  <c r="H601" i="31"/>
  <c r="AP601" i="31"/>
  <c r="BA601" i="31"/>
  <c r="H3114" i="31"/>
  <c r="AP3114" i="31"/>
  <c r="BA3114" i="31"/>
  <c r="BA1036" i="31"/>
  <c r="H1036" i="31"/>
  <c r="AP1036" i="31"/>
  <c r="H624" i="31"/>
  <c r="BA624" i="31"/>
  <c r="AP624" i="31"/>
  <c r="H1792" i="31"/>
  <c r="AP1792" i="31"/>
  <c r="BA1792" i="31"/>
  <c r="AP896" i="31"/>
  <c r="BA896" i="31"/>
  <c r="H896" i="31"/>
  <c r="H2992" i="31"/>
  <c r="BA2992" i="31"/>
  <c r="AP2992" i="31"/>
  <c r="H262" i="31"/>
  <c r="BA262" i="31"/>
  <c r="AP262" i="31"/>
  <c r="AP301" i="31"/>
  <c r="BA301" i="31"/>
  <c r="H301" i="31"/>
  <c r="BA550" i="31"/>
  <c r="AP550" i="31"/>
  <c r="H550" i="31"/>
  <c r="H1559" i="31"/>
  <c r="BA1559" i="31"/>
  <c r="AP1559" i="31"/>
  <c r="H215" i="31"/>
  <c r="BA215" i="31"/>
  <c r="AP215" i="31"/>
  <c r="BA220" i="31"/>
  <c r="H220" i="31"/>
  <c r="AP220" i="31"/>
  <c r="AP2482" i="31"/>
  <c r="BA2482" i="31"/>
  <c r="H2482" i="31"/>
  <c r="BA1944" i="31"/>
  <c r="AP1944" i="31"/>
  <c r="H1944" i="31"/>
  <c r="H294" i="31"/>
  <c r="AP294" i="31"/>
  <c r="BA294" i="31"/>
  <c r="BA2476" i="31"/>
  <c r="H2476" i="31"/>
  <c r="AP2476" i="31"/>
  <c r="H481" i="31"/>
  <c r="AP481" i="31"/>
  <c r="BA481" i="31"/>
  <c r="BA926" i="31"/>
  <c r="AP926" i="31"/>
  <c r="H926" i="31"/>
  <c r="H3288" i="31"/>
  <c r="BA3288" i="31"/>
  <c r="AP3288" i="31"/>
  <c r="H611" i="31"/>
  <c r="AP611" i="31"/>
  <c r="BA611" i="31"/>
  <c r="AP693" i="31"/>
  <c r="BA693" i="31"/>
  <c r="H693" i="31"/>
  <c r="AP99" i="31"/>
  <c r="BA99" i="31"/>
  <c r="H99" i="31"/>
  <c r="E3532" i="31"/>
  <c r="K3532" i="31"/>
  <c r="I3532" i="31"/>
  <c r="BA1863" i="31"/>
  <c r="AP1863" i="31"/>
  <c r="H1863" i="31"/>
  <c r="BA718" i="31"/>
  <c r="H718" i="31"/>
  <c r="AP718" i="31"/>
  <c r="AP323" i="31"/>
  <c r="H323" i="31"/>
  <c r="BA323" i="31"/>
  <c r="BA1139" i="31"/>
  <c r="AP1139" i="31"/>
  <c r="H1139" i="31"/>
  <c r="AP2982" i="31"/>
  <c r="BA2982" i="31"/>
  <c r="H2982" i="31"/>
  <c r="H1860" i="31"/>
  <c r="BA1860" i="31"/>
  <c r="AP1860" i="31"/>
  <c r="H2215" i="31"/>
  <c r="BA2215" i="31"/>
  <c r="AP2215" i="31"/>
  <c r="BA2864" i="31"/>
  <c r="H2864" i="31"/>
  <c r="AP2864" i="31"/>
  <c r="AP873" i="31"/>
  <c r="BA873" i="31"/>
  <c r="H873" i="31"/>
  <c r="BA650" i="31"/>
  <c r="AP650" i="31"/>
  <c r="H650" i="31"/>
  <c r="BA1801" i="31"/>
  <c r="AP1801" i="31"/>
  <c r="H1801" i="31"/>
  <c r="AP918" i="31"/>
  <c r="BA918" i="31"/>
  <c r="H918" i="31"/>
  <c r="AP2705" i="31"/>
  <c r="H2705" i="31"/>
  <c r="BA2705" i="31"/>
  <c r="BA3264" i="31"/>
  <c r="H3264" i="31"/>
  <c r="AP3264" i="31"/>
  <c r="H296" i="31"/>
  <c r="BA296" i="31"/>
  <c r="AP296" i="31"/>
  <c r="H263" i="31"/>
  <c r="AP263" i="31"/>
  <c r="BA263" i="31"/>
  <c r="H2884" i="31"/>
  <c r="AP2884" i="31"/>
  <c r="BA2884" i="31"/>
  <c r="BA2800" i="31"/>
  <c r="H2800" i="31"/>
  <c r="AP2800" i="31"/>
  <c r="AP1388" i="31"/>
  <c r="BA1388" i="31"/>
  <c r="H1388" i="31"/>
  <c r="BA1683" i="31"/>
  <c r="H1683" i="31"/>
  <c r="AP1683" i="31"/>
  <c r="AP413" i="31"/>
  <c r="BA413" i="31"/>
  <c r="H413" i="31"/>
  <c r="H2045" i="31"/>
  <c r="BA2045" i="31"/>
  <c r="AP2045" i="31"/>
  <c r="H885" i="31"/>
  <c r="BA885" i="31"/>
  <c r="AP885" i="31"/>
  <c r="AP735" i="31"/>
  <c r="H735" i="31"/>
  <c r="BA735" i="31"/>
  <c r="AP2851" i="31"/>
  <c r="H2851" i="31"/>
  <c r="BA2851" i="31"/>
  <c r="AQ3521" i="31" a="1"/>
  <c r="AQ3521" i="31" s="1"/>
  <c r="I3521" i="31"/>
  <c r="E3521" i="31"/>
  <c r="K3521" i="31"/>
  <c r="AP2545" i="31"/>
  <c r="BA2545" i="31"/>
  <c r="H2545" i="31"/>
  <c r="H820" i="31"/>
  <c r="AP820" i="31"/>
  <c r="BA820" i="31"/>
  <c r="H3513" i="31"/>
  <c r="BA3513" i="31"/>
  <c r="AP3513" i="31"/>
  <c r="H2807" i="31"/>
  <c r="BA2807" i="31"/>
  <c r="AP2807" i="31"/>
  <c r="AP529" i="31"/>
  <c r="BA529" i="31"/>
  <c r="H529" i="31"/>
  <c r="BA594" i="31"/>
  <c r="H594" i="31"/>
  <c r="AP594" i="31"/>
  <c r="BA1766" i="31"/>
  <c r="H1766" i="31"/>
  <c r="AP1766" i="31"/>
  <c r="H3480" i="31"/>
  <c r="BA3480" i="31"/>
  <c r="AP3480" i="31"/>
  <c r="H623" i="31"/>
  <c r="AP623" i="31"/>
  <c r="BA623" i="31"/>
  <c r="H3343" i="31"/>
  <c r="BA3343" i="31"/>
  <c r="AP3343" i="31"/>
  <c r="H2128" i="31"/>
  <c r="BA2128" i="31"/>
  <c r="AP2128" i="31"/>
  <c r="BA408" i="31"/>
  <c r="H408" i="31"/>
  <c r="AP408" i="31"/>
  <c r="AP475" i="31"/>
  <c r="BA475" i="31"/>
  <c r="H475" i="31"/>
  <c r="BA2149" i="31"/>
  <c r="AP2149" i="31"/>
  <c r="H2149" i="31"/>
  <c r="AP52" i="31"/>
  <c r="BA52" i="31"/>
  <c r="H52" i="31"/>
  <c r="AP2076" i="31"/>
  <c r="H2076" i="31"/>
  <c r="BA2076" i="31"/>
  <c r="BA2792" i="31"/>
  <c r="AP2792" i="31"/>
  <c r="H2792" i="31"/>
  <c r="H1667" i="31"/>
  <c r="BA1667" i="31"/>
  <c r="AP1667" i="31"/>
  <c r="AP1190" i="31"/>
  <c r="BA1190" i="31"/>
  <c r="H1190" i="31"/>
  <c r="H1287" i="31"/>
  <c r="BA1287" i="31"/>
  <c r="AP1287" i="31"/>
  <c r="AP3402" i="31"/>
  <c r="H3402" i="31"/>
  <c r="BA3402" i="31"/>
  <c r="BA1620" i="31"/>
  <c r="H1620" i="31"/>
  <c r="AP1620" i="31"/>
  <c r="H2213" i="31"/>
  <c r="AP2213" i="31"/>
  <c r="BA2213" i="31"/>
  <c r="BA3077" i="31"/>
  <c r="H3077" i="31"/>
  <c r="AP3077" i="31"/>
  <c r="BA3308" i="31"/>
  <c r="H3308" i="31"/>
  <c r="AP3308" i="31"/>
  <c r="BA2743" i="31"/>
  <c r="AP2743" i="31"/>
  <c r="H2743" i="31"/>
  <c r="BA1915" i="31"/>
  <c r="H1915" i="31"/>
  <c r="AP1915" i="31"/>
  <c r="H2274" i="31"/>
  <c r="AP2274" i="31"/>
  <c r="BA2274" i="31"/>
  <c r="AP3373" i="31"/>
  <c r="BA3373" i="31"/>
  <c r="H3373" i="31"/>
  <c r="BA1155" i="31"/>
  <c r="AP1155" i="31"/>
  <c r="H1155" i="31"/>
  <c r="AP1133" i="31"/>
  <c r="BA1133" i="31"/>
  <c r="H1133" i="31"/>
  <c r="AP1571" i="31"/>
  <c r="BA1571" i="31"/>
  <c r="H1571" i="31"/>
  <c r="BA495" i="31"/>
  <c r="H495" i="31"/>
  <c r="AP495" i="31"/>
  <c r="AP2840" i="31"/>
  <c r="H2840" i="31"/>
  <c r="BA2840" i="31"/>
  <c r="AP3222" i="31"/>
  <c r="H3222" i="31"/>
  <c r="BA3222" i="31"/>
  <c r="H2612" i="31"/>
  <c r="BA2612" i="31"/>
  <c r="AP2612" i="31"/>
  <c r="H2882" i="31"/>
  <c r="AP2882" i="31"/>
  <c r="BA2882" i="31"/>
  <c r="AP184" i="31"/>
  <c r="H184" i="31"/>
  <c r="BA184" i="31"/>
  <c r="BA1477" i="31"/>
  <c r="AP1477" i="31"/>
  <c r="H1477" i="31"/>
  <c r="AP1777" i="31"/>
  <c r="BA1777" i="31"/>
  <c r="H1777" i="31"/>
  <c r="BA145" i="31"/>
  <c r="H145" i="31"/>
  <c r="AP145" i="31"/>
  <c r="BA1395" i="31"/>
  <c r="H1395" i="31"/>
  <c r="AP1395" i="31"/>
  <c r="H1957" i="31"/>
  <c r="AP1957" i="31"/>
  <c r="BA1957" i="31"/>
  <c r="AP2405" i="31"/>
  <c r="BA2405" i="31"/>
  <c r="H2405" i="31"/>
  <c r="BA100" i="31"/>
  <c r="AP100" i="31"/>
  <c r="H100" i="31"/>
  <c r="H248" i="31"/>
  <c r="AP248" i="31"/>
  <c r="BA248" i="31"/>
  <c r="AP2158" i="31"/>
  <c r="H2158" i="31"/>
  <c r="BA2158" i="31"/>
  <c r="AP1489" i="31"/>
  <c r="H1489" i="31"/>
  <c r="BA1489" i="31"/>
  <c r="H1808" i="31"/>
  <c r="AP1808" i="31"/>
  <c r="BA1808" i="31"/>
  <c r="H903" i="31"/>
  <c r="AP903" i="31"/>
  <c r="BA903" i="31"/>
  <c r="AP114" i="31"/>
  <c r="H114" i="31"/>
  <c r="BA114" i="31"/>
  <c r="H102" i="31"/>
  <c r="BA102" i="31"/>
  <c r="AP102" i="31"/>
  <c r="BA2185" i="31"/>
  <c r="H2185" i="31"/>
  <c r="AP2185" i="31"/>
  <c r="BA417" i="31"/>
  <c r="AP417" i="31"/>
  <c r="H417" i="31"/>
  <c r="BA731" i="31"/>
  <c r="H731" i="31"/>
  <c r="AP731" i="31"/>
  <c r="AP355" i="31"/>
  <c r="BA355" i="31"/>
  <c r="H355" i="31"/>
  <c r="AP2331" i="31"/>
  <c r="H2331" i="31"/>
  <c r="BA2331" i="31"/>
  <c r="H1610" i="31"/>
  <c r="BA1610" i="31"/>
  <c r="AP1610" i="31"/>
  <c r="H2277" i="31"/>
  <c r="AP2277" i="31"/>
  <c r="BA2277" i="31"/>
  <c r="AP2010" i="31"/>
  <c r="H2010" i="31"/>
  <c r="BA2010" i="31"/>
  <c r="AP2557" i="31"/>
  <c r="H2557" i="31"/>
  <c r="BA2557" i="31"/>
  <c r="BA3430" i="31"/>
  <c r="AP3430" i="31"/>
  <c r="H3430" i="31"/>
  <c r="CI21" i="10"/>
  <c r="CJ21" i="10"/>
  <c r="BZ21" i="10"/>
  <c r="CH10" i="10"/>
  <c r="CB21" i="10"/>
  <c r="BW21" i="10"/>
  <c r="GX19" i="10"/>
  <c r="GX20" i="10" s="1"/>
  <c r="HA19" i="10"/>
  <c r="HA20" i="10" s="1"/>
  <c r="BA1967" i="31"/>
  <c r="H1967" i="31"/>
  <c r="AP1967" i="31"/>
  <c r="H3120" i="31"/>
  <c r="AP3120" i="31"/>
  <c r="BA3120" i="31"/>
  <c r="H1304" i="31"/>
  <c r="AP1304" i="31"/>
  <c r="BA1304" i="31"/>
  <c r="AP2656" i="31"/>
  <c r="H2656" i="31"/>
  <c r="BA2656" i="31"/>
  <c r="AP3448" i="31"/>
  <c r="H3448" i="31"/>
  <c r="BA3448" i="31"/>
  <c r="H2595" i="31"/>
  <c r="AP2595" i="31"/>
  <c r="BA2595" i="31"/>
  <c r="H2589" i="31"/>
  <c r="AP2589" i="31"/>
  <c r="BA2589" i="31"/>
  <c r="H2119" i="31"/>
  <c r="AP2119" i="31"/>
  <c r="BA2119" i="31"/>
  <c r="H3220" i="31"/>
  <c r="AP3220" i="31"/>
  <c r="BA3220" i="31"/>
  <c r="H1136" i="31"/>
  <c r="BA1136" i="31"/>
  <c r="AP1136" i="31"/>
  <c r="BA132" i="31"/>
  <c r="AP132" i="31"/>
  <c r="H132" i="31"/>
  <c r="BA1656" i="31"/>
  <c r="H1656" i="31"/>
  <c r="AP1656" i="31"/>
  <c r="H1301" i="31"/>
  <c r="AP1301" i="31"/>
  <c r="BA1301" i="31"/>
  <c r="AP3210" i="31"/>
  <c r="H3210" i="31"/>
  <c r="BA3210" i="31"/>
  <c r="H89" i="31"/>
  <c r="AP89" i="31"/>
  <c r="BA89" i="31"/>
  <c r="AP3014" i="31"/>
  <c r="H3014" i="31"/>
  <c r="BA3014" i="31"/>
  <c r="BA2093" i="31"/>
  <c r="H2093" i="31"/>
  <c r="AP2093" i="31"/>
  <c r="AP1452" i="31"/>
  <c r="BA1452" i="31"/>
  <c r="H1452" i="31"/>
  <c r="AP2708" i="31"/>
  <c r="BA2708" i="31"/>
  <c r="H2708" i="31"/>
  <c r="BA2217" i="31"/>
  <c r="H2217" i="31"/>
  <c r="AP2217" i="31"/>
  <c r="BA3145" i="31"/>
  <c r="H3145" i="31"/>
  <c r="AP3145" i="31"/>
  <c r="AP2697" i="31"/>
  <c r="BA2697" i="31"/>
  <c r="H2697" i="31"/>
  <c r="BA2299" i="31"/>
  <c r="AP2299" i="31"/>
  <c r="H2299" i="31"/>
  <c r="BA791" i="31"/>
  <c r="H791" i="31"/>
  <c r="AP791" i="31"/>
  <c r="H2778" i="31"/>
  <c r="AP2778" i="31"/>
  <c r="BA2778" i="31"/>
  <c r="AP1293" i="31"/>
  <c r="H1293" i="31"/>
  <c r="BA1293" i="31"/>
  <c r="BA77" i="31"/>
  <c r="AP77" i="31"/>
  <c r="H77" i="31"/>
  <c r="BA3174" i="31"/>
  <c r="AP3174" i="31"/>
  <c r="H3174" i="31"/>
  <c r="BA2871" i="31"/>
  <c r="H2871" i="31"/>
  <c r="AP2871" i="31"/>
  <c r="H539" i="31"/>
  <c r="BA539" i="31"/>
  <c r="AP539" i="31"/>
  <c r="BA2340" i="31"/>
  <c r="H2340" i="31"/>
  <c r="AP2340" i="31"/>
  <c r="BA631" i="31"/>
  <c r="H631" i="31"/>
  <c r="AP631" i="31"/>
  <c r="H1164" i="31"/>
  <c r="BA1164" i="31"/>
  <c r="AP1164" i="31"/>
  <c r="H2628" i="31"/>
  <c r="AP2628" i="31"/>
  <c r="BA2628" i="31"/>
  <c r="BA901" i="31"/>
  <c r="H901" i="31"/>
  <c r="AP901" i="31"/>
  <c r="H3348" i="31"/>
  <c r="AP3348" i="31"/>
  <c r="BA3348" i="31"/>
  <c r="H238" i="31"/>
  <c r="BA238" i="31"/>
  <c r="AP238" i="31"/>
  <c r="H317" i="31"/>
  <c r="AP317" i="31"/>
  <c r="BA317" i="31"/>
  <c r="AP571" i="31"/>
  <c r="BA571" i="31"/>
  <c r="H571" i="31"/>
  <c r="AP2325" i="31"/>
  <c r="H2325" i="31"/>
  <c r="BA2325" i="31"/>
  <c r="H2290" i="31"/>
  <c r="BA2290" i="31"/>
  <c r="AP2290" i="31"/>
  <c r="BA874" i="31"/>
  <c r="AP874" i="31"/>
  <c r="H874" i="31"/>
  <c r="BA969" i="31"/>
  <c r="H969" i="31"/>
  <c r="AP969" i="31"/>
  <c r="BA3126" i="31"/>
  <c r="H3126" i="31"/>
  <c r="AP3126" i="31"/>
  <c r="AP2796" i="31"/>
  <c r="BA2796" i="31"/>
  <c r="H2796" i="31"/>
  <c r="BA72" i="31"/>
  <c r="H72" i="31"/>
  <c r="AP72" i="31"/>
  <c r="AP3454" i="31"/>
  <c r="H3454" i="31"/>
  <c r="BA3454" i="31"/>
  <c r="BA655" i="31"/>
  <c r="H655" i="31"/>
  <c r="AP655" i="31"/>
  <c r="H2732" i="31"/>
  <c r="BA2732" i="31"/>
  <c r="AP2732" i="31"/>
  <c r="H2552" i="31"/>
  <c r="AP2552" i="31"/>
  <c r="BA2552" i="31"/>
  <c r="AP2573" i="31"/>
  <c r="BA2573" i="31"/>
  <c r="H2573" i="31"/>
  <c r="AP1392" i="31"/>
  <c r="BA1392" i="31"/>
  <c r="H1392" i="31"/>
  <c r="H1322" i="31"/>
  <c r="BA1322" i="31"/>
  <c r="AP1322" i="31"/>
  <c r="BA1869" i="31"/>
  <c r="AP1869" i="31"/>
  <c r="H1869" i="31"/>
  <c r="AP552" i="31"/>
  <c r="H552" i="31"/>
  <c r="BA552" i="31"/>
  <c r="AP512" i="31"/>
  <c r="H512" i="31"/>
  <c r="BA512" i="31"/>
  <c r="BA1173" i="31"/>
  <c r="H1173" i="31"/>
  <c r="AP1173" i="31"/>
  <c r="AP884" i="31"/>
  <c r="H884" i="31"/>
  <c r="BA884" i="31"/>
  <c r="AP2674" i="31"/>
  <c r="H2674" i="31"/>
  <c r="BA2674" i="31"/>
  <c r="BA3355" i="31"/>
  <c r="AP3355" i="31"/>
  <c r="H3355" i="31"/>
  <c r="AP1334" i="31"/>
  <c r="H1334" i="31"/>
  <c r="BA1334" i="31"/>
  <c r="BA3392" i="31"/>
  <c r="AP3392" i="31"/>
  <c r="H3392" i="31"/>
  <c r="H2112" i="31"/>
  <c r="AP2112" i="31"/>
  <c r="BA2112" i="31"/>
  <c r="BA3450" i="31"/>
  <c r="AP3450" i="31"/>
  <c r="H3450" i="31"/>
  <c r="H1262" i="31"/>
  <c r="BA1262" i="31"/>
  <c r="AP1262" i="31"/>
  <c r="AP3051" i="31"/>
  <c r="BA3051" i="31"/>
  <c r="H3051" i="31"/>
  <c r="BA1803" i="31"/>
  <c r="H1803" i="31"/>
  <c r="AP1803" i="31"/>
  <c r="AP2454" i="31"/>
  <c r="BA2454" i="31"/>
  <c r="H2454" i="31"/>
  <c r="AP3418" i="31"/>
  <c r="H3418" i="31"/>
  <c r="BA3418" i="31"/>
  <c r="BA1946" i="31"/>
  <c r="AP1946" i="31"/>
  <c r="H1946" i="31"/>
  <c r="H2424" i="31"/>
  <c r="BA2424" i="31"/>
  <c r="AP2424" i="31"/>
  <c r="AP1654" i="31"/>
  <c r="BA1654" i="31"/>
  <c r="H1654" i="31"/>
  <c r="H2599" i="31"/>
  <c r="AP2599" i="31"/>
  <c r="BA2599" i="31"/>
  <c r="AP3419" i="31"/>
  <c r="BA3419" i="31"/>
  <c r="H3419" i="31"/>
  <c r="AP1798" i="31"/>
  <c r="H1798" i="31"/>
  <c r="BA1798" i="31"/>
  <c r="H939" i="31"/>
  <c r="AP939" i="31"/>
  <c r="BA939" i="31"/>
  <c r="H2922" i="31"/>
  <c r="AP2922" i="31"/>
  <c r="BA2922" i="31"/>
  <c r="H2294" i="31"/>
  <c r="AP2294" i="31"/>
  <c r="BA2294" i="31"/>
  <c r="H3420" i="31"/>
  <c r="BA3420" i="31"/>
  <c r="AP3420" i="31"/>
  <c r="AP1826" i="31"/>
  <c r="BA1826" i="31"/>
  <c r="H1826" i="31"/>
  <c r="AP104" i="31"/>
  <c r="H104" i="31"/>
  <c r="BA104" i="31"/>
  <c r="BA1682" i="31"/>
  <c r="H1682" i="31"/>
  <c r="AP1682" i="31"/>
  <c r="BA2905" i="31"/>
  <c r="AP2905" i="31"/>
  <c r="H2905" i="31"/>
  <c r="AP1487" i="31"/>
  <c r="BA1487" i="31"/>
  <c r="H1487" i="31"/>
  <c r="AP1719" i="31"/>
  <c r="BA1719" i="31"/>
  <c r="H1719" i="31"/>
  <c r="AP2537" i="31"/>
  <c r="H2537" i="31"/>
  <c r="BA2537" i="31"/>
  <c r="AP1403" i="31"/>
  <c r="H1403" i="31"/>
  <c r="BA1403" i="31"/>
  <c r="BA3040" i="31"/>
  <c r="AP3040" i="31"/>
  <c r="H3040" i="31"/>
  <c r="BA28" i="31"/>
  <c r="H28" i="31"/>
  <c r="AP28" i="31"/>
  <c r="BA2353" i="31"/>
  <c r="H2353" i="31"/>
  <c r="AP2353" i="31"/>
  <c r="BA95" i="31"/>
  <c r="AP95" i="31"/>
  <c r="H95" i="31"/>
  <c r="BA1289" i="31"/>
  <c r="AP1289" i="31"/>
  <c r="H1289" i="31"/>
  <c r="AP2994" i="31"/>
  <c r="BA2994" i="31"/>
  <c r="H2994" i="31"/>
  <c r="AP1799" i="31"/>
  <c r="H1799" i="31"/>
  <c r="BA1799" i="31"/>
  <c r="BA1327" i="31"/>
  <c r="H1327" i="31"/>
  <c r="AP1327" i="31"/>
  <c r="H1616" i="31"/>
  <c r="AP1616" i="31"/>
  <c r="BA1616" i="31"/>
  <c r="AP1504" i="31"/>
  <c r="BA1504" i="31"/>
  <c r="H1504" i="31"/>
  <c r="H2229" i="31"/>
  <c r="BA2229" i="31"/>
  <c r="AP2229" i="31"/>
  <c r="H3039" i="31"/>
  <c r="BA3039" i="31"/>
  <c r="AP3039" i="31"/>
  <c r="AP842" i="31"/>
  <c r="BA842" i="31"/>
  <c r="H842" i="31"/>
  <c r="H2203" i="31"/>
  <c r="BA2203" i="31"/>
  <c r="AP2203" i="31"/>
  <c r="BA564" i="31"/>
  <c r="AP564" i="31"/>
  <c r="H564" i="31"/>
  <c r="BA1979" i="31"/>
  <c r="H1979" i="31"/>
  <c r="AP1979" i="31"/>
  <c r="BA1002" i="31"/>
  <c r="AP1002" i="31"/>
  <c r="H1002" i="31"/>
  <c r="BA3424" i="31"/>
  <c r="AP3424" i="31"/>
  <c r="H3424" i="31"/>
  <c r="BA1608" i="31"/>
  <c r="H1608" i="31"/>
  <c r="AP1608" i="31"/>
  <c r="H2244" i="31"/>
  <c r="BA2244" i="31"/>
  <c r="AP2244" i="31"/>
  <c r="H3056" i="31"/>
  <c r="BA3056" i="31"/>
  <c r="AP3056" i="31"/>
  <c r="H2269" i="31"/>
  <c r="AP2269" i="31"/>
  <c r="BA2269" i="31"/>
  <c r="BA2835" i="31"/>
  <c r="AP2835" i="31"/>
  <c r="H2835" i="31"/>
  <c r="BA1560" i="31"/>
  <c r="H1560" i="31"/>
  <c r="AP1560" i="31"/>
  <c r="H2338" i="31"/>
  <c r="AP2338" i="31"/>
  <c r="BA2338" i="31"/>
  <c r="H528" i="31"/>
  <c r="AP528" i="31"/>
  <c r="BA528" i="31"/>
  <c r="H236" i="31"/>
  <c r="AP236" i="31"/>
  <c r="BA236" i="31"/>
  <c r="AP3214" i="31"/>
  <c r="BA3214" i="31"/>
  <c r="H3214" i="31"/>
  <c r="H1412" i="31"/>
  <c r="BA1412" i="31"/>
  <c r="AP1412" i="31"/>
  <c r="AP1930" i="31"/>
  <c r="BA1930" i="31"/>
  <c r="H1930" i="31"/>
  <c r="BA159" i="31"/>
  <c r="AP159" i="31"/>
  <c r="H159" i="31"/>
  <c r="AP2464" i="31"/>
  <c r="H2464" i="31"/>
  <c r="BA2464" i="31"/>
  <c r="H1972" i="31"/>
  <c r="AP1972" i="31"/>
  <c r="BA1972" i="31"/>
  <c r="H1127" i="31"/>
  <c r="AP1127" i="31"/>
  <c r="BA1127" i="31"/>
  <c r="BA872" i="31"/>
  <c r="H872" i="31"/>
  <c r="AP872" i="31"/>
  <c r="BA862" i="31"/>
  <c r="H862" i="31"/>
  <c r="AP862" i="31"/>
  <c r="AP1342" i="31"/>
  <c r="H1342" i="31"/>
  <c r="BA1342" i="31"/>
  <c r="BA2691" i="31"/>
  <c r="AP2691" i="31"/>
  <c r="H2691" i="31"/>
  <c r="H489" i="31"/>
  <c r="BA489" i="31"/>
  <c r="AP489" i="31"/>
  <c r="AP3083" i="31"/>
  <c r="H3083" i="31"/>
  <c r="BA3083" i="31"/>
  <c r="H751" i="31"/>
  <c r="BA751" i="31"/>
  <c r="AP751" i="31"/>
  <c r="K3531" i="31"/>
  <c r="E3531" i="31"/>
  <c r="I3531" i="31"/>
  <c r="AP2278" i="31"/>
  <c r="H2278" i="31"/>
  <c r="BA2278" i="31"/>
  <c r="AP2041" i="31"/>
  <c r="H2041" i="31"/>
  <c r="BA2041" i="31"/>
  <c r="BA1533" i="31"/>
  <c r="H1533" i="31"/>
  <c r="AP1533" i="31"/>
  <c r="AP2418" i="31"/>
  <c r="BA2418" i="31"/>
  <c r="H2418" i="31"/>
  <c r="BA2629" i="31"/>
  <c r="H2629" i="31"/>
  <c r="AP2629" i="31"/>
  <c r="H3139" i="31"/>
  <c r="BA3139" i="31"/>
  <c r="AP3139" i="31"/>
  <c r="AP1473" i="31"/>
  <c r="H1473" i="31"/>
  <c r="BA1473" i="31"/>
  <c r="AP3206" i="31"/>
  <c r="H3206" i="31"/>
  <c r="BA3206" i="31"/>
  <c r="BA1180" i="31"/>
  <c r="H1180" i="31"/>
  <c r="AP1180" i="31"/>
  <c r="BA267" i="31"/>
  <c r="AP267" i="31"/>
  <c r="H267" i="31"/>
  <c r="BA1678" i="31"/>
  <c r="AP1678" i="31"/>
  <c r="H1678" i="31"/>
  <c r="AP2859" i="31"/>
  <c r="BA2859" i="31"/>
  <c r="H2859" i="31"/>
  <c r="BA2329" i="31"/>
  <c r="AP2329" i="31"/>
  <c r="H2329" i="31"/>
  <c r="BA1619" i="31"/>
  <c r="H1619" i="31"/>
  <c r="AP1619" i="31"/>
  <c r="AP938" i="31"/>
  <c r="H938" i="31"/>
  <c r="BA938" i="31"/>
  <c r="H3286" i="31"/>
  <c r="AP3286" i="31"/>
  <c r="BA3286" i="31"/>
  <c r="H366" i="31"/>
  <c r="AP366" i="31"/>
  <c r="BA366" i="31"/>
  <c r="H2101" i="31"/>
  <c r="BA2101" i="31"/>
  <c r="AP2101" i="31"/>
  <c r="AP1197" i="31"/>
  <c r="H1197" i="31"/>
  <c r="BA1197" i="31"/>
  <c r="AP561" i="31"/>
  <c r="BA561" i="31"/>
  <c r="H561" i="31"/>
  <c r="H1585" i="31"/>
  <c r="AP1585" i="31"/>
  <c r="BA1585" i="31"/>
  <c r="BA1030" i="31"/>
  <c r="H1030" i="31"/>
  <c r="AP1030" i="31"/>
  <c r="AP1248" i="31"/>
  <c r="H1248" i="31"/>
  <c r="BA1248" i="31"/>
  <c r="AP1838" i="31"/>
  <c r="BA1838" i="31"/>
  <c r="H1838" i="31"/>
  <c r="AP1539" i="31"/>
  <c r="BA1539" i="31"/>
  <c r="H1539" i="31"/>
  <c r="AP1846" i="31"/>
  <c r="BA1846" i="31"/>
  <c r="H1846" i="31"/>
  <c r="BA2021" i="31"/>
  <c r="H2021" i="31"/>
  <c r="AP2021" i="31"/>
  <c r="H3514" i="31"/>
  <c r="BA3514" i="31"/>
  <c r="AP3514" i="31"/>
  <c r="BA2075" i="31"/>
  <c r="H2075" i="31"/>
  <c r="AP2075" i="31"/>
  <c r="AP2096" i="31"/>
  <c r="H2096" i="31"/>
  <c r="BA2096" i="31"/>
  <c r="H1982" i="31"/>
  <c r="BA1982" i="31"/>
  <c r="AP1982" i="31"/>
  <c r="H1011" i="31"/>
  <c r="BA1011" i="31"/>
  <c r="AP1011" i="31"/>
  <c r="H3497" i="31"/>
  <c r="BA3497" i="31"/>
  <c r="AP3497" i="31"/>
  <c r="AP2069" i="31"/>
  <c r="BA2069" i="31"/>
  <c r="H2069" i="31"/>
  <c r="BA3396" i="31"/>
  <c r="AP3396" i="31"/>
  <c r="H3396" i="31"/>
  <c r="H350" i="31"/>
  <c r="BA350" i="31"/>
  <c r="AP350" i="31"/>
  <c r="H1904" i="31"/>
  <c r="BA1904" i="31"/>
  <c r="AP1904" i="31"/>
  <c r="H3464" i="31"/>
  <c r="BA3464" i="31"/>
  <c r="AP3464" i="31"/>
  <c r="AP945" i="31"/>
  <c r="H945" i="31"/>
  <c r="BA945" i="31"/>
  <c r="BA2703" i="31"/>
  <c r="AP2703" i="31"/>
  <c r="H2703" i="31"/>
  <c r="H959" i="31"/>
  <c r="AP959" i="31"/>
  <c r="BA959" i="31"/>
  <c r="AP1738" i="31"/>
  <c r="BA1738" i="31"/>
  <c r="H1738" i="31"/>
  <c r="H156" i="31"/>
  <c r="BA156" i="31"/>
  <c r="AP156" i="31"/>
  <c r="BA989" i="31"/>
  <c r="H989" i="31"/>
  <c r="AP989" i="31"/>
  <c r="H3372" i="31"/>
  <c r="BA3372" i="31"/>
  <c r="AP3372" i="31"/>
  <c r="BA1499" i="31"/>
  <c r="H1499" i="31"/>
  <c r="AP1499" i="31"/>
  <c r="BA2660" i="31"/>
  <c r="H2660" i="31"/>
  <c r="AP2660" i="31"/>
  <c r="AP157" i="31"/>
  <c r="H157" i="31"/>
  <c r="BA157" i="31"/>
  <c r="H1440" i="31"/>
  <c r="BA1440" i="31"/>
  <c r="AP1440" i="31"/>
  <c r="AP276" i="31"/>
  <c r="H276" i="31"/>
  <c r="BA276" i="31"/>
  <c r="AP910" i="31"/>
  <c r="H910" i="31"/>
  <c r="BA910" i="31"/>
  <c r="AP1617" i="31"/>
  <c r="H1617" i="31"/>
  <c r="BA1617" i="31"/>
  <c r="AP535" i="31"/>
  <c r="H535" i="31"/>
  <c r="BA535" i="31"/>
  <c r="H2641" i="31"/>
  <c r="AP2641" i="31"/>
  <c r="BA2641" i="31"/>
  <c r="AP2670" i="31"/>
  <c r="BA2670" i="31"/>
  <c r="H2670" i="31"/>
  <c r="AP3193" i="31"/>
  <c r="BA3193" i="31"/>
  <c r="H3193" i="31"/>
  <c r="AP980" i="31"/>
  <c r="H980" i="31"/>
  <c r="BA980" i="31"/>
  <c r="AP568" i="31"/>
  <c r="H568" i="31"/>
  <c r="BA568" i="31"/>
  <c r="H1137" i="31"/>
  <c r="BA1137" i="31"/>
  <c r="AP1137" i="31"/>
  <c r="H909" i="31"/>
  <c r="AP909" i="31"/>
  <c r="BA909" i="31"/>
  <c r="BA2960" i="31"/>
  <c r="AP2960" i="31"/>
  <c r="H2960" i="31"/>
  <c r="H1728" i="31"/>
  <c r="BA1728" i="31"/>
  <c r="AP1728" i="31"/>
  <c r="H2460" i="31"/>
  <c r="AP2460" i="31"/>
  <c r="BA2460" i="31"/>
  <c r="BA2313" i="31"/>
  <c r="AP2313" i="31"/>
  <c r="H2313" i="31"/>
  <c r="AP840" i="31"/>
  <c r="BA840" i="31"/>
  <c r="H840" i="31"/>
  <c r="BA2389" i="31"/>
  <c r="AP2389" i="31"/>
  <c r="H2389" i="31"/>
  <c r="H251" i="31"/>
  <c r="BA251" i="31"/>
  <c r="AP251" i="31"/>
  <c r="BA2541" i="31"/>
  <c r="H2541" i="31"/>
  <c r="AP2541" i="31"/>
  <c r="AP922" i="31"/>
  <c r="H922" i="31"/>
  <c r="BA922" i="31"/>
  <c r="H2324" i="31"/>
  <c r="AP2324" i="31"/>
  <c r="BA2324" i="31"/>
  <c r="H228" i="31"/>
  <c r="BA228" i="31"/>
  <c r="AP228" i="31"/>
  <c r="BA1713" i="31"/>
  <c r="H1713" i="31"/>
  <c r="AP1713" i="31"/>
  <c r="H3365" i="31"/>
  <c r="AP3365" i="31"/>
  <c r="BA3365" i="31"/>
  <c r="H80" i="31"/>
  <c r="BA80" i="31"/>
  <c r="AP80" i="31"/>
  <c r="AP467" i="31"/>
  <c r="BA467" i="31"/>
  <c r="H467" i="31"/>
  <c r="BA2646" i="31"/>
  <c r="H2646" i="31"/>
  <c r="AP2646" i="31"/>
  <c r="BA542" i="31"/>
  <c r="H542" i="31"/>
  <c r="AP542" i="31"/>
  <c r="H196" i="31"/>
  <c r="BA196" i="31"/>
  <c r="AP196" i="31"/>
  <c r="BA1861" i="31"/>
  <c r="AP1861" i="31"/>
  <c r="H1861" i="31"/>
  <c r="H3313" i="31"/>
  <c r="BA3313" i="31"/>
  <c r="AP3313" i="31"/>
  <c r="AP2399" i="31"/>
  <c r="BA2399" i="31"/>
  <c r="H2399" i="31"/>
  <c r="BA3060" i="31"/>
  <c r="AP3060" i="31"/>
  <c r="H3060" i="31"/>
  <c r="BA2538" i="31"/>
  <c r="H2538" i="31"/>
  <c r="AP2538" i="31"/>
  <c r="BA122" i="31"/>
  <c r="H122" i="31"/>
  <c r="AP122" i="31"/>
  <c r="BA602" i="31"/>
  <c r="AP602" i="31"/>
  <c r="H602" i="31"/>
  <c r="AP1686" i="31"/>
  <c r="BA1686" i="31"/>
  <c r="H1686" i="31"/>
  <c r="BA287" i="31"/>
  <c r="H287" i="31"/>
  <c r="AP287" i="31"/>
  <c r="H180" i="31"/>
  <c r="AP180" i="31"/>
  <c r="BA180" i="31"/>
  <c r="H1291" i="31"/>
  <c r="AP1291" i="31"/>
  <c r="BA1291" i="31"/>
  <c r="AP2897" i="31"/>
  <c r="H2897" i="31"/>
  <c r="BA2897" i="31"/>
  <c r="BA3213" i="31"/>
  <c r="H3213" i="31"/>
  <c r="AP3213" i="31"/>
  <c r="AP3501" i="31"/>
  <c r="H3501" i="31"/>
  <c r="BA3501" i="31"/>
  <c r="HO19" i="10"/>
  <c r="HO20" i="10" s="1"/>
  <c r="BA697" i="31"/>
  <c r="H697" i="31"/>
  <c r="AP697" i="31"/>
  <c r="H797" i="31"/>
  <c r="BA797" i="31"/>
  <c r="AP797" i="31"/>
  <c r="AP1597" i="31"/>
  <c r="BA1597" i="31"/>
  <c r="H1597" i="31"/>
  <c r="AP2289" i="31"/>
  <c r="H2289" i="31"/>
  <c r="BA2289" i="31"/>
  <c r="H2818" i="31"/>
  <c r="BA2818" i="31"/>
  <c r="AP2818" i="31"/>
  <c r="BA1759" i="31"/>
  <c r="H1759" i="31"/>
  <c r="AP1759" i="31"/>
  <c r="AP2175" i="31"/>
  <c r="BA2175" i="31"/>
  <c r="H2175" i="31"/>
  <c r="H2492" i="31"/>
  <c r="AP2492" i="31"/>
  <c r="BA2492" i="31"/>
  <c r="H2129" i="31"/>
  <c r="AP2129" i="31"/>
  <c r="BA2129" i="31"/>
  <c r="BA133" i="31"/>
  <c r="AP133" i="31"/>
  <c r="H133" i="31"/>
  <c r="H406" i="31"/>
  <c r="AP406" i="31"/>
  <c r="BA406" i="31"/>
  <c r="H2956" i="31"/>
  <c r="AP2956" i="31"/>
  <c r="BA2956" i="31"/>
  <c r="AP1579" i="31"/>
  <c r="H1579" i="31"/>
  <c r="BA1579" i="31"/>
  <c r="BA1916" i="31"/>
  <c r="AP1916" i="31"/>
  <c r="H1916" i="31"/>
  <c r="H2272" i="31"/>
  <c r="AP2272" i="31"/>
  <c r="BA2272" i="31"/>
  <c r="H2868" i="31"/>
  <c r="BA2868" i="31"/>
  <c r="AP2868" i="31"/>
  <c r="BA2569" i="31"/>
  <c r="AP2569" i="31"/>
  <c r="H2569" i="31"/>
  <c r="BA567" i="31"/>
  <c r="H567" i="31"/>
  <c r="AP567" i="31"/>
  <c r="AP1701" i="31"/>
  <c r="BA1701" i="31"/>
  <c r="H1701" i="31"/>
  <c r="AP3409" i="31"/>
  <c r="H3409" i="31"/>
  <c r="BA3409" i="31"/>
  <c r="H2079" i="31"/>
  <c r="AP2079" i="31"/>
  <c r="BA2079" i="31"/>
  <c r="BA3329" i="31"/>
  <c r="AP3329" i="31"/>
  <c r="H3329" i="31"/>
  <c r="BA516" i="31"/>
  <c r="H516" i="31"/>
  <c r="AP516" i="31"/>
  <c r="H2107" i="31"/>
  <c r="AP2107" i="31"/>
  <c r="BA2107" i="31"/>
  <c r="H3067" i="31"/>
  <c r="BA3067" i="31"/>
  <c r="AP3067" i="31"/>
  <c r="H2123" i="31"/>
  <c r="BA2123" i="31"/>
  <c r="AP2123" i="31"/>
  <c r="H3388" i="31"/>
  <c r="BA3388" i="31"/>
  <c r="AP3388" i="31"/>
  <c r="H1033" i="31"/>
  <c r="AP1033" i="31"/>
  <c r="BA1033" i="31"/>
  <c r="AP1098" i="31"/>
  <c r="H1098" i="31"/>
  <c r="BA1098" i="31"/>
  <c r="AP1165" i="31"/>
  <c r="H1165" i="31"/>
  <c r="BA1165" i="31"/>
  <c r="H1751" i="31"/>
  <c r="BA1751" i="31"/>
  <c r="AP1751" i="31"/>
  <c r="H574" i="31"/>
  <c r="BA574" i="31"/>
  <c r="AP574" i="31"/>
  <c r="BA732" i="31"/>
  <c r="AP732" i="31"/>
  <c r="H732" i="31"/>
  <c r="H2402" i="31"/>
  <c r="AP2402" i="31"/>
  <c r="BA2402" i="31"/>
  <c r="H2082" i="31"/>
  <c r="BA2082" i="31"/>
  <c r="AP2082" i="31"/>
  <c r="AP2016" i="31"/>
  <c r="H2016" i="31"/>
  <c r="BA2016" i="31"/>
  <c r="H2830" i="31"/>
  <c r="AP2830" i="31"/>
  <c r="BA2830" i="31"/>
  <c r="BA2122" i="31"/>
  <c r="H2122" i="31"/>
  <c r="AP2122" i="31"/>
  <c r="AP1724" i="31"/>
  <c r="H1724" i="31"/>
  <c r="BA1724" i="31"/>
  <c r="BA2034" i="31"/>
  <c r="H2034" i="31"/>
  <c r="AP2034" i="31"/>
  <c r="H2024" i="31"/>
  <c r="BA2024" i="31"/>
  <c r="AP2024" i="31"/>
  <c r="AP2008" i="31"/>
  <c r="H2008" i="31"/>
  <c r="BA2008" i="31"/>
  <c r="AP670" i="31"/>
  <c r="H670" i="31"/>
  <c r="BA670" i="31"/>
  <c r="AP1936" i="31"/>
  <c r="BA1936" i="31"/>
  <c r="H1936" i="31"/>
  <c r="H1903" i="31"/>
  <c r="AP1903" i="31"/>
  <c r="BA1903" i="31"/>
  <c r="BA1783" i="31"/>
  <c r="AP1783" i="31"/>
  <c r="H1783" i="31"/>
  <c r="BA3438" i="31"/>
  <c r="AP3438" i="31"/>
  <c r="H3438" i="31"/>
  <c r="BA1690" i="31"/>
  <c r="H1690" i="31"/>
  <c r="AP1690" i="31"/>
  <c r="AP1408" i="31"/>
  <c r="BA1408" i="31"/>
  <c r="H1408" i="31"/>
  <c r="BA1407" i="31"/>
  <c r="H1407" i="31"/>
  <c r="AP1407" i="31"/>
  <c r="AP1902" i="31"/>
  <c r="BA1902" i="31"/>
  <c r="H1902" i="31"/>
  <c r="BA334" i="31"/>
  <c r="H334" i="31"/>
  <c r="AP334" i="31"/>
  <c r="BA1523" i="31"/>
  <c r="AP1523" i="31"/>
  <c r="H1523" i="31"/>
  <c r="H668" i="31"/>
  <c r="AP668" i="31"/>
  <c r="BA668" i="31"/>
  <c r="H3130" i="31"/>
  <c r="AP3130" i="31"/>
  <c r="BA3130" i="31"/>
  <c r="AP273" i="31"/>
  <c r="H273" i="31"/>
  <c r="BA273" i="31"/>
  <c r="AP669" i="31"/>
  <c r="H669" i="31"/>
  <c r="BA669" i="31"/>
  <c r="H3376" i="31"/>
  <c r="BA3376" i="31"/>
  <c r="AP3376" i="31"/>
  <c r="AP860" i="31"/>
  <c r="BA860" i="31"/>
  <c r="H860" i="31"/>
  <c r="BA3334" i="31"/>
  <c r="AP3334" i="31"/>
  <c r="H3334" i="31"/>
  <c r="AP1684" i="31"/>
  <c r="H1684" i="31"/>
  <c r="BA1684" i="31"/>
  <c r="AP2682" i="31"/>
  <c r="H2682" i="31"/>
  <c r="BA2682" i="31"/>
  <c r="H1834" i="31"/>
  <c r="AP1834" i="31"/>
  <c r="BA1834" i="31"/>
  <c r="AP2841" i="31"/>
  <c r="BA2841" i="31"/>
  <c r="H2841" i="31"/>
  <c r="H249" i="31"/>
  <c r="AP249" i="31"/>
  <c r="BA249" i="31"/>
  <c r="AP1159" i="31"/>
  <c r="H1159" i="31"/>
  <c r="BA1159" i="31"/>
  <c r="BA2928" i="31"/>
  <c r="H2928" i="31"/>
  <c r="AP2928" i="31"/>
  <c r="H2971" i="31"/>
  <c r="AP2971" i="31"/>
  <c r="BA2971" i="31"/>
  <c r="H1209" i="31"/>
  <c r="AP1209" i="31"/>
  <c r="BA1209" i="31"/>
  <c r="AP35" i="31"/>
  <c r="H35" i="31"/>
  <c r="BA35" i="31"/>
  <c r="AP1162" i="31"/>
  <c r="BA1162" i="31"/>
  <c r="H1162" i="31"/>
  <c r="AP1278" i="31"/>
  <c r="H1278" i="31"/>
  <c r="BA1278" i="31"/>
  <c r="AP165" i="31"/>
  <c r="BA165" i="31"/>
  <c r="H165" i="31"/>
  <c r="BA2486" i="31"/>
  <c r="AP2486" i="31"/>
  <c r="H2486" i="31"/>
  <c r="BA1386" i="31"/>
  <c r="H1386" i="31"/>
  <c r="AP1386" i="31"/>
  <c r="BA838" i="31"/>
  <c r="AP838" i="31"/>
  <c r="H838" i="31"/>
  <c r="H667" i="31"/>
  <c r="AP667" i="31"/>
  <c r="BA667" i="31"/>
  <c r="BA2937" i="31"/>
  <c r="H2937" i="31"/>
  <c r="AP2937" i="31"/>
  <c r="AP44" i="31"/>
  <c r="BA44" i="31"/>
  <c r="H44" i="31"/>
  <c r="H781" i="31"/>
  <c r="AP781" i="31"/>
  <c r="BA781" i="31"/>
  <c r="H2896" i="31"/>
  <c r="AP2896" i="31"/>
  <c r="BA2896" i="31"/>
  <c r="BA1914" i="31"/>
  <c r="H1914" i="31"/>
  <c r="AP1914" i="31"/>
  <c r="H2172" i="31"/>
  <c r="AP2172" i="31"/>
  <c r="BA2172" i="31"/>
  <c r="AP1046" i="31"/>
  <c r="H1046" i="31"/>
  <c r="BA1046" i="31"/>
  <c r="BA590" i="31"/>
  <c r="H590" i="31"/>
  <c r="AP590" i="31"/>
  <c r="BA306" i="31"/>
  <c r="H306" i="31"/>
  <c r="AP306" i="31"/>
  <c r="H2049" i="31"/>
  <c r="AP2049" i="31"/>
  <c r="BA2049" i="31"/>
  <c r="BA1790" i="31"/>
  <c r="H1790" i="31"/>
  <c r="AP1790" i="31"/>
  <c r="AP1279" i="31"/>
  <c r="H1279" i="31"/>
  <c r="BA1279" i="31"/>
  <c r="BA2343" i="31"/>
  <c r="H2343" i="31"/>
  <c r="AP2343" i="31"/>
  <c r="AP2844" i="31"/>
  <c r="BA2844" i="31"/>
  <c r="H2844" i="31"/>
  <c r="AP1947" i="31"/>
  <c r="H1947" i="31"/>
  <c r="BA1947" i="31"/>
  <c r="BA857" i="31"/>
  <c r="H857" i="31"/>
  <c r="AP857" i="31"/>
  <c r="BA930" i="31"/>
  <c r="AP930" i="31"/>
  <c r="H930" i="31"/>
  <c r="AP1202" i="31"/>
  <c r="H1202" i="31"/>
  <c r="BA1202" i="31"/>
  <c r="BA2264" i="31"/>
  <c r="AP2264" i="31"/>
  <c r="H2264" i="31"/>
  <c r="H1296" i="31"/>
  <c r="BA1296" i="31"/>
  <c r="AP1296" i="31"/>
  <c r="BA2753" i="31"/>
  <c r="AP2753" i="31"/>
  <c r="H2753" i="31"/>
  <c r="BA1261" i="31"/>
  <c r="H1261" i="31"/>
  <c r="AP1261" i="31"/>
  <c r="BA2966" i="31"/>
  <c r="AP2966" i="31"/>
  <c r="H2966" i="31"/>
  <c r="AP1851" i="31"/>
  <c r="BA1851" i="31"/>
  <c r="H1851" i="31"/>
  <c r="H3240" i="31"/>
  <c r="AP3240" i="31"/>
  <c r="BA3240" i="31"/>
  <c r="BA2463" i="31"/>
  <c r="H2463" i="31"/>
  <c r="AP2463" i="31"/>
  <c r="BA2887" i="31"/>
  <c r="AP2887" i="31"/>
  <c r="H2887" i="31"/>
  <c r="AP1146" i="31"/>
  <c r="BA1146" i="31"/>
  <c r="H1146" i="31"/>
  <c r="BA1319" i="31"/>
  <c r="H1319" i="31"/>
  <c r="AP1319" i="31"/>
  <c r="H1425" i="31"/>
  <c r="AP1425" i="31"/>
  <c r="BA1425" i="31"/>
  <c r="BA678" i="31"/>
  <c r="H678" i="31"/>
  <c r="AP678" i="31"/>
  <c r="AP772" i="31"/>
  <c r="BA772" i="31"/>
  <c r="H772" i="31"/>
  <c r="AP759" i="31"/>
  <c r="H759" i="31"/>
  <c r="BA759" i="31"/>
  <c r="H1022" i="31"/>
  <c r="BA1022" i="31"/>
  <c r="AP1022" i="31"/>
  <c r="H1343" i="31"/>
  <c r="BA1343" i="31"/>
  <c r="AP1343" i="31"/>
  <c r="H2077" i="31"/>
  <c r="BA2077" i="31"/>
  <c r="AP2077" i="31"/>
  <c r="BA3009" i="31"/>
  <c r="AP3009" i="31"/>
  <c r="H3009" i="31"/>
  <c r="AP935" i="31"/>
  <c r="BA935" i="31"/>
  <c r="H935" i="31"/>
  <c r="BA1886" i="31"/>
  <c r="H1886" i="31"/>
  <c r="AP1886" i="31"/>
  <c r="BA2755" i="31"/>
  <c r="H2755" i="31"/>
  <c r="AP2755" i="31"/>
  <c r="AP2321" i="31"/>
  <c r="BA2321" i="31"/>
  <c r="H2321" i="31"/>
  <c r="BA1647" i="31"/>
  <c r="H1647" i="31"/>
  <c r="AP1647" i="31"/>
  <c r="AP1025" i="31"/>
  <c r="BA1025" i="31"/>
  <c r="H1025" i="31"/>
  <c r="BA3055" i="31"/>
  <c r="H3055" i="31"/>
  <c r="AP3055" i="31"/>
  <c r="H288" i="31"/>
  <c r="AP288" i="31"/>
  <c r="BA288" i="31"/>
  <c r="H2509" i="31"/>
  <c r="AP2509" i="31"/>
  <c r="BA2509" i="31"/>
  <c r="H1264" i="31"/>
  <c r="AP1264" i="31"/>
  <c r="BA1264" i="31"/>
  <c r="H836" i="31"/>
  <c r="BA836" i="31"/>
  <c r="AP836" i="31"/>
  <c r="BA1123" i="31"/>
  <c r="H1123" i="31"/>
  <c r="AP1123" i="31"/>
  <c r="AP1169" i="31"/>
  <c r="H1169" i="31"/>
  <c r="BA1169" i="31"/>
  <c r="BA2368" i="31"/>
  <c r="AP2368" i="31"/>
  <c r="H2368" i="31"/>
  <c r="AP2676" i="31"/>
  <c r="BA2676" i="31"/>
  <c r="H2676" i="31"/>
  <c r="BA3003" i="31"/>
  <c r="AP3003" i="31"/>
  <c r="H3003" i="31"/>
  <c r="BA1061" i="31"/>
  <c r="H1061" i="31"/>
  <c r="AP1061" i="31"/>
  <c r="H927" i="31"/>
  <c r="AP927" i="31"/>
  <c r="BA927" i="31"/>
  <c r="BA1397" i="31"/>
  <c r="H1397" i="31"/>
  <c r="AP1397" i="31"/>
  <c r="H1931" i="31"/>
  <c r="BA1931" i="31"/>
  <c r="AP1931" i="31"/>
  <c r="BA1128" i="31"/>
  <c r="AP1128" i="31"/>
  <c r="H1128" i="31"/>
  <c r="AP1249" i="31"/>
  <c r="H1249" i="31"/>
  <c r="BA1249" i="31"/>
  <c r="AP2916" i="31"/>
  <c r="BA2916" i="31"/>
  <c r="H2916" i="31"/>
  <c r="AP2642" i="31"/>
  <c r="BA2642" i="31"/>
  <c r="H2642" i="31"/>
  <c r="H443" i="31"/>
  <c r="BA443" i="31"/>
  <c r="AP443" i="31"/>
  <c r="AP2098" i="31"/>
  <c r="BA2098" i="31"/>
  <c r="H2098" i="31"/>
  <c r="AP3205" i="31"/>
  <c r="H3205" i="31"/>
  <c r="BA3205" i="31"/>
  <c r="H1356" i="31"/>
  <c r="BA1356" i="31"/>
  <c r="AP1356" i="31"/>
  <c r="AP271" i="31"/>
  <c r="BA271" i="31"/>
  <c r="H271" i="31"/>
  <c r="H3135" i="31"/>
  <c r="BA3135" i="31"/>
  <c r="AP3135" i="31"/>
  <c r="AP2616" i="31"/>
  <c r="BA2616" i="31"/>
  <c r="H2616" i="31"/>
  <c r="AP2684" i="31"/>
  <c r="H2684" i="31"/>
  <c r="BA2684" i="31"/>
  <c r="H1723" i="31"/>
  <c r="BA1723" i="31"/>
  <c r="AP1723" i="31"/>
  <c r="BA789" i="31"/>
  <c r="AP789" i="31"/>
  <c r="H789" i="31"/>
  <c r="AP1901" i="31"/>
  <c r="H1901" i="31"/>
  <c r="BA1901" i="31"/>
  <c r="H2450" i="31"/>
  <c r="AP2450" i="31"/>
  <c r="BA2450" i="31"/>
  <c r="H553" i="31"/>
  <c r="BA553" i="31"/>
  <c r="AP553" i="31"/>
  <c r="AP1680" i="31"/>
  <c r="H1680" i="31"/>
  <c r="BA1680" i="31"/>
  <c r="H1671" i="31"/>
  <c r="BA1671" i="31"/>
  <c r="AP1671" i="31"/>
  <c r="AP3363" i="31"/>
  <c r="H3363" i="31"/>
  <c r="BA3363" i="31"/>
  <c r="BA18" i="31"/>
  <c r="AP18" i="31"/>
  <c r="H18" i="31"/>
  <c r="AP117" i="31"/>
  <c r="H117" i="31"/>
  <c r="BA117" i="31"/>
  <c r="H3498" i="31"/>
  <c r="BA3498" i="31"/>
  <c r="AP3498" i="31"/>
  <c r="AP491" i="31"/>
  <c r="BA491" i="31"/>
  <c r="H491" i="31"/>
  <c r="AP2517" i="31"/>
  <c r="BA2517" i="31"/>
  <c r="H2517" i="31"/>
  <c r="AP2823" i="31"/>
  <c r="H2823" i="31"/>
  <c r="BA2823" i="31"/>
  <c r="AP2533" i="31"/>
  <c r="BA2533" i="31"/>
  <c r="H2533" i="31"/>
  <c r="H3481" i="31"/>
  <c r="BA3481" i="31"/>
  <c r="AP3481" i="31"/>
  <c r="AP108" i="31"/>
  <c r="H108" i="31"/>
  <c r="BA108" i="31"/>
  <c r="K3524" i="31"/>
  <c r="AQ3524" i="31" a="1"/>
  <c r="AQ3524" i="31" s="1"/>
  <c r="E3524" i="31"/>
  <c r="I3524" i="31"/>
  <c r="M3524" i="31" a="1"/>
  <c r="M3524" i="31" s="1"/>
  <c r="P3524" i="31" a="1"/>
  <c r="P3524" i="31" s="1"/>
  <c r="BA450" i="31"/>
  <c r="H450" i="31"/>
  <c r="AP450" i="31"/>
  <c r="BA1183" i="31"/>
  <c r="H1183" i="31"/>
  <c r="AP1183" i="31"/>
  <c r="H297" i="31"/>
  <c r="BA297" i="31"/>
  <c r="AP297" i="31"/>
  <c r="BA761" i="31"/>
  <c r="AP761" i="31"/>
  <c r="H761" i="31"/>
  <c r="H2933" i="31"/>
  <c r="AP2933" i="31"/>
  <c r="BA2933" i="31"/>
  <c r="BA1708" i="31"/>
  <c r="AP1708" i="31"/>
  <c r="H1708" i="31"/>
  <c r="AP1176" i="31"/>
  <c r="H1176" i="31"/>
  <c r="BA1176" i="31"/>
  <c r="BA2961" i="31"/>
  <c r="H2961" i="31"/>
  <c r="AP2961" i="31"/>
  <c r="BA2530" i="31"/>
  <c r="AP2530" i="31"/>
  <c r="H2530" i="31"/>
  <c r="H3000" i="31"/>
  <c r="AP3000" i="31"/>
  <c r="BA3000" i="31"/>
  <c r="AP2196" i="31"/>
  <c r="H2196" i="31"/>
  <c r="BA2196" i="31"/>
  <c r="H2219" i="31"/>
  <c r="AP2219" i="31"/>
  <c r="BA2219" i="31"/>
  <c r="H763" i="31"/>
  <c r="BA763" i="31"/>
  <c r="AP763" i="31"/>
  <c r="BA264" i="31"/>
  <c r="AP264" i="31"/>
  <c r="H264" i="31"/>
  <c r="BA2736" i="31"/>
  <c r="AP2736" i="31"/>
  <c r="H2736" i="31"/>
  <c r="H2935" i="31"/>
  <c r="AP2935" i="31"/>
  <c r="BA2935" i="31"/>
  <c r="BA1047" i="31"/>
  <c r="AP1047" i="31"/>
  <c r="H1047" i="31"/>
  <c r="H1769" i="31"/>
  <c r="BA1769" i="31"/>
  <c r="AP1769" i="31"/>
  <c r="AP2644" i="31"/>
  <c r="H2644" i="31"/>
  <c r="BA2644" i="31"/>
  <c r="H410" i="31"/>
  <c r="AP410" i="31"/>
  <c r="BA410" i="31"/>
  <c r="BA2775" i="31"/>
  <c r="AP2775" i="31"/>
  <c r="H2775" i="31"/>
  <c r="AP3204" i="31"/>
  <c r="BA3204" i="31"/>
  <c r="H3204" i="31"/>
  <c r="AP1446" i="31"/>
  <c r="H1446" i="31"/>
  <c r="BA1446" i="31"/>
  <c r="BA3151" i="31"/>
  <c r="AP3151" i="31"/>
  <c r="H3151" i="31"/>
  <c r="BA494" i="31"/>
  <c r="H494" i="31"/>
  <c r="AP494" i="31"/>
  <c r="H2849" i="31"/>
  <c r="BA2849" i="31"/>
  <c r="AP2849" i="31"/>
  <c r="H3090" i="31"/>
  <c r="AP3090" i="31"/>
  <c r="BA3090" i="31"/>
  <c r="H2513" i="31"/>
  <c r="BA2513" i="31"/>
  <c r="AP2513" i="31"/>
  <c r="H2040" i="31"/>
  <c r="BA2040" i="31"/>
  <c r="AP2040" i="31"/>
  <c r="H2846" i="31"/>
  <c r="AP2846" i="31"/>
  <c r="BA2846" i="31"/>
  <c r="BA2475" i="31"/>
  <c r="H2475" i="31"/>
  <c r="AP2475" i="31"/>
  <c r="AP360" i="31"/>
  <c r="H360" i="31"/>
  <c r="BA360" i="31"/>
  <c r="AP829" i="31"/>
  <c r="H829" i="31"/>
  <c r="BA829" i="31"/>
  <c r="H849" i="31"/>
  <c r="BA849" i="31"/>
  <c r="AP849" i="31"/>
  <c r="AP806" i="31"/>
  <c r="BA806" i="31"/>
  <c r="H806" i="31"/>
  <c r="H2007" i="31"/>
  <c r="BA2007" i="31"/>
  <c r="AP2007" i="31"/>
  <c r="H2148" i="31"/>
  <c r="AP2148" i="31"/>
  <c r="BA2148" i="31"/>
  <c r="BA1276" i="31"/>
  <c r="AP1276" i="31"/>
  <c r="H1276" i="31"/>
  <c r="BA1349" i="31"/>
  <c r="H1349" i="31"/>
  <c r="AP1349" i="31"/>
  <c r="H1882" i="31"/>
  <c r="AP1882" i="31"/>
  <c r="BA1882" i="31"/>
  <c r="H2182" i="31"/>
  <c r="AP2182" i="31"/>
  <c r="BA2182" i="31"/>
  <c r="BA2748" i="31"/>
  <c r="H2748" i="31"/>
  <c r="AP2748" i="31"/>
  <c r="AP1737" i="31"/>
  <c r="BA1737" i="31"/>
  <c r="H1737" i="31"/>
  <c r="AP21" i="31"/>
  <c r="H21" i="31"/>
  <c r="BA21" i="31"/>
  <c r="H2594" i="31"/>
  <c r="AP2594" i="31"/>
  <c r="BA2594" i="31"/>
  <c r="BA2693" i="31"/>
  <c r="AP2693" i="31"/>
  <c r="H2693" i="31"/>
  <c r="BA285" i="31"/>
  <c r="AP285" i="31"/>
  <c r="H285" i="31"/>
  <c r="AP2415" i="31"/>
  <c r="H2415" i="31"/>
  <c r="BA2415" i="31"/>
  <c r="AP2373" i="31"/>
  <c r="BA2373" i="31"/>
  <c r="H2373" i="31"/>
  <c r="AP1696" i="31"/>
  <c r="H1696" i="31"/>
  <c r="BA1696" i="31"/>
  <c r="H2279" i="31"/>
  <c r="AP2279" i="31"/>
  <c r="BA2279" i="31"/>
  <c r="AP295" i="31"/>
  <c r="BA295" i="31"/>
  <c r="H295" i="31"/>
  <c r="BA2193" i="31"/>
  <c r="H2193" i="31"/>
  <c r="AP2193" i="31"/>
  <c r="BA665" i="31"/>
  <c r="AP665" i="31"/>
  <c r="H665" i="31"/>
  <c r="AP575" i="31"/>
  <c r="H575" i="31"/>
  <c r="BA575" i="31"/>
  <c r="AP3285" i="31"/>
  <c r="H3285" i="31"/>
  <c r="BA3285" i="31"/>
  <c r="AP3485" i="31"/>
  <c r="H3485" i="31"/>
  <c r="BA3485" i="31"/>
  <c r="CJ20" i="10"/>
  <c r="CI20" i="10"/>
  <c r="BZ20" i="10"/>
  <c r="BW20" i="10"/>
  <c r="P3521" i="31" s="1" a="1"/>
  <c r="P3521" i="31" s="1"/>
  <c r="CH11" i="10"/>
  <c r="CB20" i="10"/>
  <c r="BA1462" i="31"/>
  <c r="AP1462" i="31"/>
  <c r="H1462" i="31"/>
  <c r="H379" i="31"/>
  <c r="AP379" i="31"/>
  <c r="BA379" i="31"/>
  <c r="BA1372" i="31"/>
  <c r="H1372" i="31"/>
  <c r="AP1372" i="31"/>
  <c r="AP2111" i="31"/>
  <c r="H2111" i="31"/>
  <c r="BA2111" i="31"/>
  <c r="H1021" i="31"/>
  <c r="AP1021" i="31"/>
  <c r="BA1021" i="31"/>
  <c r="H1990" i="31"/>
  <c r="AP1990" i="31"/>
  <c r="BA1990" i="31"/>
  <c r="BA656" i="31"/>
  <c r="AP656" i="31"/>
  <c r="H656" i="31"/>
  <c r="H2110" i="31"/>
  <c r="BA2110" i="31"/>
  <c r="AP2110" i="31"/>
  <c r="H870" i="31"/>
  <c r="BA870" i="31"/>
  <c r="AP870" i="31"/>
  <c r="AP2270" i="31"/>
  <c r="H2270" i="31"/>
  <c r="BA2270" i="31"/>
  <c r="BA1140" i="31"/>
  <c r="H1140" i="31"/>
  <c r="AP1140" i="31"/>
  <c r="H1448" i="31"/>
  <c r="AP1448" i="31"/>
  <c r="BA1448" i="31"/>
  <c r="H1150" i="31"/>
  <c r="AP1150" i="31"/>
  <c r="BA1150" i="31"/>
  <c r="AP2003" i="31"/>
  <c r="BA2003" i="31"/>
  <c r="H2003" i="31"/>
  <c r="AP3381" i="31"/>
  <c r="H3381" i="31"/>
  <c r="BA3381" i="31"/>
  <c r="BA694" i="31"/>
  <c r="H694" i="31"/>
  <c r="AP694" i="31"/>
  <c r="H1129" i="31"/>
  <c r="AP1129" i="31"/>
  <c r="BA1129" i="31"/>
  <c r="H1718" i="31"/>
  <c r="BA1718" i="31"/>
  <c r="AP1718" i="31"/>
  <c r="AP3157" i="31"/>
  <c r="BA3157" i="31"/>
  <c r="H3157" i="31"/>
  <c r="H2989" i="31"/>
  <c r="BA2989" i="31"/>
  <c r="AP2989" i="31"/>
  <c r="H2204" i="31"/>
  <c r="AP2204" i="31"/>
  <c r="BA2204" i="31"/>
  <c r="AP3024" i="31"/>
  <c r="BA3024" i="31"/>
  <c r="H3024" i="31"/>
  <c r="BA2356" i="31"/>
  <c r="H2356" i="31"/>
  <c r="AP2356" i="31"/>
  <c r="BA2623" i="31"/>
  <c r="H2623" i="31"/>
  <c r="AP2623" i="31"/>
  <c r="H2234" i="31"/>
  <c r="AP2234" i="31"/>
  <c r="BA2234" i="31"/>
  <c r="H2297" i="31"/>
  <c r="AP2297" i="31"/>
  <c r="BA2297" i="31"/>
  <c r="BA1793" i="31"/>
  <c r="H1793" i="31"/>
  <c r="AP1793" i="31"/>
  <c r="AP3173" i="31"/>
  <c r="BA3173" i="31"/>
  <c r="H3173" i="31"/>
  <c r="H231" i="31"/>
  <c r="BA231" i="31"/>
  <c r="AP231" i="31"/>
  <c r="AP3442" i="31"/>
  <c r="H3442" i="31"/>
  <c r="BA3442" i="31"/>
  <c r="AP814" i="31"/>
  <c r="BA814" i="31"/>
  <c r="H814" i="31"/>
  <c r="BA2478" i="31"/>
  <c r="AP2478" i="31"/>
  <c r="H2478" i="31"/>
  <c r="AP2134" i="31"/>
  <c r="H2134" i="31"/>
  <c r="BA2134" i="31"/>
  <c r="H218" i="31"/>
  <c r="AP218" i="31"/>
  <c r="BA218" i="31"/>
  <c r="H356" i="31"/>
  <c r="BA356" i="31"/>
  <c r="AP356" i="31"/>
  <c r="BA1497" i="31"/>
  <c r="AP1497" i="31"/>
  <c r="H1497" i="31"/>
  <c r="BA3116" i="31"/>
  <c r="AP3116" i="31"/>
  <c r="H3116" i="31"/>
  <c r="AP2170" i="31"/>
  <c r="BA2170" i="31"/>
  <c r="H2170" i="31"/>
  <c r="BA2039" i="31"/>
  <c r="H2039" i="31"/>
  <c r="AP2039" i="31"/>
  <c r="H65" i="31"/>
  <c r="BA65" i="31"/>
  <c r="AP65" i="31"/>
  <c r="BA3189" i="31"/>
  <c r="AP3189" i="31"/>
  <c r="H3189" i="31"/>
  <c r="AP2519" i="31"/>
  <c r="H2519" i="31"/>
  <c r="BA2519" i="31"/>
  <c r="AP683" i="31"/>
  <c r="BA683" i="31"/>
  <c r="H683" i="31"/>
  <c r="H1379" i="31"/>
  <c r="BA1379" i="31"/>
  <c r="AP1379" i="31"/>
  <c r="AP757" i="31"/>
  <c r="H757" i="31"/>
  <c r="BA757" i="31"/>
  <c r="AP2364" i="31"/>
  <c r="BA2364" i="31"/>
  <c r="H2364" i="31"/>
  <c r="BA250" i="31"/>
  <c r="H250" i="31"/>
  <c r="AP250" i="31"/>
  <c r="BA1973" i="31"/>
  <c r="H1973" i="31"/>
  <c r="AP1973" i="31"/>
  <c r="H515" i="31"/>
  <c r="AP515" i="31"/>
  <c r="BA515" i="31"/>
  <c r="H3153" i="31"/>
  <c r="AP3153" i="31"/>
  <c r="BA3153" i="31"/>
  <c r="AP2685" i="31"/>
  <c r="BA2685" i="31"/>
  <c r="H2685" i="31"/>
  <c r="AP1849" i="31"/>
  <c r="BA1849" i="31"/>
  <c r="H1849" i="31"/>
  <c r="H2975" i="31"/>
  <c r="BA2975" i="31"/>
  <c r="AP2975" i="31"/>
  <c r="BA3276" i="31"/>
  <c r="AP3276" i="31"/>
  <c r="H3276" i="31"/>
  <c r="BA2130" i="31"/>
  <c r="H2130" i="31"/>
  <c r="AP2130" i="31"/>
  <c r="BA2768" i="31"/>
  <c r="H2768" i="31"/>
  <c r="AP2768" i="31"/>
  <c r="BA1779" i="31"/>
  <c r="AP1779" i="31"/>
  <c r="H1779" i="31"/>
  <c r="BA673" i="31"/>
  <c r="AP673" i="31"/>
  <c r="H673" i="31"/>
  <c r="BA2441" i="31"/>
  <c r="H2441" i="31"/>
  <c r="AP2441" i="31"/>
  <c r="BA424" i="31"/>
  <c r="AP424" i="31"/>
  <c r="H424" i="31"/>
  <c r="BA1933" i="31"/>
  <c r="AP1933" i="31"/>
  <c r="H1933" i="31"/>
  <c r="AP1472" i="31"/>
  <c r="H1472" i="31"/>
  <c r="BA1472" i="31"/>
  <c r="AP2939" i="31"/>
  <c r="H2939" i="31"/>
  <c r="BA2939" i="31"/>
  <c r="H2683" i="31"/>
  <c r="AP2683" i="31"/>
  <c r="BA2683" i="31"/>
  <c r="AP1630" i="31"/>
  <c r="H1630" i="31"/>
  <c r="BA1630" i="31"/>
  <c r="AP3423" i="31"/>
  <c r="H3423" i="31"/>
  <c r="BA3423" i="31"/>
  <c r="H577" i="31"/>
  <c r="AP577" i="31"/>
  <c r="BA577" i="31"/>
  <c r="AP1450" i="31"/>
  <c r="BA1450" i="31"/>
  <c r="H1450" i="31"/>
  <c r="BA1722" i="31"/>
  <c r="H1722" i="31"/>
  <c r="AP1722" i="31"/>
  <c r="AP1195" i="31"/>
  <c r="H1195" i="31"/>
  <c r="BA1195" i="31"/>
  <c r="AP1160" i="31"/>
  <c r="H1160" i="31"/>
  <c r="BA1160" i="31"/>
  <c r="AP2147" i="31"/>
  <c r="BA2147" i="31"/>
  <c r="H2147" i="31"/>
  <c r="BA368" i="31"/>
  <c r="H368" i="31"/>
  <c r="AP368" i="31"/>
  <c r="AP1750" i="31"/>
  <c r="BA1750" i="31"/>
  <c r="H1750" i="31"/>
  <c r="AP1387" i="31"/>
  <c r="BA1387" i="31"/>
  <c r="H1387" i="31"/>
  <c r="BA3181" i="31"/>
  <c r="H3181" i="31"/>
  <c r="AP3181" i="31"/>
  <c r="AP3294" i="31"/>
  <c r="BA3294" i="31"/>
  <c r="H3294" i="31"/>
  <c r="AP2501" i="31"/>
  <c r="BA2501" i="31"/>
  <c r="H2501" i="31"/>
  <c r="H2153" i="31"/>
  <c r="BA2153" i="31"/>
  <c r="AP2153" i="31"/>
  <c r="H755" i="31"/>
  <c r="BA755" i="31"/>
  <c r="AP755" i="31"/>
  <c r="AP801" i="31"/>
  <c r="H801" i="31"/>
  <c r="BA801" i="31"/>
  <c r="BA1132" i="31"/>
  <c r="AP1132" i="31"/>
  <c r="H1132" i="31"/>
  <c r="BA3068" i="31"/>
  <c r="H3068" i="31"/>
  <c r="AP3068" i="31"/>
  <c r="BA2145" i="31"/>
  <c r="AP2145" i="31"/>
  <c r="H2145" i="31"/>
  <c r="AP497" i="31"/>
  <c r="BA497" i="31"/>
  <c r="H497" i="31"/>
  <c r="H2917" i="31"/>
  <c r="AP2917" i="31"/>
  <c r="BA2917" i="31"/>
  <c r="BA2875" i="31"/>
  <c r="AP2875" i="31"/>
  <c r="H2875" i="31"/>
  <c r="H2394" i="31"/>
  <c r="AP2394" i="31"/>
  <c r="BA2394" i="31"/>
  <c r="BA2727" i="31"/>
  <c r="H2727" i="31"/>
  <c r="AP2727" i="31"/>
  <c r="BA753" i="31"/>
  <c r="H753" i="31"/>
  <c r="AP753" i="31"/>
  <c r="BA2392" i="31"/>
  <c r="AP2392" i="31"/>
  <c r="H2392" i="31"/>
  <c r="AP2387" i="31"/>
  <c r="H2387" i="31"/>
  <c r="BA2387" i="31"/>
  <c r="BA3140" i="31"/>
  <c r="AP3140" i="31"/>
  <c r="H3140" i="31"/>
  <c r="AP1483" i="31"/>
  <c r="H1483" i="31"/>
  <c r="BA1483" i="31"/>
  <c r="AP1844" i="31"/>
  <c r="H1844" i="31"/>
  <c r="BA1844" i="31"/>
  <c r="H245" i="31"/>
  <c r="BA245" i="31"/>
  <c r="AP245" i="31"/>
  <c r="H1484" i="31"/>
  <c r="AP1484" i="31"/>
  <c r="BA1484" i="31"/>
  <c r="H1580" i="31"/>
  <c r="BA1580" i="31"/>
  <c r="AP1580" i="31"/>
  <c r="BA1350" i="31"/>
  <c r="H1350" i="31"/>
  <c r="AP1350" i="31"/>
  <c r="H341" i="31"/>
  <c r="BA341" i="31"/>
  <c r="AP341" i="31"/>
  <c r="AP2449" i="31"/>
  <c r="BA2449" i="31"/>
  <c r="H2449" i="31"/>
  <c r="BA2661" i="31"/>
  <c r="H2661" i="31"/>
  <c r="AP2661" i="31"/>
  <c r="BA2664" i="31"/>
  <c r="AP2664" i="31"/>
  <c r="H2664" i="31"/>
  <c r="BA2610" i="31"/>
  <c r="H2610" i="31"/>
  <c r="AP2610" i="31"/>
  <c r="BA1219" i="31"/>
  <c r="H1219" i="31"/>
  <c r="AP1219" i="31"/>
  <c r="H1787" i="31"/>
  <c r="AP1787" i="31"/>
  <c r="BA1787" i="31"/>
  <c r="BA2397" i="31"/>
  <c r="H2397" i="31"/>
  <c r="AP2397" i="31"/>
  <c r="H630" i="31"/>
  <c r="BA630" i="31"/>
  <c r="AP630" i="31"/>
  <c r="BA581" i="31"/>
  <c r="AP581" i="31"/>
  <c r="H581" i="31"/>
  <c r="AP3011" i="31"/>
  <c r="BA3011" i="31"/>
  <c r="H3011" i="31"/>
  <c r="H2810" i="31"/>
  <c r="BA2810" i="31"/>
  <c r="AP2810" i="31"/>
  <c r="H2520" i="31"/>
  <c r="BA2520" i="31"/>
  <c r="AP2520" i="31"/>
  <c r="AP2230" i="31"/>
  <c r="BA2230" i="31"/>
  <c r="H2230" i="31"/>
  <c r="BA2632" i="31"/>
  <c r="H2632" i="31"/>
  <c r="AP2632" i="31"/>
  <c r="AP504" i="31"/>
  <c r="H504" i="31"/>
  <c r="BA504" i="31"/>
  <c r="H261" i="31"/>
  <c r="AP261" i="31"/>
  <c r="BA261" i="31"/>
  <c r="BA531" i="31"/>
  <c r="H531" i="31"/>
  <c r="AP531" i="31"/>
  <c r="H229" i="31"/>
  <c r="BA229" i="31"/>
  <c r="AP229" i="31"/>
  <c r="AP3069" i="31"/>
  <c r="H3069" i="31"/>
  <c r="BA3069" i="31"/>
  <c r="BA856" i="31"/>
  <c r="AP856" i="31"/>
  <c r="H856" i="31"/>
  <c r="AP337" i="31"/>
  <c r="H337" i="31"/>
  <c r="BA337" i="31"/>
  <c r="H488" i="31"/>
  <c r="AP488" i="31"/>
  <c r="BA488" i="31"/>
  <c r="BA942" i="31"/>
  <c r="H942" i="31"/>
  <c r="AP942" i="31"/>
  <c r="BA1969" i="31"/>
  <c r="AP1969" i="31"/>
  <c r="H1969" i="31"/>
  <c r="AP3400" i="31"/>
  <c r="BA3400" i="31"/>
  <c r="H3400" i="31"/>
  <c r="H3386" i="31"/>
  <c r="AP3386" i="31"/>
  <c r="BA3386" i="31"/>
  <c r="H2719" i="31"/>
  <c r="BA2719" i="31"/>
  <c r="AP2719" i="31"/>
  <c r="H2237" i="31"/>
  <c r="BA2237" i="31"/>
  <c r="AP2237" i="31"/>
  <c r="BA1105" i="31"/>
  <c r="H1105" i="31"/>
  <c r="AP1105" i="31"/>
  <c r="H1358" i="31"/>
  <c r="AP1358" i="31"/>
  <c r="BA1358" i="31"/>
  <c r="H2390" i="31"/>
  <c r="AP2390" i="31"/>
  <c r="BA2390" i="31"/>
  <c r="AP2188" i="31"/>
  <c r="H2188" i="31"/>
  <c r="BA2188" i="31"/>
  <c r="BA1193" i="31"/>
  <c r="AP1193" i="31"/>
  <c r="H1193" i="31"/>
  <c r="AP1521" i="31"/>
  <c r="H1521" i="31"/>
  <c r="BA1521" i="31"/>
  <c r="BA3080" i="31"/>
  <c r="H3080" i="31"/>
  <c r="AP3080" i="31"/>
  <c r="H2959" i="31"/>
  <c r="AP2959" i="31"/>
  <c r="BA2959" i="31"/>
  <c r="AP2967" i="31"/>
  <c r="H2967" i="31"/>
  <c r="BA2967" i="31"/>
  <c r="BA1664" i="31"/>
  <c r="H1664" i="31"/>
  <c r="AP1664" i="31"/>
  <c r="BA2747" i="31"/>
  <c r="H2747" i="31"/>
  <c r="AP2747" i="31"/>
  <c r="AP934" i="31"/>
  <c r="BA934" i="31"/>
  <c r="H934" i="31"/>
  <c r="BA3468" i="31"/>
  <c r="AP3468" i="31"/>
  <c r="H3468" i="31"/>
  <c r="BA3015" i="31"/>
  <c r="AP3015" i="31"/>
  <c r="H3015" i="31"/>
  <c r="H912" i="31"/>
  <c r="AP912" i="31"/>
  <c r="BA912" i="31"/>
  <c r="BA161" i="31"/>
  <c r="AP161" i="31"/>
  <c r="H161" i="31"/>
  <c r="BA867" i="31"/>
  <c r="AP867" i="31"/>
  <c r="H867" i="31"/>
  <c r="BA537" i="31"/>
  <c r="AP537" i="31"/>
  <c r="H537" i="31"/>
  <c r="BA140" i="31"/>
  <c r="H140" i="31"/>
  <c r="AP140" i="31"/>
  <c r="H2540" i="31"/>
  <c r="AP2540" i="31"/>
  <c r="BA2540" i="31"/>
  <c r="H1256" i="31"/>
  <c r="BA1256" i="31"/>
  <c r="AP1256" i="31"/>
  <c r="H1428" i="31"/>
  <c r="BA1428" i="31"/>
  <c r="AP1428" i="31"/>
  <c r="H3515" i="31"/>
  <c r="BA3515" i="31"/>
  <c r="AP3515" i="31"/>
  <c r="BA613" i="31"/>
  <c r="H613" i="31"/>
  <c r="AP613" i="31"/>
  <c r="BA2892" i="31"/>
  <c r="AP2892" i="31"/>
  <c r="H2892" i="31"/>
  <c r="H1182" i="31"/>
  <c r="AP1182" i="31"/>
  <c r="BA1182" i="31"/>
  <c r="BA3275" i="31"/>
  <c r="AP3275" i="31"/>
  <c r="H3275" i="31"/>
  <c r="H3482" i="31"/>
  <c r="BA3482" i="31"/>
  <c r="AP3482" i="31"/>
  <c r="H2548" i="31"/>
  <c r="AP2548" i="31"/>
  <c r="BA2548" i="31"/>
  <c r="BA987" i="31"/>
  <c r="H987" i="31"/>
  <c r="AP987" i="31"/>
  <c r="AP916" i="31"/>
  <c r="BA916" i="31"/>
  <c r="H916" i="31"/>
  <c r="H1163" i="31"/>
  <c r="AP1163" i="31"/>
  <c r="BA1163" i="31"/>
  <c r="H3465" i="31"/>
  <c r="BA3465" i="31"/>
  <c r="AP3465" i="31"/>
  <c r="BA1635" i="31"/>
  <c r="AP1635" i="31"/>
  <c r="H1635" i="31"/>
  <c r="H1496" i="31"/>
  <c r="AP1496" i="31"/>
  <c r="BA1496" i="31"/>
  <c r="H2560" i="31"/>
  <c r="BA2560" i="31"/>
  <c r="AP2560" i="31"/>
  <c r="AP3338" i="31"/>
  <c r="H3338" i="31"/>
  <c r="BA3338" i="31"/>
  <c r="AP3038" i="31"/>
  <c r="BA3038" i="31"/>
  <c r="H3038" i="31"/>
  <c r="BA1171" i="31"/>
  <c r="H1171" i="31"/>
  <c r="AP1171" i="31"/>
  <c r="H1581" i="31"/>
  <c r="AP1581" i="31"/>
  <c r="BA1581" i="31"/>
  <c r="H2261" i="31"/>
  <c r="AP2261" i="31"/>
  <c r="BA2261" i="31"/>
  <c r="BA1245" i="31"/>
  <c r="AP1245" i="31"/>
  <c r="H1245" i="31"/>
  <c r="H2858" i="31"/>
  <c r="BA2858" i="31"/>
  <c r="AP2858" i="31"/>
  <c r="BA1831" i="31"/>
  <c r="H1831" i="31"/>
  <c r="AP1831" i="31"/>
  <c r="AP482" i="31"/>
  <c r="H482" i="31"/>
  <c r="BA482" i="31"/>
  <c r="BA1995" i="31"/>
  <c r="H1995" i="31"/>
  <c r="AP1995" i="31"/>
  <c r="BA2532" i="31"/>
  <c r="AP2532" i="31"/>
  <c r="H2532" i="31"/>
  <c r="BA266" i="31"/>
  <c r="AP266" i="31"/>
  <c r="H266" i="31"/>
  <c r="H1896" i="31"/>
  <c r="AP1896" i="31"/>
  <c r="BA1896" i="31"/>
  <c r="AP902" i="31"/>
  <c r="H902" i="31"/>
  <c r="BA902" i="31"/>
  <c r="BA3092" i="31"/>
  <c r="H3092" i="31"/>
  <c r="AP3092" i="31"/>
  <c r="BA889" i="31"/>
  <c r="AP889" i="31"/>
  <c r="H889" i="31"/>
  <c r="BA1055" i="31"/>
  <c r="AP1055" i="31"/>
  <c r="H1055" i="31"/>
  <c r="AP3160" i="31"/>
  <c r="H3160" i="31"/>
  <c r="BA3160" i="31"/>
  <c r="AP437" i="31"/>
  <c r="BA437" i="31"/>
  <c r="H437" i="31"/>
  <c r="BA3345" i="31"/>
  <c r="AP3345" i="31"/>
  <c r="H3345" i="31"/>
  <c r="AP33" i="31"/>
  <c r="BA33" i="31"/>
  <c r="H33" i="31"/>
  <c r="H960" i="31"/>
  <c r="AP960" i="31"/>
  <c r="BA960" i="31"/>
  <c r="H3405" i="31"/>
  <c r="BA3405" i="31"/>
  <c r="AP3405" i="31"/>
  <c r="AP2522" i="31"/>
  <c r="BA2522" i="31"/>
  <c r="H2522" i="31"/>
  <c r="H3434" i="31"/>
  <c r="BA3434" i="31"/>
  <c r="AP3434" i="31"/>
  <c r="BA1214" i="31"/>
  <c r="AP1214" i="31"/>
  <c r="H1214" i="31"/>
  <c r="H2310" i="31"/>
  <c r="AP2310" i="31"/>
  <c r="BA2310" i="31"/>
  <c r="AP803" i="31"/>
  <c r="BA803" i="31"/>
  <c r="H803" i="31"/>
  <c r="H1665" i="31"/>
  <c r="AP1665" i="31"/>
  <c r="BA1665" i="31"/>
  <c r="H2068" i="31"/>
  <c r="AP2068" i="31"/>
  <c r="BA2068" i="31"/>
  <c r="AP513" i="31"/>
  <c r="H513" i="31"/>
  <c r="BA513" i="31"/>
  <c r="BA1254" i="31"/>
  <c r="AP1254" i="31"/>
  <c r="H1254" i="31"/>
  <c r="BA2048" i="31"/>
  <c r="H2048" i="31"/>
  <c r="AP2048" i="31"/>
  <c r="AP1062" i="31"/>
  <c r="H1062" i="31"/>
  <c r="BA1062" i="31"/>
  <c r="AP387" i="31"/>
  <c r="BA387" i="31"/>
  <c r="H387" i="31"/>
  <c r="AP2371" i="31"/>
  <c r="BA2371" i="31"/>
  <c r="H2371" i="31"/>
  <c r="AP2043" i="31"/>
  <c r="H2043" i="31"/>
  <c r="BA2043" i="31"/>
  <c r="H1464" i="31"/>
  <c r="AP1464" i="31"/>
  <c r="BA1464" i="31"/>
  <c r="H794" i="31"/>
  <c r="BA794" i="31"/>
  <c r="AP794" i="31"/>
  <c r="AP899" i="31"/>
  <c r="H899" i="31"/>
  <c r="BA899" i="31"/>
  <c r="AP39" i="31"/>
  <c r="H39" i="31"/>
  <c r="BA39" i="31"/>
  <c r="AP1804" i="31"/>
  <c r="BA1804" i="31"/>
  <c r="H1804" i="31"/>
  <c r="BA905" i="31"/>
  <c r="H905" i="31"/>
  <c r="AP905" i="31"/>
  <c r="H3101" i="31"/>
  <c r="AP3101" i="31"/>
  <c r="BA3101" i="31"/>
  <c r="AP898" i="31"/>
  <c r="H898" i="31"/>
  <c r="BA898" i="31"/>
  <c r="BA2054" i="31"/>
  <c r="H2054" i="31"/>
  <c r="AP2054" i="31"/>
  <c r="AP664" i="31"/>
  <c r="H664" i="31"/>
  <c r="BA664" i="31"/>
  <c r="H189" i="31"/>
  <c r="AP189" i="31"/>
  <c r="BA189" i="31"/>
  <c r="H2838" i="31"/>
  <c r="BA2838" i="31"/>
  <c r="AP2838" i="31"/>
  <c r="BA405" i="31"/>
  <c r="AP405" i="31"/>
  <c r="H405" i="31"/>
  <c r="AP3502" i="31"/>
  <c r="H3502" i="31"/>
  <c r="BA3502" i="31"/>
  <c r="E3534" i="31"/>
  <c r="K3534" i="31"/>
  <c r="I3534" i="31"/>
  <c r="AP2419" i="31"/>
  <c r="H2419" i="31"/>
  <c r="BA2419" i="31"/>
  <c r="H2832" i="31"/>
  <c r="AP2832" i="31"/>
  <c r="BA2832" i="31"/>
  <c r="BA380" i="31"/>
  <c r="H380" i="31"/>
  <c r="AP380" i="31"/>
  <c r="AP3469" i="31"/>
  <c r="H3469" i="31"/>
  <c r="BA3469" i="31"/>
  <c r="CI17" i="10"/>
  <c r="CJ17" i="10"/>
  <c r="CH14" i="10"/>
  <c r="CB17" i="10"/>
  <c r="BJ35" i="10"/>
  <c r="BZ17" i="10"/>
  <c r="BW17" i="10"/>
  <c r="P3530" i="31" s="1" a="1"/>
  <c r="P3530" i="31" s="1"/>
  <c r="AP886" i="31"/>
  <c r="BA886" i="31"/>
  <c r="H886" i="31"/>
  <c r="AP3209" i="31"/>
  <c r="H3209" i="31"/>
  <c r="BA3209" i="31"/>
  <c r="AP3086" i="31"/>
  <c r="H3086" i="31"/>
  <c r="BA3086" i="31"/>
  <c r="BA2745" i="31"/>
  <c r="AP2745" i="31"/>
  <c r="H2745" i="31"/>
  <c r="H1832" i="31"/>
  <c r="AP1832" i="31"/>
  <c r="BA1832" i="31"/>
  <c r="BA1642" i="31"/>
  <c r="AP1642" i="31"/>
  <c r="H1642" i="31"/>
  <c r="AP1120" i="31"/>
  <c r="H1120" i="31"/>
  <c r="BA1120" i="31"/>
  <c r="AP674" i="31"/>
  <c r="BA674" i="31"/>
  <c r="H674" i="31"/>
  <c r="H3447" i="31"/>
  <c r="BA3447" i="31"/>
  <c r="AP3447" i="31"/>
  <c r="H1906" i="31"/>
  <c r="AP1906" i="31"/>
  <c r="BA1906" i="31"/>
  <c r="H565" i="31"/>
  <c r="AP565" i="31"/>
  <c r="BA565" i="31"/>
  <c r="AP2645" i="31"/>
  <c r="BA2645" i="31"/>
  <c r="H2645" i="31"/>
  <c r="BA2760" i="31"/>
  <c r="AP2760" i="31"/>
  <c r="H2760" i="31"/>
  <c r="BA2038" i="31"/>
  <c r="AP2038" i="31"/>
  <c r="H2038" i="31"/>
  <c r="H2282" i="31"/>
  <c r="BA2282" i="31"/>
  <c r="AP2282" i="31"/>
  <c r="H198" i="31"/>
  <c r="AP198" i="31"/>
  <c r="BA198" i="31"/>
  <c r="BA2141" i="31"/>
  <c r="AP2141" i="31"/>
  <c r="H2141" i="31"/>
  <c r="BA92" i="31"/>
  <c r="H92" i="31"/>
  <c r="AP92" i="31"/>
  <c r="BA447" i="31"/>
  <c r="H447" i="31"/>
  <c r="AP447" i="31"/>
  <c r="H1876" i="31"/>
  <c r="AP1876" i="31"/>
  <c r="BA1876" i="31"/>
  <c r="AP395" i="31"/>
  <c r="BA395" i="31"/>
  <c r="H395" i="31"/>
  <c r="H402" i="31"/>
  <c r="AP402" i="31"/>
  <c r="BA402" i="31"/>
  <c r="BA696" i="31"/>
  <c r="H696" i="31"/>
  <c r="AP696" i="31"/>
  <c r="AP472" i="31"/>
  <c r="BA472" i="31"/>
  <c r="H472" i="31"/>
  <c r="H3354" i="31"/>
  <c r="BA3354" i="31"/>
  <c r="AP3354" i="31"/>
  <c r="AP1926" i="31"/>
  <c r="BA1926" i="31"/>
  <c r="H1926" i="31"/>
  <c r="AP1810" i="31"/>
  <c r="BA1810" i="31"/>
  <c r="H1810" i="31"/>
  <c r="BA3332" i="31"/>
  <c r="H3332" i="31"/>
  <c r="AP3332" i="31"/>
  <c r="H1436" i="31"/>
  <c r="AP1436" i="31"/>
  <c r="BA1436" i="31"/>
  <c r="H2080" i="31"/>
  <c r="AP2080" i="31"/>
  <c r="BA2080" i="31"/>
  <c r="BA2425" i="31"/>
  <c r="AP2425" i="31"/>
  <c r="H2425" i="31"/>
  <c r="BA474" i="31"/>
  <c r="AP474" i="31"/>
  <c r="H474" i="31"/>
  <c r="AP1401" i="31"/>
  <c r="BA1401" i="31"/>
  <c r="H1401" i="31"/>
  <c r="H604" i="31"/>
  <c r="BA604" i="31"/>
  <c r="AP604" i="31"/>
  <c r="BA3113" i="31"/>
  <c r="H3113" i="31"/>
  <c r="AP3113" i="31"/>
  <c r="AP200" i="31"/>
  <c r="BA200" i="31"/>
  <c r="H200" i="31"/>
  <c r="AP2164" i="31"/>
  <c r="H2164" i="31"/>
  <c r="BA2164" i="31"/>
  <c r="BA1488" i="31"/>
  <c r="AP1488" i="31"/>
  <c r="H1488" i="31"/>
  <c r="H2673" i="31"/>
  <c r="BA2673" i="31"/>
  <c r="AP2673" i="31"/>
  <c r="H3390" i="31"/>
  <c r="BA3390" i="31"/>
  <c r="AP3390" i="31"/>
  <c r="AP19" i="31"/>
  <c r="H19" i="31"/>
  <c r="BA19" i="31"/>
  <c r="AP1857" i="31"/>
  <c r="H1857" i="31"/>
  <c r="BA1857" i="31"/>
  <c r="H2891" i="31"/>
  <c r="BA2891" i="31"/>
  <c r="AP2891" i="31"/>
  <c r="H1994" i="31"/>
  <c r="BA1994" i="31"/>
  <c r="AP1994" i="31"/>
  <c r="H2734" i="31"/>
  <c r="BA2734" i="31"/>
  <c r="AP2734" i="31"/>
  <c r="AP1200" i="31"/>
  <c r="BA1200" i="31"/>
  <c r="H1200" i="31"/>
  <c r="BA2773" i="31"/>
  <c r="H2773" i="31"/>
  <c r="AP2773" i="31"/>
  <c r="AP1732" i="31"/>
  <c r="BA1732" i="31"/>
  <c r="H1732" i="31"/>
  <c r="BA706" i="31"/>
  <c r="AP706" i="31"/>
  <c r="H706" i="31"/>
  <c r="AP1456" i="31"/>
  <c r="H1456" i="31"/>
  <c r="BA1456" i="31"/>
  <c r="AP2487" i="31"/>
  <c r="H2487" i="31"/>
  <c r="BA2487" i="31"/>
  <c r="H1370" i="31"/>
  <c r="AP1370" i="31"/>
  <c r="BA1370" i="31"/>
  <c r="AP2028" i="31"/>
  <c r="H2028" i="31"/>
  <c r="BA2028" i="31"/>
  <c r="AP2266" i="31"/>
  <c r="H2266" i="31"/>
  <c r="BA2266" i="31"/>
  <c r="H221" i="31"/>
  <c r="AP221" i="31"/>
  <c r="BA221" i="31"/>
  <c r="H1530" i="31"/>
  <c r="BA1530" i="31"/>
  <c r="AP1530" i="31"/>
  <c r="BA1299" i="31"/>
  <c r="H1299" i="31"/>
  <c r="AP1299" i="31"/>
  <c r="H2993" i="31"/>
  <c r="BA2993" i="31"/>
  <c r="AP2993" i="31"/>
  <c r="AP242" i="31"/>
  <c r="H242" i="31"/>
  <c r="BA242" i="31"/>
  <c r="BA2763" i="31"/>
  <c r="AP2763" i="31"/>
  <c r="H2763" i="31"/>
  <c r="BA1538" i="31"/>
  <c r="H1538" i="31"/>
  <c r="AP1538" i="31"/>
  <c r="AP2160" i="31"/>
  <c r="BA2160" i="31"/>
  <c r="H2160" i="31"/>
  <c r="AP3408" i="31"/>
  <c r="BA3408" i="31"/>
  <c r="H3408" i="31"/>
  <c r="AP1503" i="31"/>
  <c r="H1503" i="31"/>
  <c r="BA1503" i="31"/>
  <c r="AP2060" i="31"/>
  <c r="H2060" i="31"/>
  <c r="BA2060" i="31"/>
  <c r="AP2974" i="31"/>
  <c r="H2974" i="31"/>
  <c r="BA2974" i="31"/>
  <c r="BA3106" i="31"/>
  <c r="H3106" i="31"/>
  <c r="AP3106" i="31"/>
  <c r="BA1360" i="31"/>
  <c r="H1360" i="31"/>
  <c r="AP1360" i="31"/>
  <c r="BA283" i="31"/>
  <c r="H283" i="31"/>
  <c r="AP283" i="31"/>
  <c r="H316" i="31"/>
  <c r="AP316" i="31"/>
  <c r="BA316" i="31"/>
  <c r="AP2095" i="31"/>
  <c r="BA2095" i="31"/>
  <c r="H2095" i="31"/>
  <c r="H712" i="31"/>
  <c r="BA712" i="31"/>
  <c r="AP712" i="31"/>
  <c r="BA2407" i="31"/>
  <c r="H2407" i="31"/>
  <c r="AP2407" i="31"/>
  <c r="AP2618" i="31"/>
  <c r="BA2618" i="31"/>
  <c r="H2618" i="31"/>
  <c r="AP2687" i="31"/>
  <c r="BA2687" i="31"/>
  <c r="H2687" i="31"/>
  <c r="AP394" i="31"/>
  <c r="H394" i="31"/>
  <c r="BA394" i="31"/>
  <c r="AP147" i="31"/>
  <c r="H147" i="31"/>
  <c r="BA147" i="31"/>
  <c r="BA666" i="31"/>
  <c r="H666" i="31"/>
  <c r="AP666" i="31"/>
  <c r="AP1754" i="31"/>
  <c r="BA1754" i="31"/>
  <c r="H1754" i="31"/>
  <c r="BA1689" i="31"/>
  <c r="H1689" i="31"/>
  <c r="AP1689" i="31"/>
  <c r="H3218" i="31"/>
  <c r="AP3218" i="31"/>
  <c r="BA3218" i="31"/>
  <c r="BA2932" i="31"/>
  <c r="AP2932" i="31"/>
  <c r="H2932" i="31"/>
  <c r="BA1093" i="31"/>
  <c r="AP1093" i="31"/>
  <c r="H1093" i="31"/>
  <c r="BA1125" i="31"/>
  <c r="AP1125" i="31"/>
  <c r="H1125" i="31"/>
  <c r="H2680" i="31"/>
  <c r="AP2680" i="31"/>
  <c r="BA2680" i="31"/>
  <c r="H2733" i="31"/>
  <c r="AP2733" i="31"/>
  <c r="BA2733" i="31"/>
  <c r="BA70" i="31"/>
  <c r="AP70" i="31"/>
  <c r="H70" i="31"/>
  <c r="H792" i="31"/>
  <c r="AP792" i="31"/>
  <c r="BA792" i="31"/>
  <c r="AP2777" i="31"/>
  <c r="BA2777" i="31"/>
  <c r="H2777" i="31"/>
  <c r="BA620" i="31"/>
  <c r="AP620" i="31"/>
  <c r="H620" i="31"/>
  <c r="AP480" i="31"/>
  <c r="BA480" i="31"/>
  <c r="H480" i="31"/>
  <c r="BA1059" i="31"/>
  <c r="H1059" i="31"/>
  <c r="AP1059" i="31"/>
  <c r="AP3279" i="31"/>
  <c r="BA3279" i="31"/>
  <c r="H3279" i="31"/>
  <c r="H2780" i="31"/>
  <c r="AP2780" i="31"/>
  <c r="BA2780" i="31"/>
  <c r="AP2559" i="31"/>
  <c r="BA2559" i="31"/>
  <c r="H2559" i="31"/>
  <c r="AP2337" i="31"/>
  <c r="BA2337" i="31"/>
  <c r="H2337" i="31"/>
  <c r="BA2256" i="31"/>
  <c r="AP2256" i="31"/>
  <c r="H2256" i="31"/>
  <c r="H1661" i="31"/>
  <c r="BA1661" i="31"/>
  <c r="AP1661" i="31"/>
  <c r="BA2288" i="31"/>
  <c r="H2288" i="31"/>
  <c r="AP2288" i="31"/>
  <c r="BA824" i="31"/>
  <c r="AP824" i="31"/>
  <c r="H824" i="31"/>
  <c r="H1443" i="31"/>
  <c r="AP1443" i="31"/>
  <c r="BA1443" i="31"/>
  <c r="H544" i="31"/>
  <c r="BA544" i="31"/>
  <c r="AP544" i="31"/>
  <c r="BA1390" i="31"/>
  <c r="AP1390" i="31"/>
  <c r="H1390" i="31"/>
  <c r="H843" i="31"/>
  <c r="BA843" i="31"/>
  <c r="AP843" i="31"/>
  <c r="BA2668" i="31"/>
  <c r="AP2668" i="31"/>
  <c r="H2668" i="31"/>
  <c r="AP996" i="31"/>
  <c r="H996" i="31"/>
  <c r="BA996" i="31"/>
  <c r="AP1755" i="31"/>
  <c r="H1755" i="31"/>
  <c r="BA1755" i="31"/>
  <c r="BA1598" i="31"/>
  <c r="H1598" i="31"/>
  <c r="AP1598" i="31"/>
  <c r="AP3367" i="31"/>
  <c r="H3367" i="31"/>
  <c r="BA3367" i="31"/>
  <c r="BA1227" i="31"/>
  <c r="H1227" i="31"/>
  <c r="AP1227" i="31"/>
  <c r="H321" i="31"/>
  <c r="AP321" i="31"/>
  <c r="BA321" i="31"/>
  <c r="BA780" i="31"/>
  <c r="H780" i="31"/>
  <c r="AP780" i="31"/>
  <c r="AP2443" i="31"/>
  <c r="BA2443" i="31"/>
  <c r="H2443" i="31"/>
  <c r="AP1518" i="31"/>
  <c r="BA1518" i="31"/>
  <c r="H1518" i="31"/>
  <c r="AP2603" i="31"/>
  <c r="H2603" i="31"/>
  <c r="BA2603" i="31"/>
  <c r="BA2197" i="31"/>
  <c r="H2197" i="31"/>
  <c r="AP2197" i="31"/>
  <c r="BA1238" i="31"/>
  <c r="AP1238" i="31"/>
  <c r="H1238" i="31"/>
  <c r="H2938" i="31"/>
  <c r="AP2938" i="31"/>
  <c r="BA2938" i="31"/>
  <c r="AP1897" i="31"/>
  <c r="BA1897" i="31"/>
  <c r="H1897" i="31"/>
  <c r="BA2169" i="31"/>
  <c r="AP2169" i="31"/>
  <c r="H2169" i="31"/>
  <c r="H2769" i="31"/>
  <c r="AP2769" i="31"/>
  <c r="BA2769" i="31"/>
  <c r="BA2902" i="31"/>
  <c r="AP2902" i="31"/>
  <c r="H2902" i="31"/>
  <c r="AP2346" i="31"/>
  <c r="BA2346" i="31"/>
  <c r="H2346" i="31"/>
  <c r="AP1474" i="31"/>
  <c r="H1474" i="31"/>
  <c r="BA1474" i="31"/>
  <c r="BA2037" i="31"/>
  <c r="H2037" i="31"/>
  <c r="AP2037" i="31"/>
  <c r="BA3516" i="31"/>
  <c r="AP3516" i="31"/>
  <c r="H3516" i="31"/>
  <c r="H1359" i="31"/>
  <c r="BA1359" i="31"/>
  <c r="AP1359" i="31"/>
  <c r="AP1638" i="31"/>
  <c r="BA1638" i="31"/>
  <c r="H1638" i="31"/>
  <c r="H1956" i="31"/>
  <c r="AP1956" i="31"/>
  <c r="BA1956" i="31"/>
  <c r="AP1599" i="31"/>
  <c r="H1599" i="31"/>
  <c r="BA1599" i="31"/>
  <c r="AP1953" i="31"/>
  <c r="H1953" i="31"/>
  <c r="BA1953" i="31"/>
  <c r="AP308" i="31"/>
  <c r="BA308" i="31"/>
  <c r="H308" i="31"/>
  <c r="H2472" i="31"/>
  <c r="BA2472" i="31"/>
  <c r="AP2472" i="31"/>
  <c r="AP232" i="31"/>
  <c r="H232" i="31"/>
  <c r="BA232" i="31"/>
  <c r="H275" i="31"/>
  <c r="AP275" i="31"/>
  <c r="BA275" i="31"/>
  <c r="H1541" i="31"/>
  <c r="BA1541" i="31"/>
  <c r="AP1541" i="31"/>
  <c r="AP239" i="31"/>
  <c r="BA239" i="31"/>
  <c r="H239" i="31"/>
  <c r="H966" i="31"/>
  <c r="BA966" i="31"/>
  <c r="AP966" i="31"/>
  <c r="H1361" i="31"/>
  <c r="BA1361" i="31"/>
  <c r="AP1361" i="31"/>
  <c r="H1850" i="31"/>
  <c r="BA1850" i="31"/>
  <c r="AP1850" i="31"/>
  <c r="H465" i="31"/>
  <c r="BA465" i="31"/>
  <c r="AP465" i="31"/>
  <c r="H1311" i="31"/>
  <c r="AP1311" i="31"/>
  <c r="BA1311" i="31"/>
  <c r="BA3268" i="31"/>
  <c r="AP3268" i="31"/>
  <c r="H3268" i="31"/>
  <c r="BA2726" i="31"/>
  <c r="H2726" i="31"/>
  <c r="AP2726" i="31"/>
  <c r="H2782" i="31"/>
  <c r="AP2782" i="31"/>
  <c r="BA2782" i="31"/>
  <c r="BA677" i="31"/>
  <c r="AP677" i="31"/>
  <c r="H677" i="31"/>
  <c r="AP331" i="31"/>
  <c r="H331" i="31"/>
  <c r="BA331" i="31"/>
  <c r="H1118" i="31"/>
  <c r="BA1118" i="31"/>
  <c r="AP1118" i="31"/>
  <c r="BA1434" i="31"/>
  <c r="AP1434" i="31"/>
  <c r="H1434" i="31"/>
  <c r="AP1907" i="31"/>
  <c r="BA1907" i="31"/>
  <c r="H1907" i="31"/>
  <c r="BA1590" i="31"/>
  <c r="H1590" i="31"/>
  <c r="AP1590" i="31"/>
  <c r="H3499" i="31"/>
  <c r="BA3499" i="31"/>
  <c r="AP3499" i="31"/>
  <c r="BA2018" i="31"/>
  <c r="AP2018" i="31"/>
  <c r="H2018" i="31"/>
  <c r="AP2653" i="31"/>
  <c r="BA2653" i="31"/>
  <c r="H2653" i="31"/>
  <c r="AP2312" i="31"/>
  <c r="BA2312" i="31"/>
  <c r="H2312" i="31"/>
  <c r="BA1206" i="31"/>
  <c r="AP1206" i="31"/>
  <c r="H1206" i="31"/>
  <c r="H3466" i="31"/>
  <c r="BA3466" i="31"/>
  <c r="AP3466" i="31"/>
  <c r="H2328" i="31"/>
  <c r="BA2328" i="31"/>
  <c r="AP2328" i="31"/>
  <c r="BA2271" i="31"/>
  <c r="H2271" i="31"/>
  <c r="AP2271" i="31"/>
  <c r="H1558" i="31"/>
  <c r="AP1558" i="31"/>
  <c r="BA1558" i="31"/>
  <c r="H2953" i="31"/>
  <c r="AP2953" i="31"/>
  <c r="BA2953" i="31"/>
  <c r="H2909" i="31"/>
  <c r="BA2909" i="31"/>
  <c r="AP2909" i="31"/>
  <c r="AP2718" i="31"/>
  <c r="H2718" i="31"/>
  <c r="BA2718" i="31"/>
  <c r="AP1353" i="31"/>
  <c r="BA1353" i="31"/>
  <c r="H1353" i="31"/>
  <c r="BA1318" i="31"/>
  <c r="H1318" i="31"/>
  <c r="AP1318" i="31"/>
  <c r="H2834" i="31"/>
  <c r="AP2834" i="31"/>
  <c r="BA2834" i="31"/>
  <c r="H1881" i="31"/>
  <c r="BA1881" i="31"/>
  <c r="AP1881" i="31"/>
  <c r="H240" i="31"/>
  <c r="AP240" i="31"/>
  <c r="BA240" i="31"/>
  <c r="AP2366" i="31"/>
  <c r="H2366" i="31"/>
  <c r="BA2366" i="31"/>
  <c r="AP1347" i="31"/>
  <c r="H1347" i="31"/>
  <c r="BA1347" i="31"/>
  <c r="BA2639" i="31"/>
  <c r="H2639" i="31"/>
  <c r="AP2639" i="31"/>
  <c r="BA1088" i="31"/>
  <c r="H1088" i="31"/>
  <c r="AP1088" i="31"/>
  <c r="AP2785" i="31"/>
  <c r="H2785" i="31"/>
  <c r="BA2785" i="31"/>
  <c r="BA2378" i="31"/>
  <c r="AP2378" i="31"/>
  <c r="H2378" i="31"/>
  <c r="BA2238" i="31"/>
  <c r="AP2238" i="31"/>
  <c r="H2238" i="31"/>
  <c r="H2686" i="31"/>
  <c r="BA2686" i="31"/>
  <c r="AP2686" i="31"/>
  <c r="AP2965" i="31"/>
  <c r="BA2965" i="31"/>
  <c r="H2965" i="31"/>
  <c r="AP2542" i="31"/>
  <c r="BA2542" i="31"/>
  <c r="H2542" i="31"/>
  <c r="AP695" i="31"/>
  <c r="H695" i="31"/>
  <c r="BA695" i="31"/>
  <c r="AP1977" i="31"/>
  <c r="H1977" i="31"/>
  <c r="BA1977" i="31"/>
  <c r="H603" i="31"/>
  <c r="BA603" i="31"/>
  <c r="AP603" i="31"/>
  <c r="AP2957" i="31"/>
  <c r="H2957" i="31"/>
  <c r="BA2957" i="31"/>
  <c r="BA2510" i="31"/>
  <c r="H2510" i="31"/>
  <c r="AP2510" i="31"/>
  <c r="H2898" i="31"/>
  <c r="AP2898" i="31"/>
  <c r="BA2898" i="31"/>
  <c r="AP3021" i="31"/>
  <c r="BA3021" i="31"/>
  <c r="H3021" i="31"/>
  <c r="H3191" i="31"/>
  <c r="AP3191" i="31"/>
  <c r="BA3191" i="31"/>
  <c r="AP3221" i="31"/>
  <c r="H3221" i="31"/>
  <c r="BA3221" i="31"/>
  <c r="AP1224" i="31"/>
  <c r="BA1224" i="31"/>
  <c r="H1224" i="31"/>
  <c r="H45" i="31"/>
  <c r="BA45" i="31"/>
  <c r="AP45" i="31"/>
  <c r="BA1028" i="31"/>
  <c r="AP1028" i="31"/>
  <c r="H1028" i="31"/>
  <c r="H2190" i="31"/>
  <c r="BA2190" i="31"/>
  <c r="AP2190" i="31"/>
  <c r="AP2027" i="31"/>
  <c r="BA2027" i="31"/>
  <c r="H2027" i="31"/>
  <c r="H3146" i="31"/>
  <c r="BA3146" i="31"/>
  <c r="AP3146" i="31"/>
  <c r="AP3346" i="31"/>
  <c r="BA3346" i="31"/>
  <c r="H3346" i="31"/>
  <c r="AP612" i="31"/>
  <c r="H612" i="31"/>
  <c r="BA612" i="31"/>
  <c r="AP2847" i="31"/>
  <c r="H2847" i="31"/>
  <c r="BA2847" i="31"/>
  <c r="H2621" i="31"/>
  <c r="BA2621" i="31"/>
  <c r="AP2621" i="31"/>
  <c r="AP71" i="31"/>
  <c r="BA71" i="31"/>
  <c r="H71" i="31"/>
  <c r="H3403" i="31"/>
  <c r="BA3403" i="31"/>
  <c r="AP3403" i="31"/>
  <c r="BA1345" i="31"/>
  <c r="H1345" i="31"/>
  <c r="AP1345" i="31"/>
  <c r="AP1435" i="31"/>
  <c r="H1435" i="31"/>
  <c r="BA1435" i="31"/>
  <c r="H737" i="31"/>
  <c r="AP737" i="31"/>
  <c r="BA737" i="31"/>
  <c r="BA1389" i="31"/>
  <c r="AP1389" i="31"/>
  <c r="H1389" i="31"/>
  <c r="H3227" i="31"/>
  <c r="BA3227" i="31"/>
  <c r="AP3227" i="31"/>
  <c r="BA246" i="31"/>
  <c r="AP246" i="31"/>
  <c r="H246" i="31"/>
  <c r="BA305" i="31"/>
  <c r="H305" i="31"/>
  <c r="AP305" i="31"/>
  <c r="BA621" i="31"/>
  <c r="AP621" i="31"/>
  <c r="H621" i="31"/>
  <c r="BA203" i="31"/>
  <c r="AP203" i="31"/>
  <c r="H203" i="31"/>
  <c r="BA3005" i="31"/>
  <c r="AP3005" i="31"/>
  <c r="H3005" i="31"/>
  <c r="AP138" i="31"/>
  <c r="H138" i="31"/>
  <c r="BA138" i="31"/>
  <c r="AP3503" i="31"/>
  <c r="H3503" i="31"/>
  <c r="BA3503" i="31"/>
  <c r="BA1048" i="31"/>
  <c r="AP1048" i="31"/>
  <c r="H1048" i="31"/>
  <c r="AP1457" i="31"/>
  <c r="H1457" i="31"/>
  <c r="BA1457" i="31"/>
  <c r="BA2252" i="31"/>
  <c r="AP2252" i="31"/>
  <c r="H2252" i="31"/>
  <c r="H3184" i="31"/>
  <c r="AP3184" i="31"/>
  <c r="BA3184" i="31"/>
  <c r="AP3486" i="31"/>
  <c r="H3486" i="31"/>
  <c r="BA3486" i="31"/>
  <c r="H3037" i="31"/>
  <c r="BA3037" i="31"/>
  <c r="AP3037" i="31"/>
  <c r="H155" i="31"/>
  <c r="BA155" i="31"/>
  <c r="AP155" i="31"/>
  <c r="H381" i="31"/>
  <c r="BA381" i="31"/>
  <c r="AP381" i="31"/>
  <c r="BA222" i="31"/>
  <c r="H222" i="31"/>
  <c r="AP222" i="31"/>
  <c r="CJ10" i="10"/>
  <c r="CI10" i="10"/>
  <c r="BS1" i="1" a="1"/>
  <c r="CI4" i="10"/>
  <c r="CH21" i="10"/>
  <c r="BW10" i="10"/>
  <c r="CB10" i="10"/>
  <c r="BI4" i="10"/>
  <c r="G22" i="10" s="1"/>
  <c r="BZ10" i="10"/>
  <c r="HS19" i="10"/>
  <c r="HS20" i="10" s="1"/>
  <c r="H398" i="31"/>
  <c r="AP398" i="31"/>
  <c r="BA398" i="31"/>
  <c r="BA2342" i="31"/>
  <c r="AP2342" i="31"/>
  <c r="H2342" i="31"/>
  <c r="H1017" i="31"/>
  <c r="AP1017" i="31"/>
  <c r="BA1017" i="31"/>
  <c r="AP3406" i="31"/>
  <c r="H3406" i="31"/>
  <c r="BA3406" i="31"/>
  <c r="AP913" i="31"/>
  <c r="H913" i="31"/>
  <c r="BA913" i="31"/>
  <c r="BA2848" i="31"/>
  <c r="H2848" i="31"/>
  <c r="AP2848" i="31"/>
  <c r="H3375" i="31"/>
  <c r="AP3375" i="31"/>
  <c r="BA3375" i="31"/>
  <c r="H1596" i="31"/>
  <c r="BA1596" i="31"/>
  <c r="AP1596" i="31"/>
  <c r="AP1745" i="31"/>
  <c r="BA1745" i="31"/>
  <c r="H1745" i="31"/>
  <c r="AP1711" i="31"/>
  <c r="BA1711" i="31"/>
  <c r="H1711" i="31"/>
  <c r="AP252" i="31"/>
  <c r="H252" i="31"/>
  <c r="BA252" i="31"/>
  <c r="AP1329" i="31"/>
  <c r="BA1329" i="31"/>
  <c r="H1329" i="31"/>
  <c r="H3155" i="31"/>
  <c r="AP3155" i="31"/>
  <c r="BA3155" i="31"/>
  <c r="AP625" i="31"/>
  <c r="BA625" i="31"/>
  <c r="H625" i="31"/>
  <c r="BA2860" i="31"/>
  <c r="AP2860" i="31"/>
  <c r="H2860" i="31"/>
  <c r="AP2696" i="31"/>
  <c r="H2696" i="31"/>
  <c r="BA2696" i="31"/>
  <c r="H1460" i="31"/>
  <c r="BA1460" i="31"/>
  <c r="AP1460" i="31"/>
  <c r="AP2529" i="31"/>
  <c r="BA2529" i="31"/>
  <c r="H2529" i="31"/>
  <c r="BA1429" i="31"/>
  <c r="AP1429" i="31"/>
  <c r="H1429" i="31"/>
  <c r="AP1922" i="31"/>
  <c r="H1922" i="31"/>
  <c r="BA1922" i="31"/>
  <c r="H570" i="31"/>
  <c r="AP570" i="31"/>
  <c r="BA570" i="31"/>
  <c r="H468" i="31"/>
  <c r="AP468" i="31"/>
  <c r="BA468" i="31"/>
  <c r="AP3036" i="31"/>
  <c r="H3036" i="31"/>
  <c r="BA3036" i="31"/>
  <c r="H75" i="31"/>
  <c r="AP75" i="31"/>
  <c r="BA75" i="31"/>
  <c r="BA2524" i="31"/>
  <c r="AP2524" i="31"/>
  <c r="H2524" i="31"/>
  <c r="BA1179" i="31"/>
  <c r="AP1179" i="31"/>
  <c r="H1179" i="31"/>
  <c r="H1402" i="31"/>
  <c r="BA1402" i="31"/>
  <c r="AP1402" i="31"/>
  <c r="BA1986" i="31"/>
  <c r="H1986" i="31"/>
  <c r="AP1986" i="31"/>
  <c r="BA2228" i="31"/>
  <c r="H2228" i="31"/>
  <c r="AP2228" i="31"/>
  <c r="AP2874" i="31"/>
  <c r="BA2874" i="31"/>
  <c r="H2874" i="31"/>
  <c r="H2438" i="31"/>
  <c r="AP2438" i="31"/>
  <c r="BA2438" i="31"/>
  <c r="BA2140" i="31"/>
  <c r="AP2140" i="31"/>
  <c r="H2140" i="31"/>
  <c r="H2132" i="31"/>
  <c r="BA2132" i="31"/>
  <c r="AP2132" i="31"/>
  <c r="AP2739" i="31"/>
  <c r="H2739" i="31"/>
  <c r="BA2739" i="31"/>
  <c r="H3018" i="31"/>
  <c r="AP3018" i="31"/>
  <c r="BA3018" i="31"/>
  <c r="H2765" i="31"/>
  <c r="BA2765" i="31"/>
  <c r="AP2765" i="31"/>
  <c r="AP2990" i="31"/>
  <c r="BA2990" i="31"/>
  <c r="H2990" i="31"/>
  <c r="BA3319" i="31"/>
  <c r="AP3319" i="31"/>
  <c r="H3319" i="31"/>
  <c r="AP2950" i="31"/>
  <c r="H2950" i="31"/>
  <c r="BA2950" i="31"/>
  <c r="AP3273" i="31"/>
  <c r="H3273" i="31"/>
  <c r="BA3273" i="31"/>
  <c r="BA3047" i="31"/>
  <c r="H3047" i="31"/>
  <c r="AP3047" i="31"/>
  <c r="H2620" i="31"/>
  <c r="AP2620" i="31"/>
  <c r="BA2620" i="31"/>
  <c r="BA1955" i="31"/>
  <c r="H1955" i="31"/>
  <c r="AP1955" i="31"/>
  <c r="AP815" i="31"/>
  <c r="BA815" i="31"/>
  <c r="H815" i="31"/>
  <c r="BA1073" i="31"/>
  <c r="H1073" i="31"/>
  <c r="AP1073" i="31"/>
  <c r="BA2735" i="31"/>
  <c r="AP2735" i="31"/>
  <c r="H2735" i="31"/>
  <c r="AP3417" i="31"/>
  <c r="H3417" i="31"/>
  <c r="BA3417" i="31"/>
  <c r="BA920" i="31"/>
  <c r="H920" i="31"/>
  <c r="AP920" i="31"/>
  <c r="BA1705" i="31"/>
  <c r="AP1705" i="31"/>
  <c r="H1705" i="31"/>
  <c r="BA2205" i="31"/>
  <c r="AP2205" i="31"/>
  <c r="H2205" i="31"/>
  <c r="H3453" i="31"/>
  <c r="BA3453" i="31"/>
  <c r="AP3453" i="31"/>
  <c r="BA1981" i="31"/>
  <c r="H1981" i="31"/>
  <c r="AP1981" i="31"/>
  <c r="BA2071" i="31"/>
  <c r="AP2071" i="31"/>
  <c r="H2071" i="31"/>
  <c r="H3158" i="31"/>
  <c r="BA3158" i="31"/>
  <c r="AP3158" i="31"/>
  <c r="H383" i="31"/>
  <c r="AP383" i="31"/>
  <c r="BA383" i="31"/>
  <c r="H2184" i="31"/>
  <c r="BA2184" i="31"/>
  <c r="AP2184" i="31"/>
  <c r="BA615" i="31"/>
  <c r="AP615" i="31"/>
  <c r="H615" i="31"/>
  <c r="BA1368" i="31"/>
  <c r="AP1368" i="31"/>
  <c r="H1368" i="31"/>
  <c r="BA2245" i="31"/>
  <c r="H2245" i="31"/>
  <c r="AP2245" i="31"/>
  <c r="BA1948" i="31"/>
  <c r="H1948" i="31"/>
  <c r="AP1948" i="31"/>
  <c r="AP3166" i="31"/>
  <c r="BA3166" i="31"/>
  <c r="H3166" i="31"/>
  <c r="BA1569" i="31"/>
  <c r="H1569" i="31"/>
  <c r="AP1569" i="31"/>
  <c r="BA416" i="31"/>
  <c r="AP416" i="31"/>
  <c r="H416" i="31"/>
  <c r="H3414" i="31"/>
  <c r="BA3414" i="31"/>
  <c r="AP3414" i="31"/>
  <c r="H1736" i="31"/>
  <c r="BA1736" i="31"/>
  <c r="AP1736" i="31"/>
  <c r="AP1260" i="31"/>
  <c r="BA1260" i="31"/>
  <c r="H1260" i="31"/>
  <c r="AP1411" i="31"/>
  <c r="H1411" i="31"/>
  <c r="BA1411" i="31"/>
  <c r="BA764" i="31"/>
  <c r="H764" i="31"/>
  <c r="AP764" i="31"/>
  <c r="BA1873" i="31"/>
  <c r="H1873" i="31"/>
  <c r="AP1873" i="31"/>
  <c r="H2564" i="31"/>
  <c r="BA2564" i="31"/>
  <c r="AP2564" i="31"/>
  <c r="BA2262" i="31"/>
  <c r="AP2262" i="31"/>
  <c r="H2262" i="31"/>
  <c r="AP378" i="31"/>
  <c r="BA378" i="31"/>
  <c r="H378" i="31"/>
  <c r="E3522" i="31"/>
  <c r="AQ3522" i="31" a="1"/>
  <c r="AQ3522" i="31" s="1"/>
  <c r="K3522" i="31"/>
  <c r="I3522" i="31"/>
  <c r="M3522" i="31" a="1"/>
  <c r="M3522" i="31" s="1"/>
  <c r="P3522" i="31" a="1"/>
  <c r="P3522" i="31" s="1"/>
  <c r="AP2985" i="31"/>
  <c r="H2985" i="31"/>
  <c r="BA2985" i="31"/>
  <c r="AP2470" i="31"/>
  <c r="H2470" i="31"/>
  <c r="BA2470" i="31"/>
  <c r="H1600" i="31"/>
  <c r="AP1600" i="31"/>
  <c r="BA1600" i="31"/>
  <c r="BA3229" i="31"/>
  <c r="H3229" i="31"/>
  <c r="AP3229" i="31"/>
  <c r="AP1781" i="31"/>
  <c r="BA1781" i="31"/>
  <c r="H1781" i="31"/>
  <c r="H1404" i="31"/>
  <c r="AP1404" i="31"/>
  <c r="BA1404" i="31"/>
  <c r="H704" i="31"/>
  <c r="AP704" i="31"/>
  <c r="BA704" i="31"/>
  <c r="BA2212" i="31"/>
  <c r="H2212" i="31"/>
  <c r="AP2212" i="31"/>
  <c r="H698" i="31"/>
  <c r="AP698" i="31"/>
  <c r="BA698" i="31"/>
  <c r="AP1495" i="31"/>
  <c r="BA1495" i="31"/>
  <c r="H1495" i="31"/>
  <c r="AP609" i="31"/>
  <c r="H609" i="31"/>
  <c r="BA609" i="31"/>
  <c r="H399" i="31"/>
  <c r="BA399" i="31"/>
  <c r="AP399" i="31"/>
  <c r="AP448" i="31"/>
  <c r="BA448" i="31"/>
  <c r="H448" i="31"/>
  <c r="AP1720" i="31"/>
  <c r="H1720" i="31"/>
  <c r="BA1720" i="31"/>
  <c r="BA466" i="31"/>
  <c r="H466" i="31"/>
  <c r="AP466" i="31"/>
  <c r="H3318" i="31"/>
  <c r="BA3318" i="31"/>
  <c r="AP3318" i="31"/>
  <c r="AP219" i="31"/>
  <c r="H219" i="31"/>
  <c r="BA219" i="31"/>
  <c r="BA3103" i="31"/>
  <c r="AP3103" i="31"/>
  <c r="H3103" i="31"/>
  <c r="H2911" i="31"/>
  <c r="AP2911" i="31"/>
  <c r="BA2911" i="31"/>
  <c r="BA2794" i="31"/>
  <c r="H2794" i="31"/>
  <c r="AP2794" i="31"/>
  <c r="AP943" i="31"/>
  <c r="H943" i="31"/>
  <c r="BA943" i="31"/>
  <c r="H2066" i="31"/>
  <c r="AP2066" i="31"/>
  <c r="BA2066" i="31"/>
  <c r="AP3212" i="31"/>
  <c r="BA3212" i="31"/>
  <c r="H3212" i="31"/>
  <c r="BA412" i="31"/>
  <c r="AP412" i="31"/>
  <c r="H412" i="31"/>
  <c r="H2731" i="31"/>
  <c r="BA2731" i="31"/>
  <c r="AP2731" i="31"/>
  <c r="BA1130" i="31"/>
  <c r="AP1130" i="31"/>
  <c r="H1130" i="31"/>
  <c r="AP2717" i="31"/>
  <c r="BA2717" i="31"/>
  <c r="H2717" i="31"/>
  <c r="AP3131" i="31"/>
  <c r="H3131" i="31"/>
  <c r="BA3131" i="31"/>
  <c r="AP619" i="31"/>
  <c r="H619" i="31"/>
  <c r="BA619" i="31"/>
  <c r="BA169" i="31"/>
  <c r="H169" i="31"/>
  <c r="AP169" i="31"/>
  <c r="H2601" i="31"/>
  <c r="BA2601" i="31"/>
  <c r="AP2601" i="31"/>
  <c r="AP950" i="31"/>
  <c r="H950" i="31"/>
  <c r="BA950" i="31"/>
  <c r="AP2751" i="31"/>
  <c r="H2751" i="31"/>
  <c r="BA2751" i="31"/>
  <c r="H505" i="31"/>
  <c r="AP505" i="31"/>
  <c r="BA505" i="31"/>
  <c r="AP2829" i="31"/>
  <c r="H2829" i="31"/>
  <c r="BA2829" i="31"/>
  <c r="H828" i="31"/>
  <c r="BA828" i="31"/>
  <c r="AP828" i="31"/>
  <c r="AP2654" i="31"/>
  <c r="BA2654" i="31"/>
  <c r="H2654" i="31"/>
  <c r="H600" i="31"/>
  <c r="AP600" i="31"/>
  <c r="BA600" i="31"/>
  <c r="H431" i="31"/>
  <c r="BA431" i="31"/>
  <c r="AP431" i="31"/>
  <c r="BA2116" i="31"/>
  <c r="H2116" i="31"/>
  <c r="AP2116" i="31"/>
  <c r="BA2247" i="31"/>
  <c r="H2247" i="31"/>
  <c r="AP2247" i="31"/>
  <c r="BA2907" i="31"/>
  <c r="AP2907" i="31"/>
  <c r="H2907" i="31"/>
  <c r="H187" i="31"/>
  <c r="AP187" i="31"/>
  <c r="BA187" i="31"/>
  <c r="AP2885" i="31"/>
  <c r="H2885" i="31"/>
  <c r="BA2885" i="31"/>
  <c r="H2555" i="31"/>
  <c r="AP2555" i="31"/>
  <c r="BA2555" i="31"/>
  <c r="H214" i="31"/>
  <c r="AP214" i="31"/>
  <c r="BA214" i="31"/>
  <c r="BA1591" i="31"/>
  <c r="AP1591" i="31"/>
  <c r="H1591" i="31"/>
  <c r="H400" i="31"/>
  <c r="BA400" i="31"/>
  <c r="AP400" i="31"/>
  <c r="BA1725" i="31"/>
  <c r="H1725" i="31"/>
  <c r="AP1725" i="31"/>
  <c r="AP2600" i="31"/>
  <c r="H2600" i="31"/>
  <c r="BA2600" i="31"/>
  <c r="H995" i="31"/>
  <c r="AP995" i="31"/>
  <c r="BA995" i="31"/>
  <c r="BA3312" i="31"/>
  <c r="H3312" i="31"/>
  <c r="AP3312" i="31"/>
  <c r="BA998" i="31"/>
  <c r="H998" i="31"/>
  <c r="AP998" i="31"/>
  <c r="BA2498" i="31"/>
  <c r="AP2498" i="31"/>
  <c r="H2498" i="31"/>
  <c r="AP3165" i="31"/>
  <c r="H3165" i="31"/>
  <c r="BA3165" i="31"/>
  <c r="H1198" i="31"/>
  <c r="AP1198" i="31"/>
  <c r="BA1198" i="31"/>
  <c r="BA479" i="31"/>
  <c r="H479" i="31"/>
  <c r="AP479" i="31"/>
  <c r="BA1107" i="31"/>
  <c r="H1107" i="31"/>
  <c r="AP1107" i="31"/>
  <c r="H1566" i="31"/>
  <c r="AP1566" i="31"/>
  <c r="BA1566" i="31"/>
  <c r="AP1092" i="31"/>
  <c r="H1092" i="31"/>
  <c r="BA1092" i="31"/>
  <c r="H2694" i="31"/>
  <c r="AP2694" i="31"/>
  <c r="BA2694" i="31"/>
  <c r="BA371" i="31"/>
  <c r="H371" i="31"/>
  <c r="AP371" i="31"/>
  <c r="H1984" i="31"/>
  <c r="BA1984" i="31"/>
  <c r="AP1984" i="31"/>
  <c r="AP1641" i="31"/>
  <c r="H1641" i="31"/>
  <c r="BA1641" i="31"/>
  <c r="H1078" i="31"/>
  <c r="AP1078" i="31"/>
  <c r="BA1078" i="31"/>
  <c r="BA2554" i="31"/>
  <c r="AP2554" i="31"/>
  <c r="H2554" i="31"/>
  <c r="AP2712" i="31"/>
  <c r="H2712" i="31"/>
  <c r="BA2712" i="31"/>
  <c r="BA151" i="31"/>
  <c r="AP151" i="31"/>
  <c r="H151" i="31"/>
  <c r="H1880" i="31"/>
  <c r="BA1880" i="31"/>
  <c r="AP1880" i="31"/>
  <c r="H2568" i="31"/>
  <c r="BA2568" i="31"/>
  <c r="AP2568" i="31"/>
  <c r="H952" i="31"/>
  <c r="BA952" i="31"/>
  <c r="AP952" i="31"/>
  <c r="AP1111" i="31"/>
  <c r="BA1111" i="31"/>
  <c r="H1111" i="31"/>
  <c r="BA2611" i="31"/>
  <c r="H2611" i="31"/>
  <c r="AP2611" i="31"/>
  <c r="BA1186" i="31"/>
  <c r="H1186" i="31"/>
  <c r="AP1186" i="31"/>
  <c r="H2379" i="31"/>
  <c r="BA2379" i="31"/>
  <c r="AP2379" i="31"/>
  <c r="BA1604" i="31"/>
  <c r="AP1604" i="31"/>
  <c r="H1604" i="31"/>
  <c r="BA1013" i="31"/>
  <c r="AP1013" i="31"/>
  <c r="H1013" i="31"/>
  <c r="H2151" i="31"/>
  <c r="AP2151" i="31"/>
  <c r="BA2151" i="31"/>
  <c r="AP3483" i="31"/>
  <c r="H3483" i="31"/>
  <c r="BA3483" i="31"/>
  <c r="H1065" i="31"/>
  <c r="BA1065" i="31"/>
  <c r="AP1065" i="31"/>
  <c r="H3084" i="31"/>
  <c r="BA3084" i="31"/>
  <c r="AP3084" i="31"/>
  <c r="AP2863" i="31"/>
  <c r="BA2863" i="31"/>
  <c r="H2863" i="31"/>
  <c r="BA768" i="31"/>
  <c r="AP768" i="31"/>
  <c r="H768" i="31"/>
  <c r="H2955" i="31"/>
  <c r="BA2955" i="31"/>
  <c r="AP2955" i="31"/>
  <c r="H1373" i="31"/>
  <c r="AP1373" i="31"/>
  <c r="BA1373" i="31"/>
  <c r="BA1649" i="31"/>
  <c r="H1649" i="31"/>
  <c r="AP1649" i="31"/>
  <c r="BA26" i="31"/>
  <c r="H26" i="31"/>
  <c r="AP26" i="31"/>
  <c r="AP1431" i="31"/>
  <c r="H1431" i="31"/>
  <c r="BA1431" i="31"/>
  <c r="BA643" i="31"/>
  <c r="H643" i="31"/>
  <c r="AP643" i="31"/>
  <c r="AP2570" i="31"/>
  <c r="H2570" i="31"/>
  <c r="BA2570" i="31"/>
  <c r="AP175" i="31"/>
  <c r="H175" i="31"/>
  <c r="BA175" i="31"/>
  <c r="AP3089" i="31"/>
  <c r="BA3089" i="31"/>
  <c r="H3089" i="31"/>
  <c r="H2566" i="31"/>
  <c r="AP2566" i="31"/>
  <c r="BA2566" i="31"/>
  <c r="BA2855" i="31"/>
  <c r="AP2855" i="31"/>
  <c r="H2855" i="31"/>
  <c r="AP1207" i="31"/>
  <c r="BA1207" i="31"/>
  <c r="H1207" i="31"/>
  <c r="H2004" i="31"/>
  <c r="BA2004" i="31"/>
  <c r="AP2004" i="31"/>
  <c r="BA1469" i="31"/>
  <c r="H1469" i="31"/>
  <c r="AP1469" i="31"/>
  <c r="AP25" i="31"/>
  <c r="H25" i="31"/>
  <c r="BA25" i="31"/>
  <c r="AP2772" i="31"/>
  <c r="BA2772" i="31"/>
  <c r="H2772" i="31"/>
  <c r="H855" i="31"/>
  <c r="BA855" i="31"/>
  <c r="AP855" i="31"/>
  <c r="AP3347" i="31"/>
  <c r="H3347" i="31"/>
  <c r="BA3347" i="31"/>
  <c r="AP2000" i="31"/>
  <c r="BA2000" i="31"/>
  <c r="H2000" i="31"/>
  <c r="BA3161" i="31"/>
  <c r="AP3161" i="31"/>
  <c r="H3161" i="31"/>
  <c r="H2593" i="31"/>
  <c r="AP2593" i="31"/>
  <c r="BA2593" i="31"/>
  <c r="AP990" i="31"/>
  <c r="H990" i="31"/>
  <c r="BA990" i="31"/>
  <c r="H2582" i="31"/>
  <c r="BA2582" i="31"/>
  <c r="AP2582" i="31"/>
  <c r="AP2904" i="31"/>
  <c r="BA2904" i="31"/>
  <c r="H2904" i="31"/>
  <c r="AP2257" i="31"/>
  <c r="H2257" i="31"/>
  <c r="BA2257" i="31"/>
  <c r="AP1082" i="31"/>
  <c r="H1082" i="31"/>
  <c r="BA1082" i="31"/>
  <c r="BA977" i="31"/>
  <c r="H977" i="31"/>
  <c r="AP977" i="31"/>
  <c r="H1205" i="31"/>
  <c r="BA1205" i="31"/>
  <c r="AP1205" i="31"/>
  <c r="BA1614" i="31"/>
  <c r="H1614" i="31"/>
  <c r="AP1614" i="31"/>
  <c r="AP2042" i="31"/>
  <c r="H2042" i="31"/>
  <c r="BA2042" i="31"/>
  <c r="AP2298" i="31"/>
  <c r="BA2298" i="31"/>
  <c r="H2298" i="31"/>
  <c r="AP1362" i="31"/>
  <c r="BA1362" i="31"/>
  <c r="H1362" i="31"/>
  <c r="AP2914" i="31"/>
  <c r="BA2914" i="31"/>
  <c r="H2914" i="31"/>
  <c r="H2730" i="31"/>
  <c r="BA2730" i="31"/>
  <c r="AP2730" i="31"/>
  <c r="BA1586" i="31"/>
  <c r="H1586" i="31"/>
  <c r="AP1586" i="31"/>
  <c r="AP745" i="31"/>
  <c r="BA745" i="31"/>
  <c r="H745" i="31"/>
  <c r="BA573" i="31"/>
  <c r="AP573" i="31"/>
  <c r="H573" i="31"/>
  <c r="H153" i="31"/>
  <c r="BA153" i="31"/>
  <c r="AP153" i="31"/>
  <c r="H3048" i="31"/>
  <c r="AP3048" i="31"/>
  <c r="BA3048" i="31"/>
  <c r="H3369" i="31"/>
  <c r="AP3369" i="31"/>
  <c r="BA3369" i="31"/>
  <c r="AP3307" i="31"/>
  <c r="BA3307" i="31"/>
  <c r="H3307" i="31"/>
  <c r="H1747" i="31"/>
  <c r="AP1747" i="31"/>
  <c r="BA1747" i="31"/>
  <c r="AP2108" i="31"/>
  <c r="BA2108" i="31"/>
  <c r="H2108" i="31"/>
  <c r="BA1771" i="31"/>
  <c r="H1771" i="31"/>
  <c r="AP1771" i="31"/>
  <c r="BA951" i="31"/>
  <c r="H951" i="31"/>
  <c r="AP951" i="31"/>
  <c r="AP129" i="31"/>
  <c r="BA129" i="31"/>
  <c r="H129" i="31"/>
  <c r="BA2923" i="31"/>
  <c r="AP2923" i="31"/>
  <c r="H2923" i="31"/>
  <c r="AP937" i="31"/>
  <c r="H937" i="31"/>
  <c r="BA937" i="31"/>
  <c r="H2889" i="31"/>
  <c r="BA2889" i="31"/>
  <c r="AP2889" i="31"/>
  <c r="H3504" i="31"/>
  <c r="BA3504" i="31"/>
  <c r="AP3504" i="31"/>
  <c r="AP1076" i="31"/>
  <c r="H1076" i="31"/>
  <c r="BA1076" i="31"/>
  <c r="H464" i="31"/>
  <c r="AP464" i="31"/>
  <c r="BA464" i="31"/>
  <c r="AP212" i="31"/>
  <c r="BA212" i="31"/>
  <c r="H212" i="31"/>
  <c r="H3115" i="31"/>
  <c r="BA3115" i="31"/>
  <c r="AP3115" i="31"/>
  <c r="AP3487" i="31"/>
  <c r="H3487" i="31"/>
  <c r="BA3487" i="31"/>
  <c r="BA830" i="31"/>
  <c r="H830" i="31"/>
  <c r="AP830" i="31"/>
  <c r="BA1072" i="31"/>
  <c r="AP1072" i="31"/>
  <c r="H1072" i="31"/>
  <c r="H3004" i="31"/>
  <c r="BA3004" i="31"/>
  <c r="AP3004" i="31"/>
  <c r="H2906" i="31"/>
  <c r="AP2906" i="31"/>
  <c r="BA2906" i="31"/>
  <c r="AP3470" i="31"/>
  <c r="H3470" i="31"/>
  <c r="BA3470" i="31"/>
  <c r="H307" i="31"/>
  <c r="AP307" i="31"/>
  <c r="BA307" i="31"/>
  <c r="H2998" i="31"/>
  <c r="AP2998" i="31"/>
  <c r="BA2998" i="31"/>
  <c r="H1126" i="31"/>
  <c r="AP1126" i="31"/>
  <c r="BA1126" i="31"/>
  <c r="H3050" i="31"/>
  <c r="BA3050" i="31"/>
  <c r="AP3050" i="31"/>
  <c r="O3525" i="31"/>
  <c r="N3526" i="31"/>
  <c r="N3530" i="31"/>
  <c r="O3528" i="31"/>
  <c r="N3522" i="31"/>
  <c r="O3529" i="31"/>
  <c r="N3525" i="31"/>
  <c r="O3527" i="31"/>
  <c r="O3522" i="31"/>
  <c r="N3524" i="31"/>
  <c r="N3523" i="31"/>
  <c r="O3519" i="31"/>
  <c r="N3528" i="31"/>
  <c r="O3524" i="31"/>
  <c r="O3531" i="31"/>
  <c r="N3521" i="31"/>
  <c r="O3526" i="31"/>
  <c r="N3529" i="31"/>
  <c r="N3527" i="31"/>
  <c r="O3521" i="31"/>
  <c r="O3523" i="31"/>
  <c r="O3520" i="31"/>
  <c r="O3530" i="31"/>
  <c r="N3520" i="31"/>
  <c r="N3519" i="31"/>
  <c r="Q13" i="31"/>
  <c r="BF16" i="10"/>
  <c r="E37" i="10" s="1"/>
  <c r="BI36" i="10"/>
  <c r="BH36" i="10"/>
  <c r="HB19" i="10"/>
  <c r="HB20" i="10" s="1"/>
  <c r="H1917" i="31"/>
  <c r="AP1917" i="31"/>
  <c r="BA1917" i="31"/>
  <c r="AP880" i="31"/>
  <c r="BA880" i="31"/>
  <c r="H880" i="31"/>
  <c r="H3124" i="31"/>
  <c r="BA3124" i="31"/>
  <c r="AP3124" i="31"/>
  <c r="AP3357" i="31"/>
  <c r="H3357" i="31"/>
  <c r="BA3357" i="31"/>
  <c r="AP931" i="31"/>
  <c r="BA931" i="31"/>
  <c r="H931" i="31"/>
  <c r="H2301" i="31"/>
  <c r="AP2301" i="31"/>
  <c r="BA2301" i="31"/>
  <c r="AP3123" i="31"/>
  <c r="H3123" i="31"/>
  <c r="BA3123" i="31"/>
  <c r="BA3035" i="31"/>
  <c r="H3035" i="31"/>
  <c r="AP3035" i="31"/>
  <c r="H2977" i="31"/>
  <c r="AP2977" i="31"/>
  <c r="BA2977" i="31"/>
  <c r="AP2679" i="31"/>
  <c r="H2679" i="31"/>
  <c r="BA2679" i="31"/>
  <c r="H1951" i="31"/>
  <c r="AP1951" i="31"/>
  <c r="BA1951" i="31"/>
  <c r="H1369" i="31"/>
  <c r="AP1369" i="31"/>
  <c r="BA1369" i="31"/>
  <c r="BA2429" i="31"/>
  <c r="AP2429" i="31"/>
  <c r="H2429" i="31"/>
  <c r="H3074" i="31"/>
  <c r="BA3074" i="31"/>
  <c r="AP3074" i="31"/>
  <c r="AP2488" i="31"/>
  <c r="H2488" i="31"/>
  <c r="BA2488" i="31"/>
  <c r="AP1416" i="31"/>
  <c r="H1416" i="31"/>
  <c r="BA1416" i="31"/>
  <c r="AP330" i="31"/>
  <c r="H330" i="31"/>
  <c r="BA330" i="31"/>
  <c r="BA311" i="31"/>
  <c r="H311" i="31"/>
  <c r="AP311" i="31"/>
  <c r="AP2663" i="31"/>
  <c r="H2663" i="31"/>
  <c r="BA2663" i="31"/>
  <c r="AP3335" i="31"/>
  <c r="H3335" i="31"/>
  <c r="BA3335" i="31"/>
  <c r="AP2771" i="31"/>
  <c r="H2771" i="31"/>
  <c r="BA2771" i="31"/>
  <c r="H1273" i="31"/>
  <c r="BA1273" i="31"/>
  <c r="AP1273" i="31"/>
  <c r="AP1465" i="31"/>
  <c r="BA1465" i="31"/>
  <c r="H1465" i="31"/>
  <c r="H2383" i="31"/>
  <c r="BA2383" i="31"/>
  <c r="AP2383" i="31"/>
  <c r="AP1004" i="31"/>
  <c r="BA1004" i="31"/>
  <c r="H1004" i="31"/>
  <c r="AP162" i="31"/>
  <c r="H162" i="31"/>
  <c r="BA162" i="31"/>
  <c r="AP1612" i="31"/>
  <c r="BA1612" i="31"/>
  <c r="H1612" i="31"/>
  <c r="H1331" i="31"/>
  <c r="AP1331" i="31"/>
  <c r="BA1331" i="31"/>
  <c r="H178" i="31"/>
  <c r="BA178" i="31"/>
  <c r="AP178" i="31"/>
  <c r="H1572" i="31"/>
  <c r="BA1572" i="31"/>
  <c r="AP1572" i="31"/>
  <c r="H1733" i="31"/>
  <c r="AP1733" i="31"/>
  <c r="BA1733" i="31"/>
  <c r="BA974" i="31"/>
  <c r="H974" i="31"/>
  <c r="AP974" i="31"/>
  <c r="BA3302" i="31"/>
  <c r="H3302" i="31"/>
  <c r="AP3302" i="31"/>
  <c r="AP3441" i="31"/>
  <c r="H3441" i="31"/>
  <c r="BA3441" i="31"/>
  <c r="BA585" i="31"/>
  <c r="AP585" i="31"/>
  <c r="H585" i="31"/>
  <c r="H2516" i="31"/>
  <c r="AP2516" i="31"/>
  <c r="BA2516" i="31"/>
  <c r="H96" i="31"/>
  <c r="BA96" i="31"/>
  <c r="AP96" i="31"/>
  <c r="AP1753" i="31"/>
  <c r="H1753" i="31"/>
  <c r="BA1753" i="31"/>
  <c r="AP2740" i="31"/>
  <c r="BA2740" i="31"/>
  <c r="H2740" i="31"/>
  <c r="BA2265" i="31"/>
  <c r="AP2265" i="31"/>
  <c r="H2265" i="31"/>
  <c r="BA1824" i="31"/>
  <c r="AP1824" i="31"/>
  <c r="H1824" i="31"/>
  <c r="H351" i="31"/>
  <c r="AP351" i="31"/>
  <c r="BA351" i="31"/>
  <c r="BA687" i="31"/>
  <c r="AP687" i="31"/>
  <c r="H687" i="31"/>
  <c r="BA1007" i="31"/>
  <c r="H1007" i="31"/>
  <c r="AP1007" i="31"/>
  <c r="BA3393" i="31"/>
  <c r="AP3393" i="31"/>
  <c r="H3393" i="31"/>
  <c r="AP2997" i="31"/>
  <c r="H2997" i="31"/>
  <c r="BA2997" i="31"/>
  <c r="H3306" i="31"/>
  <c r="AP3306" i="31"/>
  <c r="BA3306" i="31"/>
  <c r="AP2715" i="31"/>
  <c r="H2715" i="31"/>
  <c r="BA2715" i="31"/>
  <c r="BA1514" i="31"/>
  <c r="AP1514" i="31"/>
  <c r="H1514" i="31"/>
  <c r="H1101" i="31"/>
  <c r="BA1101" i="31"/>
  <c r="AP1101" i="31"/>
  <c r="H3437" i="31"/>
  <c r="BA3437" i="31"/>
  <c r="AP3437" i="31"/>
  <c r="H2393" i="31"/>
  <c r="AP2393" i="31"/>
  <c r="BA2393" i="31"/>
  <c r="BA1739" i="31"/>
  <c r="H1739" i="31"/>
  <c r="AP1739" i="31"/>
  <c r="BA2976" i="31"/>
  <c r="AP2976" i="31"/>
  <c r="H2976" i="31"/>
  <c r="BA3253" i="31"/>
  <c r="AP3253" i="31"/>
  <c r="H3253" i="31"/>
  <c r="BA3093" i="31"/>
  <c r="H3093" i="31"/>
  <c r="AP3093" i="31"/>
  <c r="H1893" i="31"/>
  <c r="BA1893" i="31"/>
  <c r="AP1893" i="31"/>
  <c r="H1191" i="31"/>
  <c r="AP1191" i="31"/>
  <c r="BA1191" i="31"/>
  <c r="BA3353" i="31"/>
  <c r="H3353" i="31"/>
  <c r="AP3353" i="31"/>
  <c r="H426" i="31"/>
  <c r="AP426" i="31"/>
  <c r="BA426" i="31"/>
  <c r="H98" i="31"/>
  <c r="AP98" i="31"/>
  <c r="BA98" i="31"/>
  <c r="H1714" i="31"/>
  <c r="BA1714" i="31"/>
  <c r="AP1714" i="31"/>
  <c r="H3132" i="31"/>
  <c r="AP3132" i="31"/>
  <c r="BA3132" i="31"/>
  <c r="H2480" i="31"/>
  <c r="AP2480" i="31"/>
  <c r="BA2480" i="31"/>
  <c r="H633" i="31"/>
  <c r="AP633" i="31"/>
  <c r="BA633" i="31"/>
  <c r="AP1490" i="31"/>
  <c r="H1490" i="31"/>
  <c r="BA1490" i="31"/>
  <c r="H1606" i="31"/>
  <c r="AP1606" i="31"/>
  <c r="BA1606" i="31"/>
  <c r="BA106" i="31"/>
  <c r="H106" i="31"/>
  <c r="AP106" i="31"/>
  <c r="H2305" i="31"/>
  <c r="AP2305" i="31"/>
  <c r="BA2305" i="31"/>
  <c r="BA723" i="31"/>
  <c r="AP723" i="31"/>
  <c r="H723" i="31"/>
  <c r="BA689" i="31"/>
  <c r="H689" i="31"/>
  <c r="AP689" i="31"/>
  <c r="H2088" i="31"/>
  <c r="AP2088" i="31"/>
  <c r="BA2088" i="31"/>
  <c r="BA1203" i="31"/>
  <c r="H1203" i="31"/>
  <c r="AP1203" i="31"/>
  <c r="AP163" i="31"/>
  <c r="BA163" i="31"/>
  <c r="H163" i="31"/>
  <c r="H587" i="31"/>
  <c r="AP587" i="31"/>
  <c r="BA587" i="31"/>
  <c r="BA64" i="31"/>
  <c r="AP64" i="31"/>
  <c r="H64" i="31"/>
  <c r="H532" i="31"/>
  <c r="AP532" i="31"/>
  <c r="BA532" i="31"/>
  <c r="AP213" i="31"/>
  <c r="BA213" i="31"/>
  <c r="H213" i="31"/>
  <c r="AP876" i="31"/>
  <c r="H876" i="31"/>
  <c r="BA876" i="31"/>
  <c r="H2032" i="31"/>
  <c r="AP2032" i="31"/>
  <c r="BA2032" i="31"/>
  <c r="BA1056" i="31"/>
  <c r="AP1056" i="31"/>
  <c r="H1056" i="31"/>
  <c r="AP2167" i="31"/>
  <c r="H2167" i="31"/>
  <c r="BA2167" i="31"/>
  <c r="H1828" i="31"/>
  <c r="BA1828" i="31"/>
  <c r="AP1828" i="31"/>
  <c r="H2406" i="31"/>
  <c r="BA2406" i="31"/>
  <c r="AP2406" i="31"/>
  <c r="AP844" i="31"/>
  <c r="H844" i="31"/>
  <c r="BA844" i="31"/>
  <c r="H291" i="31"/>
  <c r="BA291" i="31"/>
  <c r="AP291" i="31"/>
  <c r="H3095" i="31"/>
  <c r="AP3095" i="31"/>
  <c r="BA3095" i="31"/>
  <c r="BA1812" i="31"/>
  <c r="AP1812" i="31"/>
  <c r="H1812" i="31"/>
  <c r="AP367" i="31"/>
  <c r="BA367" i="31"/>
  <c r="H367" i="31"/>
  <c r="AP342" i="31"/>
  <c r="H342" i="31"/>
  <c r="BA342" i="31"/>
  <c r="H3261" i="31"/>
  <c r="BA3261" i="31"/>
  <c r="AP3261" i="31"/>
  <c r="H1780" i="31"/>
  <c r="AP1780" i="31"/>
  <c r="BA1780" i="31"/>
  <c r="BA1899" i="31"/>
  <c r="AP1899" i="31"/>
  <c r="H1899" i="31"/>
  <c r="BA3239" i="31"/>
  <c r="AP3239" i="31"/>
  <c r="H3239" i="31"/>
  <c r="AP725" i="31"/>
  <c r="BA725" i="31"/>
  <c r="H725" i="31"/>
  <c r="H1009" i="31"/>
  <c r="AP1009" i="31"/>
  <c r="BA1009" i="31"/>
  <c r="H888" i="31"/>
  <c r="AP888" i="31"/>
  <c r="BA888" i="31"/>
  <c r="BA1112" i="31"/>
  <c r="H1112" i="31"/>
  <c r="AP1112" i="31"/>
  <c r="AP2562" i="31"/>
  <c r="H2562" i="31"/>
  <c r="BA2562" i="31"/>
  <c r="BA2097" i="31"/>
  <c r="H2097" i="31"/>
  <c r="AP2097" i="31"/>
  <c r="AP2059" i="31"/>
  <c r="BA2059" i="31"/>
  <c r="H2059" i="31"/>
  <c r="BA2315" i="31"/>
  <c r="AP2315" i="31"/>
  <c r="H2315" i="31"/>
  <c r="H257" i="31"/>
  <c r="AP257" i="31"/>
  <c r="BA257" i="31"/>
  <c r="BA2493" i="31"/>
  <c r="AP2493" i="31"/>
  <c r="H2493" i="31"/>
  <c r="H1053" i="31"/>
  <c r="AP1053" i="31"/>
  <c r="BA1053" i="31"/>
  <c r="BA343" i="31"/>
  <c r="AP343" i="31"/>
  <c r="H343" i="31"/>
  <c r="AP2750" i="31"/>
  <c r="BA2750" i="31"/>
  <c r="H2750" i="31"/>
  <c r="H787" i="31"/>
  <c r="BA787" i="31"/>
  <c r="AP787" i="31"/>
  <c r="BA2802" i="31"/>
  <c r="AP2802" i="31"/>
  <c r="H2802" i="31"/>
  <c r="BA1908" i="31"/>
  <c r="AP1908" i="31"/>
  <c r="H1908" i="31"/>
  <c r="BA2142" i="31"/>
  <c r="AP2142" i="31"/>
  <c r="H2142" i="31"/>
  <c r="H3097" i="31"/>
  <c r="AP3097" i="31"/>
  <c r="BA3097" i="31"/>
  <c r="BA1699" i="31"/>
  <c r="H1699" i="31"/>
  <c r="AP1699" i="31"/>
  <c r="BA676" i="31"/>
  <c r="AP676" i="31"/>
  <c r="H676" i="31"/>
  <c r="H2103" i="31"/>
  <c r="AP2103" i="31"/>
  <c r="BA2103" i="31"/>
  <c r="AP2253" i="31"/>
  <c r="H2253" i="31"/>
  <c r="BA2253" i="31"/>
  <c r="AP2050" i="31"/>
  <c r="H2050" i="31"/>
  <c r="BA2050" i="31"/>
  <c r="BA1000" i="31"/>
  <c r="AP1000" i="31"/>
  <c r="H1000" i="31"/>
  <c r="H329" i="31"/>
  <c r="BA329" i="31"/>
  <c r="AP329" i="31"/>
  <c r="H2587" i="31"/>
  <c r="AP2587" i="31"/>
  <c r="BA2587" i="31"/>
  <c r="AP1486" i="31"/>
  <c r="H1486" i="31"/>
  <c r="BA1486" i="31"/>
  <c r="BA192" i="31"/>
  <c r="AP192" i="31"/>
  <c r="H192" i="31"/>
  <c r="BA2850" i="31"/>
  <c r="H2850" i="31"/>
  <c r="AP2850" i="31"/>
  <c r="BA817" i="31"/>
  <c r="AP817" i="31"/>
  <c r="H817" i="31"/>
  <c r="AP1270" i="31"/>
  <c r="H1270" i="31"/>
  <c r="BA1270" i="31"/>
  <c r="AP436" i="31"/>
  <c r="BA436" i="31"/>
  <c r="H436" i="31"/>
  <c r="BA320" i="31"/>
  <c r="AP320" i="31"/>
  <c r="H320" i="31"/>
  <c r="AP2369" i="31"/>
  <c r="H2369" i="31"/>
  <c r="BA2369" i="31"/>
  <c r="AP3082" i="31"/>
  <c r="BA3082" i="31"/>
  <c r="H3082" i="31"/>
  <c r="BA274" i="31"/>
  <c r="AP274" i="31"/>
  <c r="H274" i="31"/>
  <c r="AP2109" i="31"/>
  <c r="H2109" i="31"/>
  <c r="BA2109" i="31"/>
  <c r="H2384" i="31"/>
  <c r="AP2384" i="31"/>
  <c r="BA2384" i="31"/>
  <c r="AP202" i="31"/>
  <c r="H202" i="31"/>
  <c r="BA202" i="31"/>
  <c r="BA1302" i="31"/>
  <c r="AP1302" i="31"/>
  <c r="H1302" i="31"/>
  <c r="H1551" i="31"/>
  <c r="BA1551" i="31"/>
  <c r="AP1551" i="31"/>
  <c r="H2827" i="31"/>
  <c r="BA2827" i="31"/>
  <c r="AP2827" i="31"/>
  <c r="AP906" i="31"/>
  <c r="BA906" i="31"/>
  <c r="H906" i="31"/>
  <c r="AQ3526" i="31" a="1"/>
  <c r="AQ3526" i="31" s="1"/>
  <c r="I3526" i="31"/>
  <c r="K3526" i="31"/>
  <c r="E3526" i="31"/>
  <c r="M3526" i="31" a="1"/>
  <c r="M3526" i="31" s="1"/>
  <c r="P3526" i="31" a="1"/>
  <c r="P3526" i="31" s="1"/>
  <c r="BA2448" i="31"/>
  <c r="AP2448" i="31"/>
  <c r="H2448" i="31"/>
  <c r="AP1730" i="31"/>
  <c r="BA1730" i="31"/>
  <c r="H1730" i="31"/>
  <c r="BA1106" i="31"/>
  <c r="AP1106" i="31"/>
  <c r="H1106" i="31"/>
  <c r="AP1934" i="31"/>
  <c r="BA1934" i="31"/>
  <c r="H1934" i="31"/>
  <c r="H1542" i="31"/>
  <c r="BA1542" i="31"/>
  <c r="AP1542" i="31"/>
  <c r="H2903" i="31"/>
  <c r="AP2903" i="31"/>
  <c r="BA2903" i="31"/>
  <c r="AP2622" i="31"/>
  <c r="H2622" i="31"/>
  <c r="BA2622" i="31"/>
  <c r="BA804" i="31"/>
  <c r="H804" i="31"/>
  <c r="AP804" i="31"/>
  <c r="AP1822" i="31"/>
  <c r="H1822" i="31"/>
  <c r="BA1822" i="31"/>
  <c r="AP1670" i="31"/>
  <c r="H1670" i="31"/>
  <c r="BA1670" i="31"/>
  <c r="H1174" i="31"/>
  <c r="BA1174" i="31"/>
  <c r="AP1174" i="31"/>
  <c r="H1513" i="31"/>
  <c r="BA1513" i="31"/>
  <c r="AP1513" i="31"/>
  <c r="H3467" i="31"/>
  <c r="BA3467" i="31"/>
  <c r="AP3467" i="31"/>
  <c r="AP1151" i="31"/>
  <c r="BA1151" i="31"/>
  <c r="H1151" i="31"/>
  <c r="AP3180" i="31"/>
  <c r="BA3180" i="31"/>
  <c r="H3180" i="31"/>
  <c r="H1406" i="31"/>
  <c r="BA1406" i="31"/>
  <c r="AP1406" i="31"/>
  <c r="BA319" i="31"/>
  <c r="AP319" i="31"/>
  <c r="H319" i="31"/>
  <c r="BA517" i="31"/>
  <c r="H517" i="31"/>
  <c r="AP517" i="31"/>
  <c r="BA112" i="31"/>
  <c r="H112" i="31"/>
  <c r="AP112" i="31"/>
  <c r="H3283" i="31"/>
  <c r="BA3283" i="31"/>
  <c r="AP3283" i="31"/>
  <c r="AP2713" i="31"/>
  <c r="H2713" i="31"/>
  <c r="BA2713" i="31"/>
  <c r="BA191" i="31"/>
  <c r="H191" i="31"/>
  <c r="AP191" i="31"/>
  <c r="BA992" i="31"/>
  <c r="H992" i="31"/>
  <c r="AP992" i="31"/>
  <c r="AP970" i="31"/>
  <c r="BA970" i="31"/>
  <c r="H970" i="31"/>
  <c r="AP2251" i="31"/>
  <c r="H2251" i="31"/>
  <c r="BA2251" i="31"/>
  <c r="BA979" i="31"/>
  <c r="AP979" i="31"/>
  <c r="H979" i="31"/>
  <c r="BA2824" i="31"/>
  <c r="H2824" i="31"/>
  <c r="AP2824" i="31"/>
  <c r="H154" i="31"/>
  <c r="BA154" i="31"/>
  <c r="AP154" i="31"/>
  <c r="BA453" i="31"/>
  <c r="AP453" i="31"/>
  <c r="H453" i="31"/>
  <c r="AP2053" i="31"/>
  <c r="H2053" i="31"/>
  <c r="BA2053" i="31"/>
  <c r="BA462" i="31"/>
  <c r="AP462" i="31"/>
  <c r="H462" i="31"/>
  <c r="AQ3523" i="31" a="1"/>
  <c r="AQ3523" i="31" s="1"/>
  <c r="K3523" i="31"/>
  <c r="I3523" i="31"/>
  <c r="E3523" i="31"/>
  <c r="M3523" i="31" a="1"/>
  <c r="M3523" i="31" s="1"/>
  <c r="P3523" i="31" a="1"/>
  <c r="P3523" i="31" s="1"/>
  <c r="AP260" i="31"/>
  <c r="H260" i="31"/>
  <c r="BA260" i="31"/>
  <c r="H1325" i="31"/>
  <c r="BA1325" i="31"/>
  <c r="AP1325" i="31"/>
  <c r="BA1648" i="31"/>
  <c r="AP1648" i="31"/>
  <c r="H1648" i="31"/>
  <c r="BA1605" i="31"/>
  <c r="H1605" i="31"/>
  <c r="AP1605" i="31"/>
  <c r="H740" i="31"/>
  <c r="AP740" i="31"/>
  <c r="BA740" i="31"/>
  <c r="H2677" i="31"/>
  <c r="BA2677" i="31"/>
  <c r="AP2677" i="31"/>
  <c r="H2523" i="31"/>
  <c r="BA2523" i="31"/>
  <c r="AP2523" i="31"/>
  <c r="H2991" i="31"/>
  <c r="BA2991" i="31"/>
  <c r="AP2991" i="31"/>
  <c r="BA2539" i="31"/>
  <c r="AP2539" i="31"/>
  <c r="H2539" i="31"/>
  <c r="BA742" i="31"/>
  <c r="H742" i="31"/>
  <c r="AP742" i="31"/>
  <c r="AP790" i="31"/>
  <c r="H790" i="31"/>
  <c r="BA790" i="31"/>
  <c r="BA638" i="31"/>
  <c r="AP638" i="31"/>
  <c r="H638" i="31"/>
  <c r="AP2029" i="31"/>
  <c r="H2029" i="31"/>
  <c r="BA2029" i="31"/>
  <c r="AP1029" i="31"/>
  <c r="BA1029" i="31"/>
  <c r="H1029" i="31"/>
  <c r="H420" i="31"/>
  <c r="AP420" i="31"/>
  <c r="BA420" i="31"/>
  <c r="AP894" i="31"/>
  <c r="H894" i="31"/>
  <c r="BA894" i="31"/>
  <c r="I3528" i="31"/>
  <c r="AQ3528" i="31" a="1"/>
  <c r="AQ3528" i="31" s="1"/>
  <c r="E3528" i="31"/>
  <c r="K3528" i="31"/>
  <c r="M3528" i="31" a="1"/>
  <c r="M3528" i="31" s="1"/>
  <c r="P3528" i="31" a="1"/>
  <c r="P3528" i="31" s="1"/>
  <c r="BA3070" i="31"/>
  <c r="H3070" i="31"/>
  <c r="AP3070" i="31"/>
  <c r="H281" i="31"/>
  <c r="BA281" i="31"/>
  <c r="AP281" i="31"/>
  <c r="BA326" i="31"/>
  <c r="H326" i="31"/>
  <c r="AP326" i="31"/>
  <c r="H2104" i="31"/>
  <c r="BA2104" i="31"/>
  <c r="AP2104" i="31"/>
  <c r="H389" i="31"/>
  <c r="AP389" i="31"/>
  <c r="BA389" i="31"/>
  <c r="BA1629" i="31"/>
  <c r="AP1629" i="31"/>
  <c r="H1629" i="31"/>
  <c r="H1976" i="31"/>
  <c r="AP1976" i="31"/>
  <c r="BA1976" i="31"/>
  <c r="I3525" i="31"/>
  <c r="K3525" i="31"/>
  <c r="AQ3525" i="31" a="1"/>
  <c r="AQ3525" i="31" s="1"/>
  <c r="E3525" i="31"/>
  <c r="P3525" i="31" a="1"/>
  <c r="P3525" i="31" s="1"/>
  <c r="M3525" i="31" a="1"/>
  <c r="M3525" i="31" s="1"/>
  <c r="AP2466" i="31"/>
  <c r="BA2466" i="31"/>
  <c r="H2466" i="31"/>
  <c r="AP2737" i="31"/>
  <c r="H2737" i="31"/>
  <c r="BA2737" i="31"/>
  <c r="H511" i="31"/>
  <c r="BA511" i="31"/>
  <c r="AP511" i="31"/>
  <c r="AP1250" i="31"/>
  <c r="H1250" i="31"/>
  <c r="BA1250" i="31"/>
  <c r="H3505" i="31"/>
  <c r="BA3505" i="31"/>
  <c r="AP3505" i="31"/>
  <c r="H1236" i="31"/>
  <c r="AP1236" i="31"/>
  <c r="BA1236" i="31"/>
  <c r="H639" i="31"/>
  <c r="BA639" i="31"/>
  <c r="AP639" i="31"/>
  <c r="AP3371" i="31"/>
  <c r="BA3371" i="31"/>
  <c r="H3371" i="31"/>
  <c r="BA1324" i="31"/>
  <c r="AP1324" i="31"/>
  <c r="H1324" i="31"/>
  <c r="BA3488" i="31"/>
  <c r="AP3488" i="31"/>
  <c r="H3488" i="31"/>
  <c r="AP2652" i="31"/>
  <c r="H2652" i="31"/>
  <c r="BA2652" i="31"/>
  <c r="BA2799" i="31"/>
  <c r="AP2799" i="31"/>
  <c r="H2799" i="31"/>
  <c r="H1796" i="31"/>
  <c r="AP1796" i="31"/>
  <c r="BA1796" i="31"/>
  <c r="AP2497" i="31"/>
  <c r="H2497" i="31"/>
  <c r="BA2497" i="31"/>
  <c r="BA3471" i="31"/>
  <c r="H3471" i="31"/>
  <c r="AP3471" i="31"/>
  <c r="AP2700" i="31"/>
  <c r="H2700" i="31"/>
  <c r="BA2700" i="31"/>
  <c r="H2806" i="31"/>
  <c r="BA2806" i="31"/>
  <c r="AP2806" i="31"/>
  <c r="AP3394" i="31"/>
  <c r="H3394" i="31"/>
  <c r="BA3394" i="31"/>
  <c r="H1553" i="31"/>
  <c r="AP1553" i="31"/>
  <c r="BA1553" i="31"/>
  <c r="AP2561" i="31"/>
  <c r="BA2561" i="31"/>
  <c r="H2561" i="31"/>
  <c r="BA748" i="31"/>
  <c r="AP748" i="31"/>
  <c r="H748" i="31"/>
  <c r="AP256" i="31"/>
  <c r="BA256" i="31"/>
  <c r="H256" i="31"/>
  <c r="AP795" i="31"/>
  <c r="H795" i="31"/>
  <c r="BA795" i="31"/>
  <c r="BA27" i="31"/>
  <c r="H27" i="31"/>
  <c r="AP27" i="31"/>
  <c r="CB3" i="10" l="1"/>
  <c r="BZ3" i="10"/>
  <c r="E15" i="10"/>
  <c r="BX15" i="10"/>
  <c r="CF15" i="10"/>
  <c r="CG16" i="10" s="1"/>
  <c r="BX19" i="10"/>
  <c r="E19" i="10"/>
  <c r="CF19" i="10"/>
  <c r="CG12" i="10" s="1"/>
  <c r="E21" i="10"/>
  <c r="BX21" i="10"/>
  <c r="CF21" i="10"/>
  <c r="CG10" i="10" s="1"/>
  <c r="M3521" i="31" a="1"/>
  <c r="M3521" i="31" s="1"/>
  <c r="BY1" i="1"/>
  <c r="CB1" i="1"/>
  <c r="BT1" i="1"/>
  <c r="BW1" i="1"/>
  <c r="BS1" i="1"/>
  <c r="CD1" i="1"/>
  <c r="CA1" i="1"/>
  <c r="BX1" i="1"/>
  <c r="CC1" i="1"/>
  <c r="BU1" i="1"/>
  <c r="BZ1" i="1"/>
  <c r="BV1" i="1"/>
  <c r="E18" i="10"/>
  <c r="BX18" i="10"/>
  <c r="CF18" i="10"/>
  <c r="CG13" i="10" s="1"/>
  <c r="E16" i="10"/>
  <c r="BX16" i="10"/>
  <c r="CF16" i="10"/>
  <c r="CG15" i="10" s="1"/>
  <c r="M3530" i="31" a="1"/>
  <c r="M3530" i="31" s="1"/>
  <c r="P3519" i="31" a="1"/>
  <c r="P3519" i="31" s="1"/>
  <c r="E13" i="10"/>
  <c r="BX13" i="10"/>
  <c r="CF13" i="10"/>
  <c r="CG18" i="10" s="1"/>
  <c r="BX20" i="10"/>
  <c r="E20" i="10"/>
  <c r="CF20" i="10"/>
  <c r="CG11" i="10" s="1"/>
  <c r="M3519" i="31" a="1"/>
  <c r="M3519" i="31" s="1"/>
  <c r="BX11" i="10"/>
  <c r="E11" i="10"/>
  <c r="CF11" i="10"/>
  <c r="CG20" i="10" s="1"/>
  <c r="G37" i="10"/>
  <c r="L37" i="10"/>
  <c r="A37" i="10"/>
  <c r="K37" i="10"/>
  <c r="P37" i="10"/>
  <c r="Q3527" i="31"/>
  <c r="Q3520" i="31"/>
  <c r="Q3530" i="31"/>
  <c r="R3530" i="31"/>
  <c r="S3517" i="31"/>
  <c r="Q3521" i="31"/>
  <c r="Q3517" i="31"/>
  <c r="Q3525" i="31"/>
  <c r="Q3528" i="31"/>
  <c r="Q3523" i="31"/>
  <c r="Q3526" i="31"/>
  <c r="Q3529" i="31"/>
  <c r="Q3522" i="31"/>
  <c r="Q3524" i="31"/>
  <c r="Q3519" i="31"/>
  <c r="R3531" i="31"/>
  <c r="E17" i="10"/>
  <c r="BX17" i="10"/>
  <c r="CF17" i="10"/>
  <c r="CG14" i="10" s="1"/>
  <c r="BX12" i="10"/>
  <c r="E12" i="10"/>
  <c r="CF12" i="10"/>
  <c r="CG19" i="10" s="1"/>
  <c r="BX14" i="10"/>
  <c r="E14" i="10"/>
  <c r="CF14" i="10"/>
  <c r="CG17" i="10" s="1"/>
  <c r="BX10" i="10"/>
  <c r="BW3" i="10"/>
  <c r="E22" i="10" s="1"/>
  <c r="E10" i="10"/>
  <c r="CF10" i="10"/>
  <c r="BO4" i="1" l="1"/>
  <c r="BJ32" i="10"/>
  <c r="BX3" i="10"/>
  <c r="CF4" i="10"/>
  <c r="CF3" i="10" s="1"/>
  <c r="CG21" i="10"/>
  <c r="CG4" i="10" s="1"/>
  <c r="CG2" i="10" s="1"/>
  <c r="BJ28"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<sst xmlns="http://schemas.openxmlformats.org/spreadsheetml/2006/main" count="12457" uniqueCount="2372">
  <si>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</si>
  <si>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</si>
  <si>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</si>
  <si>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</si>
  <si>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</si>
  <si>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</si>
  <si>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</si>
  <si>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</si>
  <si>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</si>
  <si>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</si>
  <si>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</si>
  <si>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</si>
  <si>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</si>
  <si>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</si>
  <si>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</si>
  <si>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</si>
  <si>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</si>
  <si>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</si>
  <si>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</si>
  <si>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</si>
  <si>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</si>
  <si>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</si>
  <si>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</si>
  <si>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</si>
  <si>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</si>
  <si>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</si>
  <si>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</si>
  <si>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</si>
  <si>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</si>
  <si>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</si>
  <si>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</si>
  <si>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</si>
  <si>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</si>
  <si>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</si>
  <si>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</si>
  <si>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</si>
  <si>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</si>
  <si>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</si>
  <si>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</si>
  <si>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</si>
  <si>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</si>
  <si>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</si>
  <si>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</si>
  <si>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</si>
  <si>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</si>
  <si>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</si>
  <si>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</si>
  <si>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</si>
  <si>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</si>
  <si>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</si>
  <si>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</si>
  <si>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</si>
  <si>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</si>
  <si>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</si>
  <si>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</si>
  <si>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</si>
  <si>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</si>
  <si>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</si>
  <si>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</si>
  <si>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</si>
  <si>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</si>
  <si>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</si>
  <si>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</si>
  <si>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</si>
  <si>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</si>
  <si>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</si>
  <si>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</si>
  <si>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</si>
  <si>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</si>
  <si>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</si>
  <si>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</si>
  <si>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</si>
  <si>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</si>
  <si>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</si>
  <si>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</si>
  <si>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</si>
  <si>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</si>
  <si>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</si>
  <si>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</si>
  <si>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</si>
  <si>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</si>
  <si>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</si>
  <si>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</si>
  <si>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</si>
  <si>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</si>
  <si>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</si>
  <si>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</si>
  <si>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</si>
  <si>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</si>
  <si>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</si>
  <si>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</si>
  <si>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</si>
  <si>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</si>
  <si>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</si>
  <si>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</si>
  <si>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</si>
  <si>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</si>
  <si>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</si>
  <si>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</si>
  <si>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</si>
  <si>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</si>
  <si>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</si>
  <si>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</si>
  <si>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</si>
  <si>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</si>
  <si>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</si>
  <si>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</si>
  <si>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</si>
  <si>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</si>
  <si>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</si>
  <si>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</si>
  <si>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</si>
  <si>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</si>
  <si>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</si>
  <si>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</si>
  <si>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</si>
  <si>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</si>
  <si>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</si>
  <si>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</si>
  <si>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</si>
  <si>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</si>
  <si>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</si>
  <si>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</si>
  <si>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</si>
  <si>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</si>
  <si>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</si>
  <si>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</si>
  <si>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</si>
  <si>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</si>
  <si>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</si>
  <si>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</si>
  <si>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</si>
  <si>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</si>
  <si>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</si>
  <si>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</si>
  <si>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</si>
  <si>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</si>
  <si>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</si>
  <si>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</si>
  <si>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</si>
  <si>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</si>
  <si>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</si>
  <si>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</si>
  <si>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</si>
  <si>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</si>
  <si>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</si>
  <si>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</si>
  <si>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</si>
  <si>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</si>
  <si>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</si>
  <si>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</si>
  <si>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</si>
  <si>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</si>
  <si>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</si>
  <si>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</si>
  <si>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</si>
  <si>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</si>
  <si>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</si>
  <si>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</si>
  <si>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</si>
  <si>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</si>
  <si>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</si>
  <si>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</si>
  <si>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</si>
  <si>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</si>
  <si>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</si>
  <si>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</si>
  <si>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</si>
  <si>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</si>
  <si>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</si>
  <si>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</si>
  <si>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</si>
  <si>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</si>
  <si>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</si>
  <si>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</si>
  <si>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</si>
  <si>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</si>
  <si>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</si>
  <si>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</si>
  <si>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</si>
  <si>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</si>
  <si>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</si>
  <si>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</si>
  <si>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</si>
  <si>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</si>
  <si>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</si>
  <si>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</si>
  <si>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</si>
  <si>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</si>
  <si>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</si>
  <si>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</si>
  <si>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</si>
  <si>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</si>
  <si>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</si>
  <si>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</si>
  <si>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</si>
  <si>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</si>
  <si>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</si>
  <si>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</si>
  <si>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</si>
  <si>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</si>
  <si>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</si>
  <si>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</si>
  <si>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</si>
  <si>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</si>
  <si>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</si>
  <si>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</si>
  <si>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</si>
  <si>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</si>
  <si>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</si>
  <si>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</si>
  <si>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</si>
  <si>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</si>
  <si>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</si>
  <si>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</si>
  <si>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</si>
  <si>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</si>
  <si>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</si>
  <si>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</si>
  <si>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</si>
  <si>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</si>
  <si>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</si>
  <si>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</si>
  <si>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</si>
  <si>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</si>
  <si>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</si>
  <si>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</si>
  <si>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</si>
  <si>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</si>
  <si>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</si>
  <si>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</si>
  <si>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</si>
  <si>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</si>
  <si>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</si>
  <si>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</si>
  <si>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</si>
  <si>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</si>
  <si>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</si>
  <si>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</si>
  <si>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</si>
  <si>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</si>
  <si>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</si>
  <si>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</si>
  <si>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</si>
  <si>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</si>
  <si>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</si>
  <si>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</si>
  <si>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</si>
  <si>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</si>
  <si>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</si>
  <si>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</si>
  <si>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</si>
  <si>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</si>
  <si>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</si>
  <si>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</si>
  <si>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</si>
  <si>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</si>
  <si>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</si>
  <si>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</si>
  <si>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</si>
  <si>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</si>
  <si>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</si>
  <si>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</si>
  <si>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</si>
  <si>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</si>
  <si>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</si>
  <si>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</si>
  <si>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</si>
  <si>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</si>
  <si>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</si>
  <si>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</si>
  <si>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</si>
  <si>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</si>
  <si>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</si>
  <si>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</si>
  <si>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</si>
  <si>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</si>
  <si>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</si>
  <si>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</si>
  <si>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</si>
  <si>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</si>
  <si>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</si>
  <si>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</si>
  <si>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</si>
  <si>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</si>
  <si>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</si>
  <si>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</si>
  <si>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</si>
  <si>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</si>
  <si>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</si>
  <si>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</si>
  <si>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</si>
  <si>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</si>
  <si>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</si>
  <si>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</si>
  <si>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</si>
  <si>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</si>
  <si>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</si>
  <si>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</si>
  <si>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</si>
  <si>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</si>
  <si>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</si>
  <si>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</si>
  <si>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</si>
  <si>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</si>
  <si>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</si>
  <si>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</si>
  <si>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</si>
  <si>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</si>
  <si>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</si>
  <si>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</si>
  <si>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</si>
  <si>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</si>
  <si>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</si>
  <si>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</si>
  <si>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</si>
  <si>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</si>
  <si>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</si>
  <si>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</si>
  <si>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</si>
  <si>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</si>
  <si>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</si>
  <si>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</si>
  <si>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</si>
  <si>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</si>
  <si>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</si>
  <si>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</si>
  <si>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</si>
  <si>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</si>
  <si>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</si>
  <si>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</si>
  <si>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</si>
  <si>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</si>
  <si>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</si>
  <si>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</si>
  <si>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</si>
  <si>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</si>
  <si>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</si>
  <si>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</si>
  <si>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</si>
  <si>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</si>
  <si>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</si>
  <si>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</si>
  <si>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</si>
  <si>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</si>
  <si>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</si>
  <si>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</si>
  <si>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</si>
  <si>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</si>
  <si>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</si>
  <si>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</si>
  <si>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</si>
  <si>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</si>
  <si>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</si>
  <si>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</si>
  <si>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</si>
  <si>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</si>
  <si>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</si>
  <si>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</si>
  <si>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</si>
  <si>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</si>
  <si>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</si>
  <si>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</si>
  <si>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</si>
  <si>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</si>
  <si>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</si>
  <si>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</si>
  <si>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</si>
  <si>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</si>
  <si>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</si>
  <si>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</si>
  <si>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</si>
  <si>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</si>
  <si>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</si>
  <si>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</si>
  <si>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</si>
  <si>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</si>
  <si>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</si>
  <si>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</si>
  <si>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</si>
  <si>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</si>
  <si>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</si>
  <si>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</si>
  <si>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</si>
  <si>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</si>
  <si>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</si>
  <si>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</si>
  <si>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</si>
  <si>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</si>
  <si>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</si>
  <si>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</si>
  <si>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</si>
  <si>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</si>
  <si>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</si>
  <si>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</si>
  <si>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</si>
  <si>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</si>
  <si>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</si>
  <si>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</si>
  <si>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</si>
  <si>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</si>
  <si>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</si>
  <si>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</si>
  <si>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</si>
  <si>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</si>
  <si>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</si>
  <si>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</si>
  <si>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</si>
  <si>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</si>
  <si>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</si>
  <si>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</si>
  <si>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</si>
  <si>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</si>
  <si>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</si>
  <si>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</si>
  <si>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</si>
  <si>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</si>
  <si>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</si>
  <si>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</si>
  <si>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</si>
  <si>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</si>
  <si>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</si>
  <si>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</si>
  <si>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</si>
  <si>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</si>
  <si>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</si>
  <si>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</si>
  <si>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</si>
  <si>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</si>
  <si>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</si>
  <si>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</si>
  <si>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</si>
  <si>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</si>
  <si>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</si>
  <si>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</si>
  <si>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</si>
  <si>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</si>
  <si>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</si>
  <si>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</si>
  <si>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</si>
  <si>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</si>
  <si>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</si>
  <si>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</si>
  <si>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</si>
  <si>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</si>
  <si>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</si>
  <si>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</si>
  <si>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</si>
  <si>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</si>
  <si>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</si>
  <si>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</si>
  <si>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</si>
  <si>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</si>
  <si>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</si>
  <si>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</si>
  <si>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</si>
  <si>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</si>
  <si>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</si>
  <si>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</si>
  <si>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</si>
  <si>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</si>
  <si>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</si>
  <si>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</si>
  <si>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</si>
  <si>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</si>
  <si>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</si>
  <si>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</si>
  <si>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</si>
  <si>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</si>
  <si>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</si>
  <si>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</si>
  <si>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</si>
  <si>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</si>
  <si>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</si>
  <si>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</si>
  <si>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</si>
  <si>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</si>
  <si>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</si>
  <si>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</si>
  <si>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</si>
  <si>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</si>
  <si>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</si>
  <si>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</si>
  <si>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</si>
  <si>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</si>
  <si>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</si>
  <si>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</si>
  <si>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</si>
  <si>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</si>
  <si>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</si>
  <si>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</si>
  <si>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</si>
  <si>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</si>
  <si>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</si>
  <si>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</si>
  <si>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</si>
  <si>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</si>
  <si>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</si>
  <si>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</si>
  <si>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</si>
  <si>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</si>
  <si>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</si>
  <si>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</si>
  <si>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</si>
  <si>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</si>
  <si>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</si>
  <si>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</si>
  <si>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</si>
  <si>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</si>
  <si>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</si>
  <si>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</si>
  <si>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</si>
  <si>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</si>
  <si>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</si>
  <si>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</si>
  <si>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</si>
  <si>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</si>
  <si>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</si>
  <si>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</si>
  <si>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</si>
  <si>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</si>
  <si>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</si>
  <si>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</si>
  <si>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</si>
  <si>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</si>
  <si>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</si>
  <si>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</si>
  <si>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</si>
  <si>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</si>
  <si>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</si>
  <si>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</si>
  <si>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</si>
  <si>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</si>
  <si>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</si>
  <si>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</si>
  <si>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</si>
  <si>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</si>
  <si>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</si>
  <si>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</si>
  <si>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</si>
  <si>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</si>
  <si>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</si>
  <si>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</si>
  <si>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</si>
  <si>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</si>
  <si>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</si>
  <si>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</si>
  <si>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</si>
  <si>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</si>
  <si>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</si>
  <si>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</si>
  <si>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</si>
  <si>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</si>
  <si>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</si>
  <si>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</si>
  <si>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</si>
  <si>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</si>
  <si>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</si>
  <si>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</si>
  <si>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</si>
  <si>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</si>
  <si>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</si>
  <si>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</si>
  <si>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</si>
  <si>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</si>
  <si>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</si>
  <si>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</si>
  <si>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</si>
  <si>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</si>
  <si>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</si>
  <si>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</si>
  <si>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</si>
  <si>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</si>
  <si>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</si>
  <si>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</si>
  <si>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</si>
  <si>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</si>
  <si>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</si>
  <si>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</si>
  <si>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</si>
  <si>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</si>
  <si>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</si>
  <si>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</si>
  <si>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</si>
  <si>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</si>
  <si>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</si>
  <si>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</si>
  <si>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</si>
  <si>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</si>
  <si>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</si>
  <si>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</si>
  <si>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</si>
  <si>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</si>
  <si>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</si>
  <si>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</si>
  <si>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</si>
  <si>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</si>
  <si>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</si>
  <si>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</si>
  <si>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</si>
  <si>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</si>
  <si>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</si>
  <si>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</si>
  <si>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</si>
  <si>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</si>
  <si>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</si>
  <si>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</si>
  <si>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</si>
  <si>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</si>
  <si>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</si>
  <si>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</si>
  <si>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</si>
  <si>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</si>
  <si>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</si>
  <si>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</si>
  <si>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</si>
  <si>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</si>
  <si>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</si>
  <si>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</si>
  <si>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</si>
  <si>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</si>
  <si>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</si>
  <si>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</si>
  <si>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</si>
  <si>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</si>
  <si>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</si>
  <si>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</si>
  <si>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</si>
  <si>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</si>
  <si>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</si>
  <si>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</si>
  <si>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</si>
  <si>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</si>
  <si>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</si>
  <si>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</si>
  <si>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</si>
  <si>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</si>
  <si>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</si>
  <si>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</si>
  <si>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</si>
  <si>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</si>
  <si>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</si>
  <si>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</si>
  <si>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</si>
  <si>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</si>
  <si>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</si>
  <si>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</si>
  <si>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</si>
  <si>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</si>
  <si>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</si>
  <si>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</si>
  <si>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</si>
  <si>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</si>
  <si>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</si>
  <si>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</si>
  <si>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</si>
  <si>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</si>
  <si>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</si>
  <si>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</si>
  <si>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</si>
  <si>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</si>
  <si>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</si>
  <si>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</si>
  <si>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</si>
  <si>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</si>
  <si>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</si>
  <si>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</si>
  <si>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</si>
  <si>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</si>
  <si>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</si>
  <si>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</si>
  <si>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</si>
  <si>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</si>
  <si>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</si>
  <si>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</si>
  <si>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</si>
  <si>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</si>
  <si>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</si>
  <si>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</si>
  <si>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</si>
  <si>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</si>
  <si>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</si>
  <si>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</si>
  <si>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</si>
  <si>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</si>
  <si>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</si>
  <si>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</si>
  <si>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</si>
  <si>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</si>
  <si>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</si>
  <si>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</si>
  <si>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</si>
  <si>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</si>
  <si>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</si>
  <si>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</si>
  <si>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</si>
  <si>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</si>
  <si>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</si>
  <si>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</si>
  <si>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</si>
  <si>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</si>
  <si>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</si>
  <si>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</si>
  <si>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</si>
  <si>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</si>
  <si>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</si>
  <si>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</si>
  <si>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</si>
  <si>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</si>
  <si>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</si>
  <si>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</si>
  <si>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</si>
  <si>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</si>
  <si>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</si>
  <si>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</si>
  <si>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</si>
  <si>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</si>
  <si>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</si>
  <si>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</si>
  <si>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</si>
  <si>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</si>
  <si>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</si>
  <si>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</si>
  <si>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</si>
  <si>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</si>
  <si>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</si>
  <si>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</si>
  <si>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</si>
  <si>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</si>
  <si>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</si>
  <si>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</si>
  <si>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</si>
  <si>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</si>
  <si>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</si>
  <si>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</si>
  <si>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</si>
  <si>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</si>
  <si>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</si>
  <si>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</si>
  <si>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</si>
  <si>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</si>
  <si>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</si>
  <si>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</si>
  <si>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</si>
  <si>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</si>
  <si>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</si>
  <si>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</si>
  <si>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</si>
  <si>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</si>
  <si>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</si>
  <si>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</si>
  <si>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</si>
  <si>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</si>
  <si>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</si>
  <si>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</si>
  <si>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</si>
  <si>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</si>
  <si>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</si>
  <si>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</si>
  <si>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</si>
  <si>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</si>
  <si>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</si>
  <si>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</si>
  <si>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</si>
  <si>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</si>
  <si>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</si>
  <si>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</si>
  <si>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</si>
  <si>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</si>
  <si>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</si>
  <si>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</si>
  <si>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</si>
  <si>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</si>
  <si>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</si>
  <si>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</si>
  <si>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</si>
  <si>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</si>
  <si>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</si>
  <si>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</si>
  <si>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</si>
  <si>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</si>
  <si>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</si>
  <si>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</si>
  <si>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</si>
  <si>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</si>
  <si>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</si>
  <si>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</si>
  <si>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</si>
  <si>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</si>
  <si>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</si>
  <si>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</si>
  <si>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</si>
  <si>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</si>
  <si>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</si>
  <si>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</si>
  <si>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</si>
  <si>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</si>
  <si>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</si>
  <si>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</si>
  <si>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</si>
  <si>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</si>
  <si>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</si>
  <si>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</si>
  <si>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</si>
  <si>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</si>
  <si>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</si>
  <si>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</si>
  <si>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</si>
  <si>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</si>
  <si>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</si>
  <si>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</si>
  <si>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</si>
  <si>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</si>
  <si>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</si>
  <si>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</si>
  <si>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</si>
  <si>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</si>
  <si>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</si>
  <si>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</si>
  <si>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</si>
  <si>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</si>
  <si>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</si>
  <si>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</si>
  <si>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</si>
  <si>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</si>
  <si>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</si>
  <si>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</si>
  <si>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</si>
  <si>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</si>
  <si>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</si>
  <si>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</si>
  <si>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</si>
  <si>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</si>
  <si>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</si>
  <si>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</si>
  <si>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</si>
  <si>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</si>
  <si>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</si>
  <si>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</si>
  <si>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</si>
  <si>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</si>
  <si>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</si>
  <si>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</si>
  <si>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</si>
  <si>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</si>
  <si>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</si>
  <si>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</si>
  <si>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</si>
  <si>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</si>
  <si>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</si>
  <si>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</si>
  <si>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</si>
  <si>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</si>
  <si>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</si>
  <si>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</si>
  <si>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</si>
  <si>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</si>
  <si>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</si>
  <si>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</si>
  <si>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</si>
  <si>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</si>
  <si>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</si>
  <si>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</si>
  <si>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</si>
  <si>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</si>
  <si>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</si>
  <si>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</si>
  <si>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</si>
  <si>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</si>
  <si>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</si>
  <si>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</si>
  <si>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</si>
  <si>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</si>
  <si>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</si>
  <si>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</si>
  <si>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</si>
  <si>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</si>
  <si>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</si>
  <si>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</si>
  <si>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</si>
  <si>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</si>
  <si>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</si>
  <si>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</si>
  <si>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</si>
  <si>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</si>
  <si>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</si>
  <si>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</si>
  <si>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</si>
  <si>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</si>
  <si>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</si>
  <si>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</si>
  <si>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</si>
  <si>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</si>
  <si>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</si>
  <si>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</si>
  <si>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</si>
  <si>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</si>
  <si>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</si>
  <si>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</si>
  <si>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</si>
  <si>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</si>
  <si>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</si>
  <si>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</si>
  <si>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</si>
  <si>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</si>
  <si>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</si>
  <si>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</si>
  <si>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</si>
  <si>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</si>
  <si>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</si>
  <si>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</si>
  <si>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</si>
  <si>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</si>
  <si>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</si>
  <si>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</si>
  <si>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</si>
  <si>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</si>
  <si>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</si>
  <si>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</si>
  <si>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</si>
  <si>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</si>
  <si>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</si>
  <si>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</si>
  <si>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</si>
  <si>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</si>
  <si>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</si>
  <si>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</si>
  <si>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</si>
  <si>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</si>
  <si>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</si>
  <si>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</si>
  <si>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</si>
  <si>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</si>
  <si>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</si>
  <si>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</si>
  <si>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</si>
  <si>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</si>
  <si>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</si>
  <si>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</si>
  <si>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</si>
  <si>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</si>
  <si>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</si>
  <si>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</si>
  <si>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</si>
  <si>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</si>
  <si>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</si>
  <si>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</si>
  <si>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</si>
  <si>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</si>
  <si>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</si>
  <si>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</si>
  <si>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</si>
  <si>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</si>
  <si>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</si>
  <si>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</si>
  <si>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</si>
  <si>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</si>
  <si>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</si>
  <si>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</si>
  <si>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</si>
  <si>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</si>
  <si>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</si>
  <si>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</si>
  <si>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</si>
  <si>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</si>
  <si>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</si>
  <si>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</si>
  <si>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</si>
  <si>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</si>
  <si>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</si>
  <si>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</si>
  <si>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</si>
  <si>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</si>
  <si>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</si>
  <si>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</si>
  <si>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</si>
  <si>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</si>
  <si>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</si>
  <si>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</si>
  <si>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</si>
  <si>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</si>
  <si>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</si>
  <si>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</si>
  <si>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</si>
  <si>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</si>
  <si>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</si>
  <si>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</si>
  <si>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</si>
  <si>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</si>
  <si>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</si>
  <si>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</si>
  <si>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</si>
  <si>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</si>
  <si>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</si>
  <si>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</si>
  <si>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</si>
  <si>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</si>
  <si>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</si>
  <si>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</si>
  <si>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</si>
  <si>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</si>
  <si>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</si>
  <si>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</si>
  <si>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</si>
  <si>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</si>
  <si>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</si>
  <si>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</si>
  <si>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</si>
  <si>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</si>
  <si>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</si>
  <si>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</si>
  <si>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</si>
  <si>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</si>
  <si>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</si>
  <si>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</si>
  <si>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</si>
  <si>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</si>
  <si>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</si>
  <si>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</si>
  <si>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</si>
  <si>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</si>
  <si>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</si>
  <si>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</si>
  <si>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</si>
  <si>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</si>
  <si>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</si>
  <si>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</si>
  <si>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</si>
  <si>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</si>
  <si>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</si>
  <si>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</si>
  <si>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</si>
  <si>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</si>
  <si>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</si>
  <si>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</si>
  <si>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</si>
  <si>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</si>
  <si>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</si>
  <si>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</si>
  <si>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</si>
  <si>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</si>
  <si>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</si>
  <si>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</si>
  <si>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</si>
  <si>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</si>
  <si>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</si>
  <si>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</si>
  <si>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</si>
  <si>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</si>
  <si>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</si>
  <si>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</si>
  <si>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</si>
  <si>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</si>
  <si>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</si>
  <si>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</si>
  <si>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</si>
  <si>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</si>
  <si>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</si>
  <si>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</si>
  <si>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</si>
  <si>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</si>
  <si>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</si>
  <si>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</si>
  <si>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</si>
  <si>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</si>
  <si>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</si>
  <si>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</si>
  <si>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</si>
  <si>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</si>
  <si>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</si>
  <si>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</si>
  <si>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</si>
  <si>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</si>
  <si>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</si>
  <si>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</si>
  <si>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</si>
  <si>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</si>
  <si>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</si>
  <si>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</si>
  <si>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</si>
  <si>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</si>
  <si>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</si>
  <si>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</si>
  <si>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</si>
  <si>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</si>
  <si>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</si>
  <si>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</si>
  <si>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</si>
  <si>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</si>
  <si>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</si>
  <si>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</si>
  <si>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</si>
  <si>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</si>
  <si>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</si>
  <si>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</si>
  <si>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</si>
  <si>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</si>
  <si>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</si>
  <si>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</si>
  <si>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</si>
  <si>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</si>
  <si>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</si>
  <si>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</si>
  <si>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</si>
  <si>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</si>
  <si>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</si>
  <si>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</si>
  <si>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</si>
  <si>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</si>
  <si>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</si>
  <si>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</si>
  <si>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</si>
  <si>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</si>
  <si>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</si>
  <si>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</si>
  <si>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</si>
  <si>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</si>
  <si>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</si>
  <si>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</si>
  <si>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</si>
  <si>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</si>
  <si>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</si>
  <si>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</si>
  <si>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</si>
  <si>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</si>
  <si>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</si>
  <si>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</si>
  <si>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</si>
  <si>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</si>
  <si>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</si>
  <si>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</si>
  <si>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</si>
  <si>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</si>
  <si>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</si>
  <si>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</si>
  <si>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</si>
  <si>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</si>
  <si>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</si>
  <si>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</si>
  <si>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</si>
  <si>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</si>
  <si>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</si>
  <si>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</si>
  <si>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</si>
  <si>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</si>
  <si>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</si>
  <si>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</si>
  <si>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</si>
  <si>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</si>
  <si>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</si>
  <si>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</si>
  <si>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</si>
  <si>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</si>
  <si>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</si>
  <si>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</si>
  <si>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</si>
  <si>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</si>
  <si>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</si>
  <si>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</si>
  <si>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</si>
  <si>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</si>
  <si>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</si>
  <si>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</si>
  <si>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</si>
  <si>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</si>
  <si>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</si>
  <si>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</si>
  <si>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</si>
  <si>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</si>
  <si>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</si>
  <si>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</si>
  <si>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</si>
  <si>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</si>
  <si>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</si>
  <si>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</si>
  <si>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</si>
  <si>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</si>
  <si>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</si>
  <si>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</si>
  <si>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</si>
  <si>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</si>
  <si>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</si>
  <si>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</si>
  <si>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</si>
  <si>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</si>
  <si>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</si>
  <si>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</si>
  <si>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</si>
  <si>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</si>
  <si>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</si>
  <si>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</si>
  <si>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</si>
  <si>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</si>
  <si>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</si>
  <si>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</si>
  <si>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</si>
  <si>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</si>
  <si>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</si>
  <si>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</si>
  <si>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</si>
  <si>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</si>
  <si>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</si>
  <si>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</si>
  <si>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</si>
  <si>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</si>
  <si>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</si>
  <si>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</si>
  <si>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</si>
  <si>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</si>
  <si>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</si>
  <si>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</si>
  <si>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</si>
  <si>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</si>
  <si>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</si>
  <si>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</si>
  <si>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</si>
  <si>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</si>
  <si>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</si>
  <si>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</si>
  <si>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</si>
  <si>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</si>
  <si>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</si>
  <si>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</si>
  <si>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</si>
  <si>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</si>
  <si>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</si>
  <si>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</si>
  <si>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</si>
  <si>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</si>
  <si>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</si>
  <si>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</si>
  <si>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</si>
  <si>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</si>
  <si>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</si>
  <si>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</si>
  <si>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</si>
  <si>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</si>
  <si>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</si>
  <si>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</si>
  <si>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</si>
  <si>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</si>
  <si>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</si>
  <si>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</si>
  <si>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</si>
  <si>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</si>
  <si>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</si>
  <si>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</si>
  <si>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</si>
  <si>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</si>
  <si>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</si>
  <si>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</si>
  <si>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</si>
  <si>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</si>
  <si>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</si>
  <si>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</si>
  <si>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</si>
  <si>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</si>
  <si>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</si>
  <si>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</si>
  <si>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</si>
  <si>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</si>
  <si>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</si>
  <si>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</si>
  <si>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</si>
  <si>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</si>
  <si>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</si>
  <si>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</si>
  <si>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</si>
  <si>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</si>
  <si>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</si>
  <si>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</si>
  <si>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</si>
  <si>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</si>
  <si>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</si>
  <si>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</si>
  <si>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</si>
  <si>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</si>
  <si>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</si>
  <si>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</si>
  <si>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</si>
  <si>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</si>
  <si>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</si>
  <si>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</si>
  <si>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</si>
  <si>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</si>
  <si>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</si>
  <si>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</si>
  <si>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</si>
  <si>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</si>
  <si>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</si>
  <si>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</si>
  <si>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</si>
  <si>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</si>
  <si>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</si>
  <si>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</si>
  <si>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</si>
  <si>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</si>
  <si>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</si>
  <si>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</si>
  <si>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</si>
  <si>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</si>
  <si>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</si>
  <si>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</si>
  <si>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</si>
  <si>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</si>
  <si>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</si>
  <si>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</si>
  <si>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</si>
  <si>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</si>
  <si>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</si>
  <si>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</si>
  <si>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</si>
  <si>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</si>
  <si>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</si>
  <si>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</si>
  <si>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</si>
  <si>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</si>
  <si>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</si>
  <si>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</si>
  <si>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</si>
  <si>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</si>
  <si>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</si>
  <si>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</si>
  <si>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</si>
  <si>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</si>
  <si>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</si>
  <si>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</si>
  <si>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</si>
  <si>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</si>
  <si>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</si>
  <si>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</si>
  <si>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</si>
  <si>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</si>
  <si>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</si>
  <si>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</si>
  <si>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</si>
  <si>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</si>
  <si>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</si>
  <si>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</si>
  <si>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</si>
  <si>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</si>
  <si>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</si>
  <si>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</si>
  <si>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</si>
  <si>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</si>
  <si>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</si>
  <si>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</si>
  <si>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</si>
  <si>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</si>
  <si>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</si>
  <si>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</si>
  <si>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</si>
  <si>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</si>
  <si>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</si>
  <si>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</si>
  <si>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</si>
  <si>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</si>
  <si>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</si>
  <si>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</si>
  <si>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</si>
  <si>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</si>
  <si>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</si>
  <si>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</si>
  <si>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</si>
  <si>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</si>
  <si>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</si>
  <si>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</si>
  <si>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</si>
  <si>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</si>
  <si>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</si>
  <si>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</si>
  <si>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</si>
  <si>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</si>
  <si>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</si>
  <si>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</si>
  <si>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</si>
  <si>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</si>
  <si>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</si>
  <si>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</si>
  <si>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</si>
  <si>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</si>
  <si>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</si>
  <si>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</si>
  <si>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</si>
  <si>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</si>
  <si>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</si>
  <si>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</si>
  <si>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</si>
  <si>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</si>
  <si>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</si>
  <si>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</si>
  <si>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</si>
  <si>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</si>
  <si>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</si>
  <si>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</si>
  <si>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</si>
  <si>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</si>
  <si>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</si>
  <si>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</si>
  <si>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</si>
  <si>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</si>
  <si>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</si>
  <si>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</si>
  <si>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</si>
  <si>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</si>
  <si>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</si>
  <si>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</si>
  <si>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</si>
  <si>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</si>
  <si>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</si>
  <si>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</si>
  <si>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</si>
  <si>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</si>
  <si>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</si>
  <si>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</si>
  <si>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</si>
  <si>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</si>
  <si>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</si>
  <si>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</si>
  <si>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</si>
  <si>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</si>
  <si>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</si>
  <si>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</si>
  <si>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</si>
  <si>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</si>
  <si>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</si>
  <si>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</si>
  <si>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</si>
  <si>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</si>
  <si>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</si>
  <si>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</si>
  <si>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</si>
  <si>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</si>
  <si>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</si>
  <si>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</si>
  <si>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</si>
  <si>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</si>
  <si>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</si>
  <si>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</si>
  <si>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</si>
  <si>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</si>
  <si>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</si>
  <si>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</si>
  <si>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</si>
  <si>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</si>
  <si>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</si>
  <si>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</si>
  <si>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</si>
  <si>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</si>
  <si>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</si>
  <si>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</si>
  <si>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</si>
  <si>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</si>
  <si>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</si>
  <si>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</si>
  <si>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</si>
  <si>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</si>
  <si>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</si>
  <si>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</si>
  <si>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</si>
  <si>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</si>
  <si>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</si>
  <si>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</si>
  <si>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</si>
  <si>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</si>
  <si>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</si>
  <si>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</si>
  <si>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</si>
  <si>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</si>
  <si>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</si>
  <si>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</si>
  <si>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</si>
  <si>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</si>
  <si>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</si>
  <si>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</si>
  <si>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</si>
  <si>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</si>
  <si>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</si>
  <si>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</si>
  <si>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</si>
  <si>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</si>
  <si>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</si>
  <si>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</si>
  <si>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</si>
  <si>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</si>
  <si>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</si>
  <si>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</si>
  <si>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</si>
  <si>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</si>
  <si>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</si>
  <si>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</si>
  <si>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</si>
  <si>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</si>
  <si>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</si>
  <si>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</si>
  <si>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</si>
  <si>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</si>
  <si>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</si>
  <si>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</si>
  <si>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</si>
  <si>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</si>
  <si>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</si>
  <si>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</si>
  <si>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</si>
  <si>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</si>
  <si>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</si>
  <si>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</si>
  <si>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</si>
  <si>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</si>
  <si>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</si>
  <si>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</si>
  <si>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</si>
  <si>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</si>
  <si>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</si>
  <si>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</si>
  <si>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</si>
  <si>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</si>
  <si>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</si>
  <si>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</si>
  <si>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</si>
  <si>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</si>
  <si>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</si>
  <si>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</si>
  <si>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</si>
  <si>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</si>
  <si>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</si>
  <si>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</si>
  <si>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</si>
  <si>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</si>
  <si>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</si>
  <si>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</si>
  <si>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</si>
  <si>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</si>
  <si>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</si>
  <si>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</si>
  <si>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</si>
  <si>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</si>
  <si>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</si>
  <si>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</si>
  <si>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</si>
  <si>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</si>
  <si>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</si>
  <si>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</si>
  <si>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</si>
  <si>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</si>
  <si>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</si>
  <si>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</si>
  <si>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</si>
  <si>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</si>
  <si>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</si>
  <si>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</si>
  <si>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</si>
  <si>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</si>
  <si>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</si>
  <si>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</si>
  <si>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</si>
  <si>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</si>
  <si>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</si>
  <si>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</si>
  <si>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</si>
  <si>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</si>
  <si>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</si>
  <si>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</si>
  <si>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</si>
  <si>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</si>
  <si>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</si>
  <si>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</si>
  <si>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</si>
  <si>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</si>
  <si>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</si>
  <si>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</si>
  <si>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</si>
  <si>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</si>
  <si>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</si>
  <si>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</si>
  <si>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</si>
  <si>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</si>
  <si>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</si>
  <si>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</si>
  <si>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</si>
  <si>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</si>
  <si>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</si>
  <si>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</si>
  <si>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</si>
  <si>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</si>
  <si>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</si>
  <si>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</si>
  <si>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</si>
  <si>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</si>
  <si>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</si>
  <si>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</si>
  <si>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</si>
  <si>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</si>
  <si>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</si>
  <si>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</si>
  <si>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</si>
  <si>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</si>
  <si>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</si>
  <si>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</si>
  <si>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www.smartenergy.com/</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</si>
  <si>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</si>
  <si>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</si>
  <si>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</si>
  <si>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</si>
  <si>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</si>
  <si>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</si>
  <si>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</si>
  <si>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</si>
  <si>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</si>
  <si>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</si>
  <si>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</si>
  <si>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</si>
  <si>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</si>
  <si>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</si>
  <si>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</si>
  <si>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</si>
  <si>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</si>
  <si>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</si>
  <si>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</si>
  <si>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</si>
  <si>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</si>
  <si>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</si>
  <si>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</si>
  <si>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</si>
  <si>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</si>
  <si>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</si>
  <si>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</si>
  <si>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</si>
  <si>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</si>
  <si>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</si>
  <si>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</si>
  <si>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</si>
  <si>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</si>
  <si>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</si>
  <si>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</si>
  <si>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</si>
  <si>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</si>
  <si>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</si>
  <si>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</si>
  <si>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</si>
  <si>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</si>
  <si>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</si>
  <si>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</si>
  <si>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</si>
  <si>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</si>
  <si>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</si>
  <si>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</si>
  <si>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</si>
  <si>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</si>
  <si>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</si>
  <si>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</si>
  <si>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</si>
  <si>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</si>
  <si>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</si>
  <si>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</si>
  <si>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</si>
  <si>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</si>
  <si>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</si>
  <si>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</si>
  <si>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</si>
  <si>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</si>
  <si>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</si>
  <si>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</si>
  <si>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</si>
  <si>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</si>
  <si>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</si>
  <si>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</si>
  <si>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</si>
  <si>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</si>
  <si>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</si>
  <si>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</si>
  <si>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</si>
  <si>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</si>
  <si>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</si>
  <si>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</si>
  <si>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</si>
  <si>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</si>
  <si>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</si>
  <si>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</si>
  <si>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</si>
  <si>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</si>
  <si>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</si>
  <si>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</si>
  <si>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</si>
  <si>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</si>
  <si>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</si>
  <si>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</si>
  <si>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</si>
  <si>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</si>
  <si>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</si>
  <si>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Smart Secure 10</t>
  </si>
  <si>
    <t>https://enroll.aetexasco.com/EmailHTML/efl.aspx?RateID=8468&amp;BrandID=1&amp;PromoCodeID=114</t>
  </si>
  <si>
    <t>https://enroll.aetexasco.com/EmailHTML/efl.aspx?RateID=8471&amp;BrandID=1&amp;PromoCodeID=114</t>
  </si>
  <si>
    <t>Luminous 10</t>
  </si>
  <si>
    <t>https://enroll.atlantexpower.com/EmailHTML/efl.aspx?RateID=8390&amp;BrandID=3&amp;PromoCodeID=14</t>
  </si>
  <si>
    <t>https://enroll.atlantexpower.com/EmailHTML/efl.aspx?RateID=8393&amp;BrandID=3&amp;PromoCodeID=14</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</si>
  <si>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</si>
  <si>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</si>
  <si>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</si>
  <si>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</si>
  <si>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</si>
  <si>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</si>
  <si>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</si>
  <si>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</si>
  <si>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</si>
  <si>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</si>
  <si>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</si>
  <si>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</si>
  <si>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</si>
  <si>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</si>
  <si>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</si>
  <si>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</si>
  <si>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</si>
  <si>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</si>
  <si>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</si>
  <si>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</si>
  <si>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</si>
  <si>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</si>
  <si>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</si>
  <si>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</si>
  <si>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</si>
  <si>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</si>
  <si>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</si>
  <si>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</si>
  <si>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</si>
  <si>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</si>
  <si>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</si>
  <si>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</si>
  <si>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</si>
  <si>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</si>
  <si>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</si>
  <si>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</si>
  <si>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</si>
  <si>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</si>
  <si>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</si>
  <si>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</si>
  <si>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</si>
  <si>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</si>
  <si>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</si>
  <si>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</si>
  <si>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</si>
  <si>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</si>
  <si>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</si>
  <si>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</si>
  <si>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</si>
  <si>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</si>
  <si>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</si>
  <si>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</si>
  <si>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</si>
  <si>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</si>
  <si>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Lock in a fixed rate plan that gives you price security for the next 11 months. Flexible. Affordable. Energy. That's APG&amp;E!</t>
  </si>
  <si>
    <t>Pronto Flex 30</t>
  </si>
  <si>
    <t>https://pronto-gridlink.smartgridcis.net/Documents/Download.aspx?ProductDocumentID=840</t>
  </si>
  <si>
    <t>https://pronto-enroll.smartgridcis.net/?aid=ProntoFlex30</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</si>
  <si>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</si>
  <si>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</si>
  <si>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</si>
  <si>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</si>
  <si>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</si>
  <si>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</si>
  <si>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</si>
  <si>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</si>
  <si>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</si>
  <si>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</si>
  <si>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</si>
  <si>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</si>
  <si>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</si>
  <si>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</si>
  <si>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</si>
  <si>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</si>
  <si>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</si>
  <si>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</si>
  <si>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</si>
  <si>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</si>
  <si>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</si>
  <si>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</si>
  <si>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</si>
  <si>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</si>
  <si>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</si>
  <si>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</si>
  <si>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SoFed Better Rate - 10</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</si>
  <si>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</si>
  <si>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</si>
  <si>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</si>
  <si>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</si>
  <si>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</si>
  <si>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</si>
  <si>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</si>
  <si>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</si>
  <si>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</si>
  <si>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</si>
  <si>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</si>
  <si>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</si>
  <si>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</si>
  <si>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</si>
  <si>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</si>
  <si>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</si>
  <si>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</si>
  <si>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</si>
  <si>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</si>
  <si>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</si>
  <si>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</si>
  <si>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</si>
  <si>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</si>
  <si>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https://www.sparkenergy.com/products-and-services/?getproductpdf=1&amp;PromotionCode=PTC&amp;ProductID=147300&amp;type=TOS&amp;title=Terms+of+Service</t>
  </si>
  <si>
    <t>https://neccoopenergy.com/wp-content/uploads/2026/07/EFL-8-1-26-RESIDENTIAL-Centerpoint.pdf</t>
  </si>
  <si>
    <t>https://neccoopenergy.com/wp-content/uploads/2026/07/EFL-8-1-26-RESIDENTIAL-Oncor.pdf</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</si>
  <si>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</si>
  <si>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</si>
  <si>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</si>
  <si>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</si>
  <si>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</si>
  <si>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https://bit.ly/3RegDvA</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</si>
  <si>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</si>
  <si>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</si>
  <si>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</si>
  <si>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</si>
  <si>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https://www.sparkenergy.com/products-and-services/?getproductpdf=1&amp;PromotionCode=PTC&amp;ProductID=147300&amp;type=YRAC&amp;title=Your+Rights+as+a+Customer&amp;language=english</t>
  </si>
  <si>
    <t>https://www.sparkenergy.com/products-and-services/?getproductpdf=1&amp;PromotionCode=PTC&amp;ProductID=147300&amp;type=EFL_TieredPricing&amp;title=Electricity%20Facts%20Label&amp;language=english</t>
  </si>
  <si>
    <t>https://signup.texanschoicepower.com/</t>
  </si>
  <si>
    <t>True Value 10</t>
  </si>
  <si>
    <t>JHX</t>
  </si>
  <si>
    <t>https://www.cirroenergy.com/files/09017518836818ee.pdf</t>
  </si>
  <si>
    <t>R5F36A</t>
  </si>
  <si>
    <t>https://www.discountpowertx.com/files/0901751883681d09.pdf</t>
  </si>
  <si>
    <t>R5F16A</t>
  </si>
  <si>
    <t>https://signup.chariotenergy.com//Home/TOS?productId=46851</t>
  </si>
  <si>
    <t>https://signup.chariotenergy.com//Home/YRAC?productId=46851</t>
  </si>
  <si>
    <t>https://signup.chariotenergy.com//Home/EFl?productId=46851</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</si>
  <si>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</si>
  <si>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</si>
  <si>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</si>
  <si>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</si>
  <si>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</si>
  <si>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</si>
  <si>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</si>
  <si>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</si>
  <si>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</si>
  <si>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</si>
  <si>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</si>
  <si>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</si>
  <si>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</si>
  <si>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https://m-api.directenergy.com/de-mobile-oam-services/defl/D1F00183448968C.pdf</t>
  </si>
  <si>
    <t>https://shop.directenergy.com/tx/product-chart-tabs?tdspCode=D0002&amp;promo_code=WHPGCD&amp;sid=APTC_1726591058&amp;utm_campaign=PTC&amp;utm_medium=PTC_&amp;utm_source=PowerToChoose</t>
  </si>
  <si>
    <t>https://m-api.directenergy.com/de-mobile-oam-services/defl/D1F00183449012C.pdf</t>
  </si>
  <si>
    <t>https://m-api.directenergy.com/de-mobile-oam-services/defl/D1F00183448954C.pdf</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</si>
  <si>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</si>
  <si>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</si>
  <si>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</si>
  <si>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</si>
  <si>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</si>
  <si>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</si>
  <si>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</si>
  <si>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</si>
  <si>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</si>
  <si>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</si>
  <si>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</si>
  <si>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</si>
  <si>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</si>
  <si>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</si>
  <si>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</si>
  <si>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</si>
  <si>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</si>
  <si>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</si>
  <si>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</si>
  <si>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</si>
  <si>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</si>
  <si>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</si>
  <si>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</si>
  <si>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</si>
  <si>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</si>
  <si>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</si>
  <si>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</si>
  <si>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https://residential.txu.com/Handlers/PDFGenerator.ashx?comProdId=ONXSMSL1KC12AB&amp;lang=en&amp;formType=EnergyFactsLabel&amp;custClass=3&amp;tdsp=ONCOR</t>
  </si>
  <si>
    <t>https://bit.ly/4hNNYs3</t>
  </si>
  <si>
    <t>Smart &amp; Fixed - 16</t>
  </si>
  <si>
    <t>https://bit.ly/4hIfaZe</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</si>
  <si>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</si>
  <si>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</si>
  <si>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</si>
  <si>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</si>
  <si>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</si>
  <si>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https://signup.chariotenergy.com//Home/TOS?productId=46942</t>
  </si>
  <si>
    <t>https://signup.chariotenergy.com//Home/TOS?productId=46941</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</si>
  <si>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</si>
  <si>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</si>
  <si>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</si>
  <si>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</si>
  <si>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</si>
  <si>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</si>
  <si>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</si>
  <si>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</si>
  <si>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</si>
  <si>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https://signup.chariotenergy.com//Home/YRAC?productId=46942</t>
  </si>
  <si>
    <t>https://signup.chariotenergy.com//Home/EFl?productId=46942</t>
  </si>
  <si>
    <t>https://signup.chariotenergy.com//Home/YRAC?productId=46941</t>
  </si>
  <si>
    <t>https://signup.chariotenergy.com//Home/EFl?productId=46941</t>
  </si>
  <si>
    <t>Bright Nights 10</t>
  </si>
  <si>
    <t>https://signup.chariotenergy.com//Home/index?ProductCode=RNR10000049&amp;Promo=GqAtunAVIGY=</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</si>
  <si>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</si>
  <si>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</si>
  <si>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</si>
  <si>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</si>
  <si>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</si>
  <si>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https://enroll.cleanskyenergy.com//Home/EFL?productCode=RN00005282&amp;promo=PTCHOOSETX&amp;term=12</t>
  </si>
  <si>
    <t>https://enroll.cleanskyenergy.com/Home/index?ProductCode=RN00005282&amp;Promo=PTCHOOSETX&amp;Term=12</t>
  </si>
  <si>
    <t>https://enroll.cleanskyenergy.com//Home/YRAC?productId=49421</t>
  </si>
  <si>
    <t>https://enroll.cleanskyenergy.com//Home/EFL?productCode=RN00005283&amp;promo=PTCHOOSETX&amp;term=24</t>
  </si>
  <si>
    <t>https://enroll.cleanskyenergy.com/Home/index?ProductCode=RN00005283&amp;Promo=PTCHOOSETX&amp;Term=24</t>
  </si>
  <si>
    <t>https://enroll.cleanskyenergy.com//Home/YRAC?productId=49420</t>
  </si>
  <si>
    <t>https://enroll.cleanskyenergy.com//Home/EFL?productCode=RN00005285&amp;promo=PTCHOOSETX&amp;term=12</t>
  </si>
  <si>
    <t>https://enroll.cleanskyenergy.com/Home/index?ProductCode=RN00005285&amp;Promo=PTCHOOSETX&amp;Term=12</t>
  </si>
  <si>
    <t>https://enroll.cleanskyenergy.com//Home/YRAC?productId=49179</t>
  </si>
  <si>
    <t>https://enroll.cleanskyenergy.com//Home/EFL?productCode=RN00005286&amp;promo=PTCHOOSETX&amp;term=24</t>
  </si>
  <si>
    <t>https://enroll.cleanskyenergy.com/Home/index?ProductCode=RN00005286&amp;Promo=PTCHOOSETX&amp;Term=24</t>
  </si>
  <si>
    <t>https://enroll.cleanskyenergy.com//Home/YRAC?productId=49168</t>
  </si>
  <si>
    <t>https://enroll.cleanskyenergy.com//Home/EFL?productCode=RN00005275&amp;promo=PTCHOOSETX&amp;term=36</t>
  </si>
  <si>
    <t>https://enroll.cleanskyenergy.com/Home/index?ProductCode=RN00005275&amp;Promo=PTCHOOSETX&amp;Term=36</t>
  </si>
  <si>
    <t>https://enroll.cleanskyenergy.com//Home/YRAC?productId=49169</t>
  </si>
  <si>
    <t>https://enroll.cleanskyenergy.com//Home/EFL?productCode=RN00005276&amp;promo=PTCHOOSETX&amp;term=36</t>
  </si>
  <si>
    <t>https://enroll.cleanskyenergy.com/Home/index?ProductCode=RN00005276&amp;Promo=PTCHOOSETX&amp;Term=36</t>
  </si>
  <si>
    <t>https://octopusenergy.com/efl/OCTO-SIMPLE-12-ONCOR-LZ_NORTH-202608071400</t>
  </si>
  <si>
    <t>https://octopusenergy.com/efl/OCTOPUS-FLEX-ONCOR-LZ_NORTH-202608051000</t>
  </si>
  <si>
    <t>Octo Simple 10</t>
  </si>
  <si>
    <t>Unlock our 10-month fixed-rate plan with 100% renewable electricity. Enjoy price stability and a shorter commitment.</t>
  </si>
  <si>
    <t>Octo Green 10</t>
  </si>
  <si>
    <t>https://octopusenergy.com/efl/OCTO-SIMPLE-10-ONCOR-LZ_NORTH-202608071400</t>
  </si>
  <si>
    <t>Octo Simple 5</t>
  </si>
  <si>
    <t>Lock in a fixed electricity rate for 5 months. Enjoy predictable pricing with no hidden fees, no surprises, and the friendly, award-winning customer service Octopus Energy is known for.</t>
  </si>
  <si>
    <t>https://octopusenergy.com/efl/OCTO-SIMPLE-5-ONCOR-LZ_NORTH-202608071400</t>
  </si>
  <si>
    <t>https://octopusenergy.com/efl/OCTO-SIMPLE-24-ONCOR-LZ_NORTH-202608051000</t>
  </si>
  <si>
    <t>https://bit.ly/4q0bVOT</t>
  </si>
  <si>
    <t>https://bit.ly/4fOCvHz</t>
  </si>
  <si>
    <t>Rhythm Max Saver 24</t>
  </si>
  <si>
    <t>https://api.energytexas.com/api/pricing/offers/latest-offers-efl/25538/?locale=en</t>
  </si>
  <si>
    <t>https://api.energytexas.com/api/pricing/offers/latest-offers-efl/25537/?locale=en</t>
  </si>
  <si>
    <t>https://texas.smartenergy.com/docs/efls/output/20260806_F_CPT_SG9-1MNTHBC_M2001.pdf</t>
  </si>
  <si>
    <t>https://texas.smartenergy.com/docs/efls/output/20260806_F_CPT_SG12-1MNTHBC_M2001.pdf</t>
  </si>
  <si>
    <t>https://texas.smartenergy.com/docs/efls/output/20260806_F_CPT_SG24-1MNTHBC_M2001.pdf</t>
  </si>
  <si>
    <t>https://texas.smartenergy.com/docs/efls/output/20260806_F_ONC_SG9-1MNTHBC_M2001.pdf</t>
  </si>
  <si>
    <t>https://texas.smartenergy.com/docs/efls/output/20260806_F_ONC_SG12-1MNTHBC_M2001.pdf</t>
  </si>
  <si>
    <t>https://texas.smartenergy.com/docs/efls/output/20260806_F_ONC_SG24-1MNTHBC_M2001.pdf</t>
  </si>
  <si>
    <t>https://bit.ly/3RUcFbR</t>
  </si>
  <si>
    <t>Sure Saver 12</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</si>
  <si>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</si>
  <si>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</si>
  <si>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</si>
  <si>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</si>
  <si>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</si>
  <si>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https://assets.oak.phloem.io/docs/f0b21dda-acc6-4d4c-813e-778c2512f506/html</t>
  </si>
  <si>
    <t>Version 2.0</t>
  </si>
  <si>
    <t>https://assets.oak.phloem.io/docs/e28fe487-32e9-4336-b0ba-b6331db4701f/html</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</si>
  <si>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</si>
  <si>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</si>
  <si>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</si>
  <si>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</si>
  <si>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</si>
  <si>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</si>
  <si>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</si>
  <si>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</si>
  <si>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</si>
  <si>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</si>
  <si>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</si>
  <si>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</si>
  <si>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</si>
  <si>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</si>
  <si>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</si>
  <si>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</si>
  <si>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</si>
  <si>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https://signup.heritagepower.com/Home/EFl?productId=6413</t>
  </si>
  <si>
    <t>https://signup.heritagepower.com/Home/index?ProductCode=RN12000614&amp;Promo=PTC</t>
  </si>
  <si>
    <t>(888) 551-0373</t>
  </si>
  <si>
    <t>https://signup.heritagepower.com/Home/YRAC?productId=6415</t>
  </si>
  <si>
    <t>https://signup.heritagepower.com/Home/EFl?productId=6415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</si>
  <si>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</si>
  <si>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</si>
  <si>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</si>
  <si>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</si>
  <si>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</si>
  <si>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</si>
  <si>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</si>
  <si>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https://signup.heritagepower.com/Home/EFl?productId=6419</t>
  </si>
  <si>
    <t>https://signup.heritagepower.com/Home/index?ProductCode=RN05000006&amp;Promo=PTC</t>
  </si>
  <si>
    <t>No Contract Advantage</t>
  </si>
  <si>
    <t>Get the advantage of no contracts! Leave anytime! Zero fees!</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</si>
  <si>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</si>
  <si>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</si>
  <si>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</si>
  <si>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</si>
  <si>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</si>
  <si>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</si>
  <si>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</si>
  <si>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</si>
  <si>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</si>
  <si>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</si>
  <si>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</si>
  <si>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</si>
  <si>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</si>
  <si>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</si>
  <si>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</si>
  <si>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</si>
  <si>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</si>
  <si>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</si>
  <si>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</si>
  <si>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</si>
  <si>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</si>
  <si>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</si>
  <si>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Bright Start 3</t>
  </si>
  <si>
    <t>Autopay &amp; E-Billing Required.</t>
  </si>
  <si>
    <t>https://signup.heritagepower.com/Home/index?ProductCode=RN03000065&amp;Promo=PTC</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</si>
  <si>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</si>
  <si>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</si>
  <si>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</si>
  <si>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</si>
  <si>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</si>
  <si>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</si>
  <si>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</si>
  <si>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</si>
  <si>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</si>
  <si>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</si>
  <si>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</si>
  <si>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</si>
  <si>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http://varsityenergy.com/</t>
  </si>
  <si>
    <t>(877) 827-7389</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</si>
  <si>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</si>
  <si>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</si>
  <si>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</si>
  <si>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</si>
  <si>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</si>
  <si>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</si>
  <si>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</si>
  <si>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https://enroll.bkvenergy.com/Home/TOS?productId=42124</t>
  </si>
  <si>
    <t>https://enroll.bkvenergy.com/Home/TOS?productID=35916</t>
  </si>
  <si>
    <t>Daisy 3</t>
  </si>
  <si>
    <t>https://enroll.bkvenergy.com/Home/YRAC?productID=35916</t>
  </si>
  <si>
    <t>https://enroll.bkvenergy.com/Home/EFL?productCode=RN00002434&amp;term=3</t>
  </si>
  <si>
    <t>https://enroll.bkvenergy.com/Home/YRAC?productID=42124</t>
  </si>
  <si>
    <t>https://enroll.bkvenergy.com/Home/EFL?productCode=RN00002435&amp;term=3</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</si>
  <si>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</si>
  <si>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</si>
  <si>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</si>
  <si>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</si>
  <si>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</si>
  <si>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</si>
  <si>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</si>
  <si>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</si>
  <si>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</si>
  <si>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</si>
  <si>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</si>
  <si>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</si>
  <si>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</si>
  <si>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</si>
  <si>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</si>
  <si>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</si>
  <si>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</si>
  <si>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</si>
  <si>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No Gimmicks 18</t>
  </si>
  <si>
    <t>https://signup.budgetpowertx.com/Home/index?ProductCode=RN18000001&amp;Promo=PTC</t>
  </si>
  <si>
    <t>https://signup.budgetpowertx.com/Home/index?ProductCode=RN18000002&amp;Promo=PTC</t>
  </si>
  <si>
    <t>https://eflviewer.companionenergy.com/eflviewer.aspx?lang=EN&amp;prodcode=CEPERK12&amp;tdspcode=ONCOR_ELEC&amp;ppid=192603&amp;logid=83064&amp;filename=ONCOR_ELEC_CEPERK12_20260814_0000_83064</t>
  </si>
  <si>
    <t>Companion + Perks 9</t>
  </si>
  <si>
    <t>https://www.companionenergy.com/?refid=PTCPERKS09&amp;ul=1000&amp;tdsp=ONCOR_ELEC&amp;utm_source=power_to_choose&amp;utm_medium=referral&amp;utm_campaign=PTC-PTCPERKS09&amp;utm_content=ONCOR_ELEC&amp;utm_term=logo</t>
  </si>
  <si>
    <t>https://eflviewer.companionenergy.com/eflviewer.aspx?lang=EN&amp;prodcode=CEPERK9&amp;tdspcode=ONCOR_ELEC&amp;ppid=192577&amp;logid=83036&amp;filename=ONCOR_ELEC_CEPERK9_20260814_0000_83036</t>
  </si>
  <si>
    <t>https://newenroll.companionenergy.com/?refid=PTCPERKS09&amp;ul=1000&amp;tdsp=ONCOR_ELEC&amp;utm_source=power_to_choose&amp;utm_medium=referral&amp;utm_campaign=PTC-PTCPERKS09&amp;utm_content=ONCOR_ELEC&amp;utm_term=additional_info</t>
  </si>
  <si>
    <t>https://www.companionenergy.com/?refid=PTCPERKS09&amp;ul=1000&amp;tdsp=CNP&amp;utm_source=power_to_choose&amp;utm_medium=referral&amp;utm_campaign=PTC-PTCPERKS09&amp;utm_content=CNP&amp;utm_term=logo</t>
  </si>
  <si>
    <t>https://newenroll.companionenergy.com/?refid=PTCPERKS09&amp;ul=1000&amp;tdsp=CNP&amp;utm_source=power_to_choose&amp;utm_medium=referral&amp;utm_campaign=PTC-PTCPERKS09&amp;utm_content=CNP&amp;utm_term=additional_info</t>
  </si>
  <si>
    <t>https://eflviewer.frontierutilities.com/eflviewer.aspx?lang=EN&amp;prodcode=FPOWSVR12&amp;tdspcode=ONCOR_ELEC&amp;ppid=192601&amp;logid=83060&amp;filename=ONCOR_ELEC_FPOWSVR12_20260814_0000_83060</t>
  </si>
  <si>
    <t>Frontier Power Saver 9</t>
  </si>
  <si>
    <t>https://www.frontierutilities.com/Home/refid/PTCFPS09</t>
  </si>
  <si>
    <t>https://eflviewer.frontierutilities.com/eflviewer.aspx?lang=EN&amp;prodcode=FPOWSVR09&amp;tdspcode=ONCOR_ELEC&amp;ppid=192575&amp;logid=83045&amp;filename=ONCOR_ELEC_FPOWSVR09_20260814_0000_83045</t>
  </si>
  <si>
    <t>https://newenroll.frontierutilities.com/?refid=PTCFPS09&amp;ul=1000&amp;tdsp=ONCOR_ELEC</t>
  </si>
  <si>
    <t>https://newenroll.frontierutilities.com/?refid=PTCFPS09&amp;ul=1000&amp;tdsp=CNP</t>
  </si>
  <si>
    <t>https://eflviewer.gexaenergy.com/eflviewer.aspx?lang=EN&amp;prodcode=GXAECOCHI12&amp;tdspcode=ONCOR_ELEC&amp;ppid=192602&amp;logid=83062&amp;filename=ONCOR_ELEC_GXAECOCHI12_20260814_0000_83062</t>
  </si>
  <si>
    <t>Gexa Eco Choice 9</t>
  </si>
  <si>
    <t>https://eflviewer.gexaenergy.com/eflviewer.aspx?lang=EN&amp;prodcode=GXAECOCHI9&amp;tdspcode=ONCOR_ELEC&amp;ppid=192576&amp;logid=83051&amp;filename=ONCOR_ELEC_GXAECOCHI9_20260814_0000_83051</t>
  </si>
  <si>
    <t>https://newenroll.gexaenergy.com/?refid=PTC_EcoChoice09&amp;ul=1000&amp;tdsp=ONCOR_ELEC</t>
  </si>
  <si>
    <t>https://newenroll.gexaenergy.com/?refid=PTC_EcoChoice09&amp;ul=1000&amp;tdsp=CNP</t>
  </si>
  <si>
    <t>Ranchero Cheapskate - 3</t>
  </si>
  <si>
    <t>https://bit.ly/3TXP36P</t>
  </si>
  <si>
    <t>https://bit.ly/45XB5ED</t>
  </si>
  <si>
    <t>https://bit.ly/4fVNA9E</t>
  </si>
  <si>
    <t>https://bit.ly/3SxVOMf</t>
  </si>
  <si>
    <t>SoFed Try Us Out Now - 3</t>
  </si>
  <si>
    <t>https://bit.ly/4xFMF3a</t>
  </si>
  <si>
    <t>https://bit.ly/4wUwG15</t>
  </si>
  <si>
    <t>https://bit.ly/4wTtzGF</t>
  </si>
  <si>
    <t>https://bit.ly/4ziu8LV</t>
  </si>
  <si>
    <t>https://eflviewer.companionenergy.com/eflviewer.aspx?lang=EN&amp;prodcode=CEPERK12&amp;tdspcode=CNP&amp;ppid=192747&amp;logid=83124&amp;filename=CNP_CEPERK12_20260815_0000_83124</t>
  </si>
  <si>
    <t>https://eflviewer.companionenergy.com/eflviewer.aspx?lang=EN&amp;prodcode=CEPERK9&amp;tdspcode=CNP&amp;ppid=192777&amp;logid=83123&amp;filename=CNP_CEPERK9_20260815_0000_83123</t>
  </si>
  <si>
    <t>https://eflviewer.frontierutilities.com/eflviewer.aspx?lang=EN&amp;prodcode=FPOWSVR12&amp;tdspcode=CNP&amp;ppid=192684&amp;logid=83134&amp;filename=CNP_FPOWSVR12_20260815_0000_83134</t>
  </si>
  <si>
    <t>https://eflviewer.frontierutilities.com/eflviewer.aspx?lang=EN&amp;prodcode=FPOWSVR09&amp;tdspcode=CNP&amp;ppid=192688&amp;logid=83133&amp;filename=CNP_FPOWSVR09_20260815_0000_83133</t>
  </si>
  <si>
    <t>https://eflviewer.gexaenergy.com/eflviewer.aspx?lang=EN&amp;prodcode=GXAECOCHI12&amp;tdspcode=CNP&amp;ppid=192685&amp;logid=83180&amp;filename=CNP_GXAECOCHI12_20260815_0000_83180</t>
  </si>
  <si>
    <t>https://eflviewer.gexaenergy.com/eflviewer.aspx?lang=EN&amp;prodcode=GXAECOCHI9&amp;tdspcode=CNP&amp;ppid=192721&amp;logid=83179&amp;filename=CNP_GXAECOCHI9_20260815_0000_83179</t>
  </si>
  <si>
    <t>https://www.cirroenergy.com/lp/ptcZipCodeSearch?tdsp_code=D0001&amp;promo_code=WA198B&amp;txtPromocode=WA198B&amp;fromLP=ptc&amp;sid=APTC_1685677096&amp;utm_campaign=Power+To+Choose+Listings&amp;utm_medium=PTC_&amp;utm_source=None</t>
  </si>
  <si>
    <t>https://www.cirroenergy.com/defl/M1F00193223028B.pdf</t>
  </si>
  <si>
    <t>https://www.cirroenergy.com/defl/M1F00193223114B.pdf</t>
  </si>
  <si>
    <t>https://www.cirroenergy.com/defl/M1F00193223104B.pdf</t>
  </si>
  <si>
    <t>https://www.cirroenergy.com/defl/M1F00193223056C.pdf</t>
  </si>
  <si>
    <t>https://www.cirroenergy.com/defl/M1F00193223032C.pdf</t>
  </si>
  <si>
    <t>https://m-api.directenergy.com/de-mobile-oam-services/defl/D1F00183448956D.pdf</t>
  </si>
  <si>
    <t>https://shop.directenergy.com/tx/product-chart-tabs?tdspCode=D0001&amp;promo_code=WHPGCD&amp;sid=APTC_1726591058&amp;utm_campaign=PTC&amp;utm_medium=PTC_&amp;utm_source=PowerToChoose</t>
  </si>
  <si>
    <t>https://m-api.directenergy.com/de-mobile-oam-services/defl/D1F00183449004D.pdf</t>
  </si>
  <si>
    <t>https://m-api.directenergy.com/de-mobile-oam-services/defl/D1F00183448948D.pdf</t>
  </si>
  <si>
    <t>Electronic Billing and auto payment via bank draft, credit card, or debit card available. This offer is for new customers only. Enroll through Power to Choose or by using special promo code; Promo Code Required: WQ4131.</t>
  </si>
  <si>
    <t>https://www.discountpowertx.com/defl/M1F00193222936B.pdf</t>
  </si>
  <si>
    <t>https://shop.discountpowertx.com/offer-selection/?txtPromocode=WQ4131&amp;tdspCode=D0001&amp;fromLP=ptc&amp;sid=APTC_1686090020&amp;utm_campaign=Power+To+Choose+Listings&amp;utm_medium=PTC_&amp;utm_source=None</t>
  </si>
  <si>
    <t>https://www.discountpowertx.com/defl/M1F00193222970B.pdf</t>
  </si>
  <si>
    <t>https://www.discountpowertx.com/defl/M1F00193222974B.pdf</t>
  </si>
  <si>
    <t>https://www.discountpowertx.com/defl/M1F00193222858C.pdf</t>
  </si>
  <si>
    <t>https://www.discountpowertx.com/defl/M1F00193222834C.pdf</t>
  </si>
  <si>
    <t>https://signup.greenmountain.com/defl/G1F00183449060E.pdf</t>
  </si>
  <si>
    <t>https://shop.greenmountainenergy.com/texas/home-energy-solutions/products/?tdspCodeCCS=D0001&amp;fromLP=ptc&amp;txtPromocode=WA0TEZ&amp;sid=APTC_1726590650&amp;utm_campaign=PTC&amp;utm_medium=PTC_&amp;utm_source=PowerToChoose</t>
  </si>
  <si>
    <t>https://signup.greenmountain.com/defl/G1F00183202866D.pdf</t>
  </si>
  <si>
    <t>https://signup.greenmountain.com/defl/G1F00183449076E.pdf</t>
  </si>
  <si>
    <t>https://signup.greenmountain.com/defl/G1F00183449044E.pdf</t>
  </si>
  <si>
    <t>https://signup.greenmountain.com/defl/G1F00190243341D.pdf</t>
  </si>
  <si>
    <t>https://www.reliant.com/defl/R1F00183203422E.pdf</t>
  </si>
  <si>
    <t>https://shop.reliant.com/plans-for-you/?tdspCodeCCS=D0001&amp;fromLP=ptc&amp;txtPromocode=WF3713&amp;sid=APTC_1686089562&amp;utm_source=None&amp;utm_campaign=Power+To+Choose+Listings&amp;utm_medium=PTC_</t>
  </si>
  <si>
    <t>https://www.reliant.com/defl/R1F00183448852E.pdf</t>
  </si>
  <si>
    <t>https://www.reliant.com/defl/R1F00183448924E.pdf</t>
  </si>
  <si>
    <t>https://www.reliant.com/defl/R1F00183448872E.pdf</t>
  </si>
  <si>
    <t>https://www.reliant.com/defl/R1F00190183785D.pdf</t>
  </si>
  <si>
    <t>http://www.reliant.com/public/startOEProcess.htm?tdspCodeCCS=D0001&amp;fromLP=ptc&amp;txtPromocode=WF3713&amp;sid=A3P_1562314131</t>
  </si>
  <si>
    <t>https://empowerdocs.blob.core.windows.net/efldocuments/SFE_REWARDSPLUS_-_5_2516155429977397452_EFL_SFE%20Residential%20Fixed%20CNP%205English.pdf</t>
  </si>
  <si>
    <t>https://empowerdocs.blob.core.windows.net/efldocuments/SFE_REWARDSPLUS_-_10_2516155429789437211_EFL_SFE%20Residential%20Fixed%20CNP%2010English.pdf</t>
  </si>
  <si>
    <t>https://empowerdocs.blob.core.windows.net/efldocuments/SFE_REWARDSPLUS_-_12_2516153446128806340_EFL_SFE%20Residential%20Fixed%20CNP%2012English.pdf</t>
  </si>
  <si>
    <t>https://empowerdocs.blob.core.windows.net/efldocuments/SFE_REWARDSPLUS_-_23_2516155430494896332_EFL_SFE%20Residential%20Fixed%20CNP%2023English.pdf</t>
  </si>
  <si>
    <t>https://gb008a8dbfa8724-worx4uv1.adb.us-ashburn-1.oraclecloudapps.com/ords/worx4u/admin/efls/591D29E5EDD63B4EE063E0F8000A037F/view</t>
  </si>
  <si>
    <t>https://signup.chariotenergy.com//Home/TOS?productId=47233</t>
  </si>
  <si>
    <t>https://signup.heritagepower.com/Home/TOS?productId=6442</t>
  </si>
  <si>
    <t>https://signup.chariotenergy.com//Home/TOS?productId=46235</t>
  </si>
  <si>
    <t>https://signup.chariotenergy.com//Home/YRAC?productId=46235</t>
  </si>
  <si>
    <t>https://signup.chariotenergy.com//Home/EFl?productId=46235</t>
  </si>
  <si>
    <t>https://signup.chariotenergy.com//Home/YRAC?productId=47233</t>
  </si>
  <si>
    <t>https://signup.chariotenergy.com//Home/EFl?productId=47233</t>
  </si>
  <si>
    <t>https://signup.heritagepower.com/Home/YRAC?productId=6442</t>
  </si>
  <si>
    <t>https://signup.heritagepower.com/Home/EFl?productId=6442</t>
  </si>
  <si>
    <t>https://88fd201f32c53c2bd0fb-11ba98ed637230a2314ec7c228a44bda.ssl.cf5.rackcdn.com/202608/EFL-20260817-162400-CENTERPT-Essential Infusion Flex (English).pdf</t>
  </si>
  <si>
    <t>https://www.infuseenergy.com/signup/signup-step1/?id=1674966&amp;promotion=NONE&amp;valid=N&amp;referral=&amp;landingpage=ptc</t>
  </si>
  <si>
    <t>https://88fd201f32c53c2bd0fb-11ba98ed637230a2314ec7c228a44bda.ssl.cf5.rackcdn.com/202608/EFL-20260817-162400-ONCORD-Essential Infusion Flex (English).pdf</t>
  </si>
  <si>
    <t>https://www.infuseenergy.com/signup/signup-step1/?id=1674967&amp;promotion=NONE&amp;valid=N&amp;referral=&amp;landingpage=ptc</t>
  </si>
  <si>
    <t>https://88fd201f32c53c2bd0fb-11ba98ed637230a2314ec7c228a44bda.ssl.cf5.rackcdn.com/202608/EFL-20260817-162400-CENTERPT-Essential Infusion Green Flex (English).pdf</t>
  </si>
  <si>
    <t>https://www.infuseenergy.com/signup/signup-step1/?id=1674951&amp;promotion=NONE&amp;valid=N&amp;referral=&amp;landingpage=ptc</t>
  </si>
  <si>
    <t>https://88fd201f32c53c2bd0fb-11ba98ed637230a2314ec7c228a44bda.ssl.cf5.rackcdn.com/202608/EFL-20260817-162400-ONCORD-Essential Infusion Green Flex (English).pdf</t>
  </si>
  <si>
    <t>https://www.infuseenergy.com/signup/signup-step1/?id=1674952&amp;promotion=NONE&amp;valid=N&amp;referral=&amp;landingpage=ptc</t>
  </si>
  <si>
    <t>https://88fd201f32c53c2bd0fb-11ba98ed637230a2314ec7c228a44bda.ssl.cf5.rackcdn.com/202608/EFL-20260817-162400-CENTERPT-PTC Green Infusion Flex (English).pdf</t>
  </si>
  <si>
    <t>https://www.infuseenergy.com/signup/signup-step1/?id=1674996&amp;promotion=NONE&amp;valid=N&amp;referral=&amp;landingpage=ptc</t>
  </si>
  <si>
    <t>https://88fd201f32c53c2bd0fb-11ba98ed637230a2314ec7c228a44bda.ssl.cf5.rackcdn.com/202608/EFL-20260817-162400-ONCORD-PTC Green Infusion Flex (English).pdf</t>
  </si>
  <si>
    <t>https://www.infuseenergy.com/signup/signup-step1/?id=1674997&amp;promotion=NONE&amp;valid=N&amp;referral=&amp;landingpage=ptc</t>
  </si>
  <si>
    <t>https://88fd201f32c53c2bd0fb-11ba98ed637230a2314ec7c228a44bda.ssl.cf5.rackcdn.com/202608/EFL-20260817-162400-CENTERPT-PTC Infusion Flex (English).pdf</t>
  </si>
  <si>
    <t>https://www.infuseenergy.com/signup/signup-step1/?id=1675001&amp;promotion=NONE&amp;valid=N&amp;referral=&amp;landingpage=ptc</t>
  </si>
  <si>
    <t>https://88fd201f32c53c2bd0fb-11ba98ed637230a2314ec7c228a44bda.ssl.cf5.rackcdn.com/202608/EFL-20260817-162400-ONCORD-PTC Infusion Flex (English).pdf</t>
  </si>
  <si>
    <t>https://www.infuseenergy.com/signup/signup-step1/?id=1675002&amp;promotion=NONE&amp;valid=N&amp;referral=&amp;landingpage=ptc</t>
  </si>
  <si>
    <t>https://88fd201f32c53c2bd0fb-11ba98ed637230a2314ec7c228a44bda.ssl.cf5.rackcdn.com/202608/EFL-20260817-162400-CENTERPT-Essential Infusion 3 (English).pdf</t>
  </si>
  <si>
    <t>https://www.infuseenergy.com/signup/signup-step1/?id=1674981&amp;promotion=NONE&amp;valid=N&amp;referral=&amp;landingpage=ptc</t>
  </si>
  <si>
    <t>https://88fd201f32c53c2bd0fb-11ba98ed637230a2314ec7c228a44bda.ssl.cf5.rackcdn.com/202608/EFL-20260817-162400-ONCORD-Essential Infusion 3 (English).pdf</t>
  </si>
  <si>
    <t>https://www.infuseenergy.com/signup/signup-step1/?id=1674982&amp;promotion=NONE&amp;valid=N&amp;referral=&amp;landingpage=ptc</t>
  </si>
  <si>
    <t>https://88fd201f32c53c2bd0fb-11ba98ed637230a2314ec7c228a44bda.ssl.cf5.rackcdn.com/202608/EFL-20260817-162400-CENTERPT-Essential Infusion 6 (English).pdf</t>
  </si>
  <si>
    <t>https://www.infuseenergy.com/signup/signup-step1/?id=1674986&amp;promotion=NONE&amp;valid=N&amp;referral=&amp;landingpage=ptc</t>
  </si>
  <si>
    <t>https://88fd201f32c53c2bd0fb-11ba98ed637230a2314ec7c228a44bda.ssl.cf5.rackcdn.com/202608/EFL-20260817-162400-ONCORD-Essential Infusion 6 (English).pdf</t>
  </si>
  <si>
    <t>https://www.infuseenergy.com/signup/signup-step1/?id=1674987&amp;promotion=NONE&amp;valid=N&amp;referral=&amp;landingpage=ptc</t>
  </si>
  <si>
    <t>https://88fd201f32c53c2bd0fb-11ba98ed637230a2314ec7c228a44bda.ssl.cf5.rackcdn.com/202608/EFL-20260817-162400-CENTERPT-Essential Infusion 12 (English).pdf</t>
  </si>
  <si>
    <t>https://www.infuseenergy.com/signup/signup-step1/?id=1674956&amp;promotion=NONE&amp;valid=N&amp;referral=&amp;landingpage=ptc</t>
  </si>
  <si>
    <t>https://88fd201f32c53c2bd0fb-11ba98ed637230a2314ec7c228a44bda.ssl.cf5.rackcdn.com/202608/EFL-20260817-162400-ONCORD-Essential Infusion 12 (English).pdf</t>
  </si>
  <si>
    <t>https://www.infuseenergy.com/signup/signup-step1/?id=1674957&amp;promotion=NONE&amp;valid=N&amp;referral=&amp;landingpage=ptc</t>
  </si>
  <si>
    <t>https://88fd201f32c53c2bd0fb-11ba98ed637230a2314ec7c228a44bda.ssl.cf5.rackcdn.com/202608/EFL-20260817-162400-CENTERPT-Essential Infusion 24 (English).pdf</t>
  </si>
  <si>
    <t>https://www.infuseenergy.com/signup/signup-step1/?id=1674971&amp;promotion=NONE&amp;valid=N&amp;referral=&amp;landingpage=ptc</t>
  </si>
  <si>
    <t>https://88fd201f32c53c2bd0fb-11ba98ed637230a2314ec7c228a44bda.ssl.cf5.rackcdn.com/202608/EFL-20260817-162400-ONCORD-Essential Infusion 24 (English).pdf</t>
  </si>
  <si>
    <t>https://www.infuseenergy.com/signup/signup-step1/?id=1674972&amp;promotion=NONE&amp;valid=N&amp;referral=&amp;landingpage=ptc</t>
  </si>
  <si>
    <t>https://88fd201f32c53c2bd0fb-11ba98ed637230a2314ec7c228a44bda.ssl.cf5.rackcdn.com/202608/EFL-20260817-162400-CENTERPT-Essential Infusion 36 (English).pdf</t>
  </si>
  <si>
    <t>https://www.infuseenergy.com/signup/signup-step1/?id=1674976&amp;promotion=NONE&amp;valid=N&amp;referral=&amp;landingpage=ptc</t>
  </si>
  <si>
    <t>https://88fd201f32c53c2bd0fb-11ba98ed637230a2314ec7c228a44bda.ssl.cf5.rackcdn.com/202608/EFL-20260817-162400-ONCORD-Essential Infusion 36 (English).pdf</t>
  </si>
  <si>
    <t>https://www.infuseenergy.com/signup/signup-step1/?id=1674977&amp;promotion=NONE&amp;valid=N&amp;referral=&amp;landingpage=ptc</t>
  </si>
  <si>
    <t>https://e966f83b313c3b45ede3-64a631b37f7b69cdf842d11bca52af9c.ssl.cf5.rackcdn.com//202608/EFL-20260817-164200-CENTERPT-Stars and Stripes Flex (English).pdf</t>
  </si>
  <si>
    <t>https://www.joinarevolution.com/signup/signup-step1/?id=375768&amp;promotion=NONE&amp;valid=N&amp;referral=&amp;landingpage=ptc</t>
  </si>
  <si>
    <t>https://e966f83b313c3b45ede3-64a631b37f7b69cdf842d11bca52af9c.ssl.cf5.rackcdn.com//202608/EFL-20260817-164200-ONCORD-Stars and Stripes Flex (English).pdf</t>
  </si>
  <si>
    <t>https://www.joinarevolution.com/signup/signup-step1/?id=375769&amp;promotion=NONE&amp;valid=N&amp;referral=&amp;landingpage=ptc</t>
  </si>
  <si>
    <t>https://e966f83b313c3b45ede3-64a631b37f7b69cdf842d11bca52af9c.ssl.cf5.rackcdn.com//202608/EFL-20260817-164200-CENTERPT-Stars and Stripes Green Flex (English).pdf</t>
  </si>
  <si>
    <t>https://www.joinarevolution.com/signup/signup-step1/?id=375753&amp;promotion=NONE&amp;valid=N&amp;referral=&amp;landingpage=ptc</t>
  </si>
  <si>
    <t>https://e966f83b313c3b45ede3-64a631b37f7b69cdf842d11bca52af9c.ssl.cf5.rackcdn.com//202608/EFL-20260817-164200-ONCORD-Stars and Stripes Green Flex (English).pdf</t>
  </si>
  <si>
    <t>https://www.joinarevolution.com/signup/signup-step1/?id=375754&amp;promotion=NONE&amp;valid=N&amp;referral=&amp;landingpage=ptc</t>
  </si>
  <si>
    <t>https://e966f83b313c3b45ede3-64a631b37f7b69cdf842d11bca52af9c.ssl.cf5.rackcdn.com//202608/EFL-20260817-164200-CENTERPT-Stars and Stripes 9 (English).pdf</t>
  </si>
  <si>
    <t>https://www.joinarevolution.com/signup/signup-step1/?id=375793&amp;promotion=NONE&amp;valid=N&amp;referral=&amp;landingpage=ptc</t>
  </si>
  <si>
    <t>https://e966f83b313c3b45ede3-64a631b37f7b69cdf842d11bca52af9c.ssl.cf5.rackcdn.com//202608/EFL-20260817-164200-ONCORD-Stars and Stripes 9 (English).pdf</t>
  </si>
  <si>
    <t>https://www.joinarevolution.com/signup/signup-step1/?id=375794&amp;promotion=NONE&amp;valid=N&amp;referral=&amp;landingpage=ptc</t>
  </si>
  <si>
    <t>https://e966f83b313c3b45ede3-64a631b37f7b69cdf842d11bca52af9c.ssl.cf5.rackcdn.com//202608/EFL-20260817-164200-CENTERPT-Stars and Stripes 12 (English).pdf</t>
  </si>
  <si>
    <t>https://www.joinarevolution.com/signup/signup-step1/?id=375758&amp;promotion=NONE&amp;valid=N&amp;referral=&amp;landingpage=ptc</t>
  </si>
  <si>
    <t>https://e966f83b313c3b45ede3-64a631b37f7b69cdf842d11bca52af9c.ssl.cf5.rackcdn.com//202608/EFL-20260817-164200-ONCORD-Stars and Stripes 12 (English).pdf</t>
  </si>
  <si>
    <t>https://www.joinarevolution.com/signup/signup-step1/?id=375759&amp;promotion=NONE&amp;valid=N&amp;referral=&amp;landingpage=ptc</t>
  </si>
  <si>
    <t>https://e966f83b313c3b45ede3-64a631b37f7b69cdf842d11bca52af9c.ssl.cf5.rackcdn.com//202608/EFL-20260817-164200-CENTERPT-Stars and Stripes 18 (English).pdf</t>
  </si>
  <si>
    <t>https://www.joinarevolution.com/signup/signup-step1/?id=375763&amp;promotion=NONE&amp;valid=N&amp;referral=&amp;landingpage=ptc</t>
  </si>
  <si>
    <t>https://e966f83b313c3b45ede3-64a631b37f7b69cdf842d11bca52af9c.ssl.cf5.rackcdn.com//202608/EFL-20260817-164200-ONCORD-Stars and Stripes 18 (English).pdf</t>
  </si>
  <si>
    <t>https://www.joinarevolution.com/signup/signup-step1/?id=375764&amp;promotion=NONE&amp;valid=N&amp;referral=&amp;landingpage=ptc</t>
  </si>
  <si>
    <t>https://e966f83b313c3b45ede3-64a631b37f7b69cdf842d11bca52af9c.ssl.cf5.rackcdn.com//202608/EFL-20260817-164200-CENTERPT-Stars and Stripes 24 (English).pdf</t>
  </si>
  <si>
    <t>https://www.joinarevolution.com/signup/signup-step1/?id=375773&amp;promotion=NONE&amp;valid=N&amp;referral=&amp;landingpage=ptc</t>
  </si>
  <si>
    <t>https://e966f83b313c3b45ede3-64a631b37f7b69cdf842d11bca52af9c.ssl.cf5.rackcdn.com//202608/EFL-20260817-164200-ONCORD-Stars and Stripes 24 (English).pdf</t>
  </si>
  <si>
    <t>https://www.joinarevolution.com/signup/signup-step1/?id=375774&amp;promotion=NONE&amp;valid=N&amp;referral=&amp;landingpage=ptc</t>
  </si>
  <si>
    <t>https://e966f83b313c3b45ede3-64a631b37f7b69cdf842d11bca52af9c.ssl.cf5.rackcdn.com//202608/EFL-20260817-164200-CENTERPT-Stars and Stripes 36 (English).pdf</t>
  </si>
  <si>
    <t>https://www.joinarevolution.com/signup/signup-step1/?id=375778&amp;promotion=NONE&amp;valid=N&amp;referral=&amp;landingpage=ptc</t>
  </si>
  <si>
    <t>https://e966f83b313c3b45ede3-64a631b37f7b69cdf842d11bca52af9c.ssl.cf5.rackcdn.com//202608/EFL-20260817-164200-ONCORD-Stars and Stripes 36 (English).pdf</t>
  </si>
  <si>
    <t>https://www.joinarevolution.com/signup/signup-step1/?id=375779&amp;promotion=NONE&amp;valid=N&amp;referral=&amp;landingpage=ptc</t>
  </si>
  <si>
    <t>https://e966f83b313c3b45ede3-64a631b37f7b69cdf842d11bca52af9c.ssl.cf5.rackcdn.com//202608/EFL-20260817-164200-CENTERPT-Liberty Bell Flex (English).pdf</t>
  </si>
  <si>
    <t>https://www.joinarevolution.com/signup/signup-step1/?id=375748&amp;promotion=NONE&amp;valid=N&amp;referral=&amp;landingpage=ptc</t>
  </si>
  <si>
    <t>https://e966f83b313c3b45ede3-64a631b37f7b69cdf842d11bca52af9c.ssl.cf5.rackcdn.com//202608/EFL-20260817-164200-ONCORD-Liberty Bell Flex (English).pdf</t>
  </si>
  <si>
    <t>https://www.joinarevolution.com/signup/signup-step1/?id=375749&amp;promotion=NONE&amp;valid=N&amp;referral=&amp;landingpage=ptc</t>
  </si>
  <si>
    <t>https://e966f83b313c3b45ede3-64a631b37f7b69cdf842d11bca52af9c.ssl.cf5.rackcdn.com//202608/EFL-20260817-164200-CENTERPT-Liberty Bell Green Flex (English).pdf</t>
  </si>
  <si>
    <t>https://www.joinarevolution.com/signup/signup-step1/?id=375743&amp;promotion=NONE&amp;valid=N&amp;referral=&amp;landingpage=ptc</t>
  </si>
  <si>
    <t>https://e966f83b313c3b45ede3-64a631b37f7b69cdf842d11bca52af9c.ssl.cf5.rackcdn.com//202608/EFL-20260817-164200-ONCORD-Liberty Bell Green Flex (English).pdf</t>
  </si>
  <si>
    <t>https://www.joinarevolution.com/signup/signup-step1/?id=375744&amp;promotion=NONE&amp;valid=N&amp;referral=&amp;landingpage=ptc</t>
  </si>
  <si>
    <t xml:space="preserve">      &gt;&gt; CLICK HERE &lt;&lt;</t>
  </si>
  <si>
    <t>https://signup.budgetpowertx.com/Home/TOS?productId=35035</t>
  </si>
  <si>
    <t>https://www.constellation.com/bin/residential/GetContractVersionPDF?versionNum=5010180</t>
  </si>
  <si>
    <t>TOS - 5010180</t>
  </si>
  <si>
    <t>https://www.constellation.com/bin/residential/GetContractVersionPDF?versionNum=5010172</t>
  </si>
  <si>
    <t>TOS - 5010172</t>
  </si>
  <si>
    <t>https://cdn.gotrhythm.com/RhythmTOS_en.pdf</t>
  </si>
  <si>
    <t>v6.0</t>
  </si>
  <si>
    <t>TBD</t>
  </si>
  <si>
    <t>No Gimmicks 10</t>
  </si>
  <si>
    <t>https://signup.budgetpowertx.com/Home/index?ProductCode=RN10000001&amp;Promo=PTC</t>
  </si>
  <si>
    <t>https://signup.budgetpowertx.com/Home/YRAC?productId=35035</t>
  </si>
  <si>
    <t>https://signup.budgetpowertx.com/Home/EFL?productId=35035&amp;Promo=</t>
  </si>
  <si>
    <t>https://signup.budgetpowertx.com/Home/index?ProductCode=RN10000006&amp;Promo=PTC</t>
  </si>
  <si>
    <t>Simple Switch 3</t>
  </si>
  <si>
    <t>https://www.constellation.com/bin/residential/GetContractVersionPDF?versionNum=5010182</t>
  </si>
  <si>
    <t>https://www.constellation.com/bin/residential/GetContractVersionPDF?versionNum=5010178</t>
  </si>
  <si>
    <t>https://www.constellation.com/bin/residential/GetContractVersionPDF?versionNum=5010168</t>
  </si>
  <si>
    <t>https://www.constellation.com/bin/residential/GetContractVersionPDF?versionNum=5010170</t>
  </si>
  <si>
    <t>Simple Switch 4</t>
  </si>
  <si>
    <t>https://www.constellation.com/bin/residential/GetContractVersionPDF?versionNum=5010174</t>
  </si>
  <si>
    <t>https://www.constellation.com/bin/residential/GetContractVersionPDF?versionNum=5010176</t>
  </si>
  <si>
    <t>https://www.constellation.com/bin/residential/GetContractVersionPDF?versionNum=5010146</t>
  </si>
  <si>
    <t>https://www.constellation.com/bin/residential/GetContractVersionPDF?versionNum=5010148</t>
  </si>
  <si>
    <t>https://artemis-api.apge.com/api/v1/document?documentId=14&amp;offerCode=SRBTX_CTP_NA_NA_RES_FPR_SD0_T10_NEW</t>
  </si>
  <si>
    <t>https://artemis-api.apge.com/api/v1/document?documentId=14&amp;offerCode=SRBTX_ONC_NA_NA_RES_FPR_SD0_T10_NEW</t>
  </si>
  <si>
    <t>SRBTX_ONC_NA_NA_RES_FPR_SD0_T10_NEW</t>
  </si>
  <si>
    <t>https://signup.budgetpowertx.com/Home/TOS?productId=35036</t>
  </si>
  <si>
    <t>https://signup.budgetpowertx.com/Home/TOS?productId=35034</t>
  </si>
  <si>
    <t>https://signup.chariotenergy.com//Home/TOS?productId=47280</t>
  </si>
  <si>
    <t>https://signup.chariotenergy.com//Home/TOS?productId=47281</t>
  </si>
  <si>
    <t>https://signup.chariotenergy.com//Home/TOS?productId=47294</t>
  </si>
  <si>
    <t>https://signup.chariotenergy.com//Home/TOS?productId=47295</t>
  </si>
  <si>
    <t>https://signup.chariotenergy.com//Home/TOS?productId=47289</t>
  </si>
  <si>
    <t>https://signup.chariotenergy.com//Home/TOS?productId=47290</t>
  </si>
  <si>
    <t>https://signup.varsityenergy.com/Home/TOS?productId=29870&amp;ver=english</t>
  </si>
  <si>
    <t>2022.03</t>
  </si>
  <si>
    <t>TrueClassic 10</t>
  </si>
  <si>
    <t>https://artemis-api.apge.com/api/v1/document?documentId=16&amp;offerCode=SRBTX_ONC_NA_NA_RES_FPR_SD0_T10_NEW</t>
  </si>
  <si>
    <t>https://artemis-api.apge.com/api/v1/document?documentId=73&amp;offerCode=SRBTX_ONC_NA_NA_RES_FPR_SD0_T10_NEW</t>
  </si>
  <si>
    <t>https://www.apge.com/enroll#/offer?offerCode=SRBTX_ONC_NA_NA_RES_FPR_SD0_T10_NEW&amp;deploymentName=TX%20State%20Rate%20Board</t>
  </si>
  <si>
    <t>Lock in a fixed rate plan that gives you price security for the next 10 months. Flexible. Affordable. Energy. That's APG&amp;E!</t>
  </si>
  <si>
    <t>https://artemis-api.apge.com/api/v1/document?documentId=16&amp;offerCode=SRBTX_CTP_NA_NA_RES_FPR_SD0_T10_NEW</t>
  </si>
  <si>
    <t>https://artemis-api.apge.com/api/v1/document?documentId=73&amp;offerCode=SRBTX_CTP_NA_NA_RES_FPR_SD0_T10_NEW</t>
  </si>
  <si>
    <t>https://www.apge.com/enroll#/offer?offerCode=SRBTX_CTP_NA_NA_RES_FPR_SD0_T10_NEW&amp;deploymentName=TX%20State%20Rate%20Board</t>
  </si>
  <si>
    <t>https://signup.budgetpowertx.com/Home/YRAC?productId=35036</t>
  </si>
  <si>
    <t>https://signup.budgetpowertx.com/Home/EFL?productId=35036&amp;Promo=</t>
  </si>
  <si>
    <t>https://signup.budgetpowertx.com/Home/YRAC?productId=35034</t>
  </si>
  <si>
    <t>https://signup.budgetpowertx.com/Home/EFL?productId=35034&amp;Promo=</t>
  </si>
  <si>
    <t>Champ Saver-9</t>
  </si>
  <si>
    <t>http://www.championenergyservices.com/</t>
  </si>
  <si>
    <t>https://docs.championenergyservices.com/ExternalDocs?planname=PN2387&amp;state=TX&amp;language=EN</t>
  </si>
  <si>
    <t>https://docs.championenergyservices.com/ExternalDocs?planname=PN2398&amp;state=TX&amp;language=EN</t>
  </si>
  <si>
    <t>https://signup.chariotenergy.com//Home/YRAC?productId=47280</t>
  </si>
  <si>
    <t>https://signup.chariotenergy.com//Home/EFl?productId=47280</t>
  </si>
  <si>
    <t>https://signup.chariotenergy.com//Home/YRAC?productId=47281</t>
  </si>
  <si>
    <t>https://signup.chariotenergy.com//Home/EFl?productId=47281</t>
  </si>
  <si>
    <t>https://signup.chariotenergy.com//Home/YRAC?productId=47294</t>
  </si>
  <si>
    <t>https://signup.chariotenergy.com//Home/EFl?productId=47294</t>
  </si>
  <si>
    <t>https://signup.chariotenergy.com//Home/YRAC?productId=47295</t>
  </si>
  <si>
    <t>https://signup.chariotenergy.com//Home/EFl?productId=47295</t>
  </si>
  <si>
    <t>https://signup.chariotenergy.com//Home/YRAC?productId=47289</t>
  </si>
  <si>
    <t>https://signup.chariotenergy.com//Home/EFl?productId=47289</t>
  </si>
  <si>
    <t>https://signup.chariotenergy.com//Home/YRAC?productId=47290</t>
  </si>
  <si>
    <t>https://signup.chariotenergy.com//Home/EFl?productId=47290</t>
  </si>
  <si>
    <t>No Bull 9</t>
  </si>
  <si>
    <t>https://www.energytexas.com/?rcid=power-to-choose&amp;utm_source=powertochoose&amp;utm_medium=state-shopping</t>
  </si>
  <si>
    <t>https://api.energytexas.com/api/pricing/offers/latest-offers-efl/16133/?locale=en</t>
  </si>
  <si>
    <t>https://www.energytexas.com/?rcid=power-to-choose&amp;utm_source=powertochoose&amp;utm_campaign=centerpoint&amp;utm_medium=state-shopping&amp;utm_term=NB9</t>
  </si>
  <si>
    <t>https://api.energytexas.com/api/pricing/offers/latest-offers-efl/16135/?locale=en</t>
  </si>
  <si>
    <t>https://www.energytexas.com/?rcid=power-to-choose&amp;utm_source=powertochoose&amp;utm_campaign=oncor&amp;utm_medium=state-shopping&amp;utm_term=NB9</t>
  </si>
  <si>
    <t>https://octopusenergy.com/efl/OCTO-SIMPLE-12-CENTERPOINT-LZ_HOUSTON-202608180000</t>
  </si>
  <si>
    <t>https://octopusenergy.com/efl/OCTOPUS-FLEX-CENTERPOINT-LZ_HOUSTON-202608180000</t>
  </si>
  <si>
    <t>https://octopusenergy.com/efl/OCTO-SIMPLE-10-CENTERPOINT-LZ_HOUSTON-202608180000</t>
  </si>
  <si>
    <t>https://octopusenergy.com/efl/OCTO-SIMPLE-5-CENTERPOINT-LZ_HOUSTON-202608180000</t>
  </si>
  <si>
    <t>https://octopusenergy.com/efl/OCTO-SIMPLE-24-CENTERPOINT-LZ_HOUSTON-202608180000</t>
  </si>
  <si>
    <t>https://bit.ly/4wJued5</t>
  </si>
  <si>
    <t>https://bit.ly/3U4wYEg</t>
  </si>
  <si>
    <t>https://bit.ly/46aZlDl</t>
  </si>
  <si>
    <t>https://bit.ly/3SGoFOx</t>
  </si>
  <si>
    <t>https://bit.ly/4xbjsNJ</t>
  </si>
  <si>
    <t>https://bit.ly/4qpZ3Sq</t>
  </si>
  <si>
    <t>https://bit.ly/3UJ8Mr4</t>
  </si>
  <si>
    <t>https://bit.ly/4xcsYA0</t>
  </si>
  <si>
    <t>A $100 bill credit will be applied to each billing cycle in which usage is greater than 1,000 kWh.</t>
  </si>
  <si>
    <t>https://gb008a8dbfa8724-worx4uv1.adb.us-ashburn-1.oraclecloudapps.com/ords/worx4u/admin/efls/5969ECEE6DB83AE5E063E1FE000A9D96/view</t>
  </si>
  <si>
    <t>https://gb008a8dbfa8724-worx4uv1.adb.us-ashburn-1.oraclecloudapps.com/ords/worx4u/admin/efls/5969EE118A26396EE063E1FE000A4F39/view</t>
  </si>
  <si>
    <t>https://gb008a8dbfa8724-worx4uv1.adb.us-ashburn-1.oraclecloudapps.com/ords/worx4u/admin/efls/596A02909890E732E063E1FE000A984A/view</t>
  </si>
  <si>
    <t>https://gb008a8dbfa8724-worx4uv1.adb.us-ashburn-1.oraclecloudapps.com/ords/worx4u/admin/efls/59808355796F459FE063E1FE000A81BF/view</t>
  </si>
  <si>
    <t>HOMERUN 10</t>
  </si>
  <si>
    <t>For this product you will receive all communications via email / Please email bench@varsityenergy.com for all customer inquiries / You may set up Autopay through your online account or by contacting customer service</t>
  </si>
  <si>
    <t>https://signup.varsityenergy.com/Home/YRAC?productId=29870&amp;ver=english</t>
  </si>
  <si>
    <t>https://signup.varsityenergy.com/Home/EFl?productId=32913&amp;ver=english</t>
  </si>
  <si>
    <t>https://signup.varsityenergy.com/Home/index?ProductCode=RN10000002&amp;Promo=PTC</t>
  </si>
  <si>
    <t>https://signup.varsityenergy.com/Home/EFl?productId=32733&amp;ver=english</t>
  </si>
  <si>
    <t>https://signup.varsityenergy.com/Home/index?ProductCode=RN10000003&amp;Promo=PTC</t>
  </si>
  <si>
    <t>HOMERUN 16</t>
  </si>
  <si>
    <t>https://signup.varsityenergy.com/Home/EFl?productId=33062&amp;ver=english</t>
  </si>
  <si>
    <t>https://signup.varsityenergy.com/Home/index?ProductCode=RN16000002&amp;Promo=PTC</t>
  </si>
  <si>
    <t>https://signup.budgetpowertx.com/Home/TOS?productId=35045</t>
  </si>
  <si>
    <t>https://signup.budgetpowertx.com/Home/TOS?productId=35047</t>
  </si>
  <si>
    <t>https://signup.budgetpowertx.com/Home/TOS?productId=35048</t>
  </si>
  <si>
    <t>https://signup.budgetpowertx.com/Home/TOS?productId=35046</t>
  </si>
  <si>
    <t>https://signup.budgetpowertx.com/Home/TOS?productId=35042</t>
  </si>
  <si>
    <t>https://signup.budgetpowertx.com/Home/TOS?productId=35044</t>
  </si>
  <si>
    <t>https://signup.budgetpowertx.com/Home/TOS?productId=35043</t>
  </si>
  <si>
    <t>https://signup.chariotenergy.com//Home/TOS?productId=47304</t>
  </si>
  <si>
    <t>https://api.goodcharlie.com/products/2046/tos/Centerpoint/latest/en</t>
  </si>
  <si>
    <t>https://api.goodcharlie.com/products/2047/tos/Centerpoint/latest/en</t>
  </si>
  <si>
    <t>https://api.goodcharlie.com/products/2048/tos/Centerpoint/latest/en</t>
  </si>
  <si>
    <t>Power to Choose displays a single price for each utility service area. Some utilities cover multiple regions with different electricity pricing. Your rate may vary on our website after you enter your service zip code.</t>
  </si>
  <si>
    <t>https://signup.budgetpowertx.com/Home/YRAC?productId=35045</t>
  </si>
  <si>
    <t>https://signup.budgetpowertx.com/Home/EFL?productId=35045&amp;Promo=</t>
  </si>
  <si>
    <t>https://signup.budgetpowertx.com/Home/YRAC?productId=35047</t>
  </si>
  <si>
    <t>https://signup.budgetpowertx.com/Home/EFL?productId=35047&amp;Promo=</t>
  </si>
  <si>
    <t>https://signup.budgetpowertx.com/Home/YRAC?productId=35048</t>
  </si>
  <si>
    <t>https://signup.budgetpowertx.com/Home/EFL?productId=35048&amp;Promo=</t>
  </si>
  <si>
    <t>https://signup.budgetpowertx.com/Home/YRAC?productId=35046</t>
  </si>
  <si>
    <t>https://signup.budgetpowertx.com/Home/EFL?productId=35046&amp;Promo=</t>
  </si>
  <si>
    <t>https://signup.budgetpowertx.com/Home/YRAC?productId=35042</t>
  </si>
  <si>
    <t>https://signup.budgetpowertx.com/Home/EFL?productId=35042&amp;Promo=</t>
  </si>
  <si>
    <t>https://signup.budgetpowertx.com/Home/YRAC?productId=35044</t>
  </si>
  <si>
    <t>https://signup.budgetpowertx.com/Home/EFL?productId=35044&amp;Promo=</t>
  </si>
  <si>
    <t>https://signup.budgetpowertx.com/Home/YRAC?productId=35043</t>
  </si>
  <si>
    <t>https://signup.budgetpowertx.com/Home/EFL?productId=35043&amp;Promo=</t>
  </si>
  <si>
    <t>https://signup.chariotenergy.com//Home/YRAC?productId=47304</t>
  </si>
  <si>
    <t>https://signup.chariotenergy.com//Home/EFl?productId=47304</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</si>
  <si>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</si>
  <si>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</si>
  <si>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</si>
  <si>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https://api.goodcharlie.com/products/2047/yrac/Centerpoint/latest/en</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</si>
  <si>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</si>
  <si>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</si>
  <si>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</si>
  <si>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</si>
  <si>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</si>
  <si>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</si>
  <si>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</si>
  <si>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</si>
  <si>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https://api.goodcharlie.com/products/2046/yrac/Centerpoint/latest/en</t>
  </si>
  <si>
    <t>https://api.goodcharlie.com/products/2046/EFL/Oncor/latest/en</t>
  </si>
  <si>
    <t>https://api.goodcharlie.com/products/2046/EFL/Centerpoint/latest/en</t>
  </si>
  <si>
    <t>GoodEnergy 36</t>
  </si>
  <si>
    <t>https://api.goodcharlie.com/products/2048/yrac/Centerpoint/latest/en</t>
  </si>
  <si>
    <t>https://api.goodcharlie.com/products/2048/EFL/Oncor/latest/en</t>
  </si>
  <si>
    <t>https://api.goodcharlie.com/products/2048/EFL/Centerpoint/latest/en</t>
  </si>
  <si>
    <t>GoodEnergy 9</t>
  </si>
  <si>
    <t>https://api.goodcharlie.com/products/2148/EFL/Centerpoint/latest/en</t>
  </si>
  <si>
    <t>https://goodcharlie.com/?product_id=2148&amp;utility_code=CENTERPOINT&amp;utm_campaign=Corporate&amp;utm_source=comparison-site&amp;utm_medium=third-party&amp;utm_content=power-to-choose-cnp</t>
  </si>
  <si>
    <t>https://api.goodcharlie.com/products/2148/EFL/Oncor/latest/en</t>
  </si>
  <si>
    <t>https://goodcharlie.com/?product_id=2148&amp;utility_code=ONCOR&amp;utm_campaign=Corporate&amp;utm_source=comparison-site&amp;utm_medium=third-party&amp;utm_content=power-to-choose-onc</t>
  </si>
  <si>
    <t>Digital Choice 9</t>
  </si>
  <si>
    <t>Secure a 100% renewable electricity plan. | Enjoy Fair-for-All Pricing, with No Hidden Fees! | Save on your bill with Rhythm Rewards. | Call us at 1-877-649-0441 and sign up today!</t>
  </si>
  <si>
    <t>https://api.energytexas.com/api/pricing/offers/latest-offers-efl/25822/?locale=en</t>
  </si>
  <si>
    <t>https://gotrhythm.com/?rcid=power-to-choose&amp;utm_source=powertochoose&amp;utm_campaign=centerpoint&amp;utm_medium=state-shopping&amp;utm_term=DC9</t>
  </si>
  <si>
    <t>https://api.energytexas.com/api/pricing/offers/latest-offers-efl/25788/?locale=en</t>
  </si>
  <si>
    <t>https://gotrhythm.com/?rcid=power-to-choose&amp;utm_source=powertochoose&amp;utm_campaign=oncor&amp;utm_medium=state-shopping&amp;utm_term=DC9</t>
  </si>
  <si>
    <t>https://gb008a8dbfa8724-worx4uv1.adb.us-ashburn-1.oraclecloudapps.com/ords/worx4u/admin/efls/599343CD77887D55E063E1FE000AC77E/view</t>
  </si>
  <si>
    <t>https://gb008a8dbfa8724-worx4uv1.adb.us-ashburn-1.oraclecloudapps.com/ords/worx4u/admin/efls/59946E762929DD3DE063E1FE000A5679/view</t>
  </si>
  <si>
    <t>https://gb008a8dbfa8724-worx4uv1.adb.us-ashburn-1.oraclecloudapps.com/ords/worx4u/admin/efls/5996CF04C250C1D2E063E1FE000A80FE/view</t>
  </si>
  <si>
    <t>HOMERUN16</t>
  </si>
  <si>
    <t>https://signup.varsityenergy.com/Home/EFl?productId=33061&amp;ver=english</t>
  </si>
  <si>
    <t>https://signup.varsityenergy.com/Home/index?ProductCode=RN16000001&amp;Promo=PTC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</si>
</sst>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0" xfId="0" applyAlignment="1" applyProtection="1">
      <alignment horizontal="center"/>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44" fillId="0" borderId="0" xfId="45" applyNumberFormat="1" applyFont="1" applyBorder="1" applyAlignment="1" applyProtection="1">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189" fontId="44" fillId="0" borderId="0" xfId="45" applyNumberFormat="1" applyFont="1" applyAlignment="1" applyProtection="1">
      <alignment horizontal="center"/>
      <protection hidden="1"/>
    </xf>
    <xf numFmtId="0" fontId="16" fillId="0" borderId="30" xfId="0" applyFont="1" applyBorder="1" applyAlignment="1" applyProtection="1">
      <alignment horizontal="center" wrapText="1"/>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81" fillId="0" borderId="0" xfId="43" applyNumberFormat="1" applyFont="1" applyFill="1" applyAlignment="1" applyProtection="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5" fillId="0" borderId="0" xfId="0" applyFont="1" applyAlignment="1" applyProtection="1">
      <alignment horizontal="center" vertical="center" wrapText="1"/>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0000FF"/>
      <color rgb="FF993300"/>
      <color rgb="FF0000CC"/>
      <color rgb="FF6699FF"/>
      <color rgb="FF3366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46256.5</c:v>
                </c:pt>
                <c:pt idx="1">
                  <c:v>46257.5</c:v>
                </c:pt>
                <c:pt idx="2">
                  <c:v>46258.5</c:v>
                </c:pt>
                <c:pt idx="3">
                  <c:v>46259.5</c:v>
                </c:pt>
                <c:pt idx="4">
                  <c:v>46260.5</c:v>
                </c:pt>
                <c:pt idx="5">
                  <c:v>46261.5</c:v>
                </c:pt>
                <c:pt idx="6">
                  <c:v>46262.5</c:v>
                </c:pt>
                <c:pt idx="7">
                  <c:v>46263.5</c:v>
                </c:pt>
                <c:pt idx="8">
                  <c:v>46264.5</c:v>
                </c:pt>
                <c:pt idx="9">
                  <c:v>46265.5</c:v>
                </c:pt>
                <c:pt idx="10">
                  <c:v>46266.5</c:v>
                </c:pt>
                <c:pt idx="11">
                  <c:v>46267.5</c:v>
                </c:pt>
                <c:pt idx="12">
                  <c:v>46268.5</c:v>
                </c:pt>
                <c:pt idx="13">
                  <c:v>46269.5</c:v>
                </c:pt>
                <c:pt idx="14">
                  <c:v>46270.5</c:v>
                </c:pt>
                <c:pt idx="15">
                  <c:v>46271.5</c:v>
                </c:pt>
                <c:pt idx="16">
                  <c:v>46272.5</c:v>
                </c:pt>
                <c:pt idx="17">
                  <c:v>46273.5</c:v>
                </c:pt>
                <c:pt idx="18">
                  <c:v>46274.5</c:v>
                </c:pt>
                <c:pt idx="19">
                  <c:v>46275.5</c:v>
                </c:pt>
                <c:pt idx="20">
                  <c:v>46276.5</c:v>
                </c:pt>
                <c:pt idx="21">
                  <c:v>46277.5</c:v>
                </c:pt>
                <c:pt idx="22">
                  <c:v>46278.5</c:v>
                </c:pt>
                <c:pt idx="23">
                  <c:v>46279.5</c:v>
                </c:pt>
                <c:pt idx="24">
                  <c:v>46280.5</c:v>
                </c:pt>
                <c:pt idx="25">
                  <c:v>46281.5</c:v>
                </c:pt>
                <c:pt idx="26">
                  <c:v>46282.5</c:v>
                </c:pt>
                <c:pt idx="27">
                  <c:v>46283.5</c:v>
                </c:pt>
                <c:pt idx="28">
                  <c:v>46284.5</c:v>
                </c:pt>
                <c:pt idx="29">
                  <c:v>46285.5</c:v>
                </c:pt>
                <c:pt idx="30">
                  <c:v>46286.5</c:v>
                </c:pt>
                <c:pt idx="31">
                  <c:v>46287.5</c:v>
                </c:pt>
                <c:pt idx="32">
                  <c:v>46288.5</c:v>
                </c:pt>
                <c:pt idx="33">
                  <c:v>46289.5</c:v>
                </c:pt>
                <c:pt idx="34">
                  <c:v>46290.5</c:v>
                </c:pt>
                <c:pt idx="35">
                  <c:v>46291.5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9D4D1B33-08CF-427C-81F8-F986A3BB9F5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ABC12B30-9E7D-490B-981F-0FF38AECF05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C1253236-6E68-4301-9396-EAFAEEA11DA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FAE7AE79-F11E-49D4-A115-80F5E547BBD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C1A9C88D-304E-4CA3-9C34-665E2D2DEA0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0C645BC3-909D-49A8-A6B6-00B5546914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B28015C4-AEB4-4F3F-9E1C-6BE6765ED0D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4C80D49E-6E91-4C63-916B-5B4BEC11E2D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3E7DB5A1-5B34-42D4-BC48-C7CE9ACD38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0857E67C-3D9F-4F4D-976B-1ACB5C421C8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8D84C3DA-8977-40A4-8B29-164B99775F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CF47B7A2-FC66-4429-8D18-1FB693B03F6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D4EA979F-0A64-4761-8478-107CFB6EF2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A80F50B-331B-4E4F-824A-D05A6F9655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686FE80C-75C4-4C2E-8C1E-619DBEF946F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C4B50B6E-55DF-4502-B81F-5ADCA6E11B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39222B08-556A-425D-BD44-3F9E819A04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6C134DBD-3DF5-4184-BF6B-4CAF1A86EF4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0340581C-A537-4BB0-ABBE-19CBF7C998C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4D1EB690-C341-45A4-B162-A2E71E3191E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F762D006-A2D0-4626-8727-F4A4A414C43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57BAED14-6651-4ECF-BE2F-962966BAB4C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62505153-BFCD-4F07-BD5F-28108FCFBE8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A6D076B5-9BA0-4E6C-BF74-057A3AEB6E9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FDB7E55F-2FEC-4067-82B4-84CE7958FF1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6C779D57-63E8-40BF-98E6-DE108D91865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331FBD60-7B05-44F0-8069-669159A6642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BD4A324A-2523-4A0F-BC38-3692B4BB381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CB1E32CC-783F-4DAF-9DF1-924E8BF7835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85B17473-4D00-4F3C-B7CC-5B1B1BD2959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AE7F8609-3DFC-46BF-98A5-170E8BACB9F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01F25210-6C3C-445B-91B7-E9EFCF9FDF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E38C2627-30AA-4BA6-8FF6-FFDDA510BAB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DDADBA44-268C-4775-874E-E9FD042655D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C6860C6A-AEC6-4894-A03F-28793095804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D3AB0842-7D07-4FCB-8BB3-C9A96D21522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46256.5</c:v>
                </c:pt>
                <c:pt idx="1">
                  <c:v>46257.5</c:v>
                </c:pt>
                <c:pt idx="2">
                  <c:v>46258.5</c:v>
                </c:pt>
                <c:pt idx="3">
                  <c:v>46259.5</c:v>
                </c:pt>
                <c:pt idx="4">
                  <c:v>46260.5</c:v>
                </c:pt>
                <c:pt idx="5">
                  <c:v>46261.5</c:v>
                </c:pt>
                <c:pt idx="6">
                  <c:v>46262.5</c:v>
                </c:pt>
                <c:pt idx="7">
                  <c:v>46263.5</c:v>
                </c:pt>
                <c:pt idx="8">
                  <c:v>46264.5</c:v>
                </c:pt>
                <c:pt idx="9">
                  <c:v>46265.5</c:v>
                </c:pt>
                <c:pt idx="10">
                  <c:v>46266.5</c:v>
                </c:pt>
                <c:pt idx="11">
                  <c:v>46267.5</c:v>
                </c:pt>
                <c:pt idx="12">
                  <c:v>46268.5</c:v>
                </c:pt>
                <c:pt idx="13">
                  <c:v>46269.5</c:v>
                </c:pt>
                <c:pt idx="14">
                  <c:v>46270.5</c:v>
                </c:pt>
                <c:pt idx="15">
                  <c:v>46271.5</c:v>
                </c:pt>
                <c:pt idx="16">
                  <c:v>46272.5</c:v>
                </c:pt>
                <c:pt idx="17">
                  <c:v>46273.5</c:v>
                </c:pt>
                <c:pt idx="18">
                  <c:v>46274.5</c:v>
                </c:pt>
                <c:pt idx="19">
                  <c:v>46275.5</c:v>
                </c:pt>
                <c:pt idx="20">
                  <c:v>46276.5</c:v>
                </c:pt>
                <c:pt idx="21">
                  <c:v>46277.5</c:v>
                </c:pt>
                <c:pt idx="22">
                  <c:v>46278.5</c:v>
                </c:pt>
                <c:pt idx="23">
                  <c:v>46279.5</c:v>
                </c:pt>
                <c:pt idx="24">
                  <c:v>46280.5</c:v>
                </c:pt>
                <c:pt idx="25">
                  <c:v>46281.5</c:v>
                </c:pt>
                <c:pt idx="26">
                  <c:v>46282.5</c:v>
                </c:pt>
                <c:pt idx="27">
                  <c:v>46283.5</c:v>
                </c:pt>
                <c:pt idx="28">
                  <c:v>46284.5</c:v>
                </c:pt>
                <c:pt idx="29">
                  <c:v>46285.5</c:v>
                </c:pt>
                <c:pt idx="30">
                  <c:v>46286.5</c:v>
                </c:pt>
                <c:pt idx="31">
                  <c:v>46287.5</c:v>
                </c:pt>
                <c:pt idx="32">
                  <c:v>46288.5</c:v>
                </c:pt>
                <c:pt idx="33">
                  <c:v>46289.5</c:v>
                </c:pt>
                <c:pt idx="34">
                  <c:v>46290.5</c:v>
                </c:pt>
                <c:pt idx="35">
                  <c:v>46291.5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EC333A02-C665-457B-AEF9-F2101011D10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73833AA8-FE9B-46F5-A270-03947761596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2C623E00-B37A-45A2-BD0A-583A79A3648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CCA8F3B4-7507-41AF-985F-53238A00F84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911FB800-9D1B-49E4-A4C0-1FB3B1701A9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56AC4D56-00E3-47C7-8C1A-3BA8E89A672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C7B70DB2-B249-44F5-848F-59405AD8A4B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B52C74BB-F991-4690-8E85-307B3DF5BF8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2F9C9AA7-8EFE-4BA0-86CF-9A9DC655D1D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28DD1C14-0C8A-46E2-9809-C141BCED4DA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5CAA487B-F36F-48D2-8DBF-515A86B549C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6EEC2A05-D043-4C22-A9E3-9C34FE5BC01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FE8ECEB0-DC6E-4AD5-89B2-C5A8FBED588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5159A7CC-5D16-4715-9E5C-90EAAEF6F71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0CE8E78D-8A28-44CF-AD84-715AC9555FF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BAF420F8-732E-470A-93B0-4BEB1AAEF7B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187975F0-CFC2-4F7E-8AC0-380E26D9697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70CD6429-FE95-4E5A-A498-9CE07B6782C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0F9CF423-7633-48D4-95CB-2E7672F8BC8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DF73195B-2FEF-49F1-A922-BF93F4D3DAD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7106BA1E-FBB6-4A1C-ACB9-818C663F222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D35C8E30-DBD6-4689-8F0B-3C468A60044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D5221F71-CCE9-4414-A72B-0C7F1FA1336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2C9CF83B-14FB-4E71-A82E-34976C658FA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D18140C9-E337-44FC-BC79-BAB6BC49EFC4}"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8E8121B9-67E8-4CE7-913C-67C42920110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C9739132-94E3-470C-AEB6-DFAA193DE91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D5F733F7-5C0C-4F45-83E3-8F4238AEAFD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09CBACC2-BF82-4686-AC4F-C26953C73CA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AC0F3C5B-312C-4254-B15C-BD65D2BFA09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28E226CD-5302-4567-88B9-7B3A2D86B1D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E94FE33D-D1D8-4870-B4CD-C5A2B10E41B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4D98F0B2-68D0-41AF-B642-59B25F49D34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2B7868C3-9F12-4B56-9942-8D4672C3BF9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2D6FCD9F-59AD-4D21-8C73-D43B2F222B4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99FA9CF1-758A-4637-B4F1-43F2FC4EC96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624636E7-D236-488B-9ABB-1D96595AF1E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7BBEB807-234A-4F6D-9CB2-5539258E493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A24F1EE7-DD2B-4E50-A3DB-FFE3F7B0CD3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D4452405-9496-4DAA-811D-E1A7CAB20FF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F81A6861-327E-4AD2-9FBC-FE809BAD9FC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41532E22-4E22-492D-B2FF-D5DD045AE93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1E25AAB4-0A44-4F01-AAB7-7EDE30EAC3A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C69D74B3-6499-4607-9D68-AE3F788A47E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0263E147-7AC8-44E2-85FB-0259064CE46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BD1A114C-ACC0-4BFE-A417-E642E1B47DC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315D4642-D0C0-4149-8557-024D7190340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1304F896-2327-42E6-992D-1E453E0625F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3B0D453B-4E08-4E40-BC14-40634AC51EC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Trends!$C$17:$C$3534</c15:sqref>
                        </c15:formulaRef>
                      </c:ext>
                    </c:extLst>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extLst>
                      <c:ext uri="{02D57815-91ED-43cb-92C2-25804820EDAC}">
                        <c15:formulaRef>
                          <c15:sqref>Trends!$AQ$17:$AQ$3534</c15:sqref>
                        </c15:formulaRef>
                      </c:ext>
                    </c:extLst>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Trends!$AT$17:$AT$3534</c:f>
              <c:numCache>
                <c:formatCode>General</c:formatCode>
                <c:ptCount val="35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Trends!$H$17:$H$3534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Trends!$D$17:$D$3534</c:f>
              <c:numCache>
                <c:formatCode>0.000</c:formatCode>
                <c:ptCount val="351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extLst xmlns:c15="http://schemas.microsoft.com/office/drawing/2012/chart"/>
            </c:numRef>
          </c:cat>
          <c:val>
            <c:numRef>
              <c:f>Trends!$J$17:$J$3534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Trends!$S$17:$S$3534</c:f>
              <c:numCache>
                <c:formatCode>0.000</c:formatCode>
                <c:ptCount val="3518"/>
                <c:pt idx="350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Trends!$AR$17:$AR$3534</c:f>
              <c:numCache>
                <c:formatCode>0.000</c:formatCode>
                <c:ptCount val="3518"/>
                <c:pt idx="350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F95E25C0-0D01-4704-839A-16F69DEF20A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B7486441-641F-4688-B77B-AC185131170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4A14D920-5E5D-4753-96FE-C5C6634AC8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4C1EB377-10A3-4749-8D21-0D53FB81DA50}"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ACCDEC1E-314B-42AB-814E-4673CFCB87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AF89D9E4-4C0C-4F48-8013-F7981A98BE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Trends!$F$17:$F$3534</c:f>
              <c:numCache>
                <c:formatCode>0.000</c:formatCode>
                <c:ptCount val="351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Trends!$G$17:$G$3534</c15:f>
                <c15:dlblRangeCache>
                  <c:ptCount val="351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Trends!$E$17:$E$3534</c15:sqref>
                        </c15:formulaRef>
                      </c:ext>
                    </c:extLst>
                    <c:numCache>
                      <c:formatCode>0.000</c:formatCode>
                      <c:ptCount val="3518"/>
                      <c:pt idx="3500">
                        <c:v>4.92</c:v>
                      </c:pt>
                      <c:pt idx="3501">
                        <c:v>4.92</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Trends!$L$17:$L$3534</c:f>
              <c:numCache>
                <c:formatCode>0.000</c:formatCode>
                <c:ptCount val="3518"/>
                <c:pt idx="3500">
                  <c:v>#N/A</c:v>
                </c:pt>
                <c:pt idx="350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image" Target="../media/image4.png"/><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texaspowerguide.com/cheap-electricity-shopping-timing/"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7"/>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9"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8/22/26 5:11a</v>
      </c>
      <c r="B1" s="203"/>
      <c r="C1" s="203"/>
      <c r="D1" s="203"/>
      <c r="E1" s="203"/>
      <c r="F1" s="203"/>
      <c r="G1" s="203"/>
      <c r="H1" s="203"/>
      <c r="I1" s="157"/>
      <c r="J1" s="157"/>
      <c r="K1" s="157"/>
      <c r="L1" s="157"/>
      <c r="M1" s="157"/>
      <c r="N1" s="277"/>
      <c r="O1" s="158"/>
      <c r="P1" s="158"/>
      <c r="Q1" s="235"/>
      <c r="R1" s="158">
        <f>Database!$C$3</f>
        <v>46257.71597222222</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46256.21597222222</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plan="&amp;LEFT(REP_Name,4)&amp;Plan_Length&amp;","&amp;INDEX(Database!$D$8:$D$357,Plan_DBRow)&amp;","&amp;ROUND(Rel_Date,1)&amp;"&gt;"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283"/>
      <c r="C3" s="283"/>
      <c r="D3" s="283"/>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46256</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285" t="str">
        <f>IF(TDU_IDd,"",$BJ$29)</f>
        <v>Step ①: DOUBLE-tap the yellow box, type your ZIP Code, and press Enter.</v>
      </c>
      <c r="B6" s="285"/>
      <c r="C6" s="285"/>
      <c r="D6" s="285"/>
      <c r="E6" s="285"/>
      <c r="F6" s="285"/>
      <c r="G6" s="285"/>
      <c r="H6" s="285"/>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285"/>
      <c r="B7" s="285"/>
      <c r="C7" s="285"/>
      <c r="D7" s="285"/>
      <c r="E7" s="285"/>
      <c r="F7" s="285"/>
      <c r="G7" s="285"/>
      <c r="H7" s="285"/>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46256.5</v>
      </c>
      <c r="GV7" s="107">
        <f t="shared" ref="GV7:ID7" si="4">GU7+1</f>
        <v>46257.5</v>
      </c>
      <c r="GW7" s="107">
        <f t="shared" si="4"/>
        <v>46258.5</v>
      </c>
      <c r="GX7" s="107">
        <f t="shared" si="4"/>
        <v>46259.5</v>
      </c>
      <c r="GY7" s="107">
        <f t="shared" si="4"/>
        <v>46260.5</v>
      </c>
      <c r="GZ7" s="107">
        <f t="shared" si="4"/>
        <v>46261.5</v>
      </c>
      <c r="HA7" s="107">
        <f t="shared" si="4"/>
        <v>46262.5</v>
      </c>
      <c r="HB7" s="107">
        <f t="shared" si="4"/>
        <v>46263.5</v>
      </c>
      <c r="HC7" s="107">
        <f t="shared" si="4"/>
        <v>46264.5</v>
      </c>
      <c r="HD7" s="107">
        <f t="shared" si="4"/>
        <v>46265.5</v>
      </c>
      <c r="HE7" s="107">
        <f t="shared" si="4"/>
        <v>46266.5</v>
      </c>
      <c r="HF7" s="107">
        <f t="shared" si="4"/>
        <v>46267.5</v>
      </c>
      <c r="HG7" s="107">
        <f t="shared" si="4"/>
        <v>46268.5</v>
      </c>
      <c r="HH7" s="107">
        <f t="shared" si="4"/>
        <v>46269.5</v>
      </c>
      <c r="HI7" s="107">
        <f t="shared" si="4"/>
        <v>46270.5</v>
      </c>
      <c r="HJ7" s="107">
        <f t="shared" si="4"/>
        <v>46271.5</v>
      </c>
      <c r="HK7" s="107">
        <f t="shared" si="4"/>
        <v>46272.5</v>
      </c>
      <c r="HL7" s="107">
        <f t="shared" si="4"/>
        <v>46273.5</v>
      </c>
      <c r="HM7" s="107">
        <f t="shared" si="4"/>
        <v>46274.5</v>
      </c>
      <c r="HN7" s="107">
        <f t="shared" si="4"/>
        <v>46275.5</v>
      </c>
      <c r="HO7" s="107">
        <f t="shared" si="4"/>
        <v>46276.5</v>
      </c>
      <c r="HP7" s="107">
        <f t="shared" si="4"/>
        <v>46277.5</v>
      </c>
      <c r="HQ7" s="107">
        <f t="shared" si="4"/>
        <v>46278.5</v>
      </c>
      <c r="HR7" s="107">
        <f t="shared" si="4"/>
        <v>46279.5</v>
      </c>
      <c r="HS7" s="107">
        <f t="shared" si="4"/>
        <v>46280.5</v>
      </c>
      <c r="HT7" s="107">
        <f t="shared" si="4"/>
        <v>46281.5</v>
      </c>
      <c r="HU7" s="107">
        <f t="shared" si="4"/>
        <v>46282.5</v>
      </c>
      <c r="HV7" s="107">
        <f t="shared" si="4"/>
        <v>46283.5</v>
      </c>
      <c r="HW7" s="107">
        <f t="shared" si="4"/>
        <v>46284.5</v>
      </c>
      <c r="HX7" s="107">
        <f t="shared" si="4"/>
        <v>46285.5</v>
      </c>
      <c r="HY7" s="107">
        <f t="shared" si="4"/>
        <v>46286.5</v>
      </c>
      <c r="HZ7" s="107">
        <f t="shared" si="4"/>
        <v>46287.5</v>
      </c>
      <c r="IA7" s="107">
        <f t="shared" si="4"/>
        <v>46288.5</v>
      </c>
      <c r="IB7" s="107">
        <f t="shared" si="4"/>
        <v>46289.5</v>
      </c>
      <c r="IC7" s="107">
        <f t="shared" si="4"/>
        <v>46290.5</v>
      </c>
      <c r="ID7" s="107">
        <f t="shared" si="4"/>
        <v>46291.5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308" t="str">
        <f>IF(ISNUMBER(ZIPCodes!A6),$CM$10,"")</f>
        <v/>
      </c>
      <c r="G8" s="308"/>
      <c r="H8" s="30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287" t="str">
        <f>IF(TDU_IDd,"Usage"&amp;IF(Show_Plan," &amp; Costs for Plan #"&amp;Selected_Plan," (kWh):"),"")</f>
        <v/>
      </c>
      <c r="B9" s="287"/>
      <c r="C9" s="287"/>
      <c r="D9" s="287"/>
      <c r="E9" s="287"/>
      <c r="F9" s="287"/>
      <c r="G9" s="287"/>
      <c r="H9" s="287"/>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286"/>
      <c r="G10" s="286"/>
      <c r="H10" s="286"/>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4.8553274013233532</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286"/>
      <c r="G11" s="286"/>
      <c r="H11" s="286"/>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5.7752452657997386</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286"/>
      <c r="G12" s="286"/>
      <c r="H12" s="286"/>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6.7937257586128803</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286"/>
      <c r="G13" s="286"/>
      <c r="H13" s="286"/>
      <c r="I13" s="277"/>
      <c r="J13" s="277"/>
      <c r="K13" s="277"/>
      <c r="L13" s="277"/>
      <c r="M13" s="277"/>
      <c r="N13" s="277"/>
      <c r="O13" s="277"/>
      <c r="P13" s="277"/>
      <c r="Q13" s="236"/>
      <c r="R13" s="277"/>
      <c r="S13" s="277"/>
      <c r="T13" s="277"/>
      <c r="U13" s="277"/>
      <c r="V13" s="277"/>
      <c r="W13" s="277"/>
      <c r="X13" s="277"/>
      <c r="Y13" s="289"/>
      <c r="Z13" s="289"/>
      <c r="AA13" s="289"/>
      <c r="AB13" s="289"/>
      <c r="AC13" s="289"/>
      <c r="AD13" s="289"/>
      <c r="AE13" s="28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7.7793520419804372</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286"/>
      <c r="G14" s="286"/>
      <c r="H14" s="286"/>
      <c r="I14" s="277"/>
      <c r="J14" s="277"/>
      <c r="K14" s="277"/>
      <c r="L14" s="277"/>
      <c r="M14" s="277"/>
      <c r="N14" s="277"/>
      <c r="O14" s="277"/>
      <c r="P14" s="277"/>
      <c r="Q14" s="236"/>
      <c r="R14" s="277"/>
      <c r="S14" s="277"/>
      <c r="T14" s="277"/>
      <c r="U14" s="277"/>
      <c r="V14" s="277"/>
      <c r="W14" s="277"/>
      <c r="X14" s="277"/>
      <c r="Y14" s="289"/>
      <c r="Z14" s="289"/>
      <c r="AA14" s="289"/>
      <c r="AB14" s="289"/>
      <c r="AC14" s="289"/>
      <c r="AD14" s="289"/>
      <c r="AE14" s="28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8.7978325347935797</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286"/>
      <c r="G15" s="286"/>
      <c r="H15" s="286"/>
      <c r="I15" s="277"/>
      <c r="J15" s="277"/>
      <c r="K15" s="277"/>
      <c r="L15" s="277"/>
      <c r="M15" s="277"/>
      <c r="N15" s="277"/>
      <c r="O15" s="277"/>
      <c r="P15" s="277"/>
      <c r="Q15" s="236"/>
      <c r="R15" s="277"/>
      <c r="S15" s="277"/>
      <c r="T15" s="297" t="str">
        <f>IF(Show_Plan,IF(Locked,"",IF(Meter_Needed,"Date-Sensitive Plan!","When To Switch:")),"")</f>
        <v/>
      </c>
      <c r="U15" s="297"/>
      <c r="V15" s="297"/>
      <c r="W15" s="297"/>
      <c r="X15" s="277"/>
      <c r="Y15" s="289"/>
      <c r="Z15" s="289"/>
      <c r="AA15" s="289"/>
      <c r="AB15" s="289"/>
      <c r="AC15" s="289"/>
      <c r="AD15" s="289"/>
      <c r="AE15" s="28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9.7834588181611348</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IFERROR(INDEX(Database!$BP$8:$BP$357,Plan_DBRow),99)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286"/>
      <c r="G16" s="286"/>
      <c r="H16" s="286"/>
      <c r="I16" s="277"/>
      <c r="J16" s="277"/>
      <c r="K16" s="277"/>
      <c r="L16" s="277"/>
      <c r="M16" s="277"/>
      <c r="N16" s="277"/>
      <c r="O16" s="277"/>
      <c r="P16" s="277"/>
      <c r="Q16" s="236"/>
      <c r="R16" s="277"/>
      <c r="S16" s="277"/>
      <c r="T16" s="297"/>
      <c r="U16" s="297"/>
      <c r="V16" s="297"/>
      <c r="W16" s="297"/>
      <c r="X16" s="277"/>
      <c r="Y16" s="289"/>
      <c r="Z16" s="289"/>
      <c r="AA16" s="289"/>
      <c r="AB16" s="289"/>
      <c r="AC16" s="289"/>
      <c r="AD16" s="289"/>
      <c r="AE16" s="28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10.801939310974277</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286"/>
      <c r="G17" s="286"/>
      <c r="H17" s="286"/>
      <c r="I17" s="277"/>
      <c r="J17" s="277"/>
      <c r="K17" s="277"/>
      <c r="L17" s="277"/>
      <c r="M17" s="277"/>
      <c r="N17" s="277"/>
      <c r="O17" s="277"/>
      <c r="P17" s="277"/>
      <c r="Q17" s="236"/>
      <c r="R17" s="277"/>
      <c r="S17" s="277"/>
      <c r="T17" s="305" t="str">
        <f>IF(Show_Plan,IF(Locked,"",IF(Meter_Needed,"To avoid higher charges, enter your Meter Read Date","•  No more than 14 days
before your contract ends")),"")</f>
        <v/>
      </c>
      <c r="U17" s="305"/>
      <c r="V17" s="305"/>
      <c r="W17" s="305"/>
      <c r="X17" s="277"/>
      <c r="Y17" s="289"/>
      <c r="Z17" s="289"/>
      <c r="AA17" s="289"/>
      <c r="AB17" s="289"/>
      <c r="AC17" s="289"/>
      <c r="AD17" s="289"/>
      <c r="AE17" s="28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11.820419803787418</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286"/>
      <c r="G18" s="286"/>
      <c r="H18" s="286"/>
      <c r="I18" s="277"/>
      <c r="J18" s="277"/>
      <c r="K18" s="277"/>
      <c r="L18" s="277"/>
      <c r="M18" s="277"/>
      <c r="N18" s="277"/>
      <c r="O18" s="277"/>
      <c r="P18" s="277"/>
      <c r="Q18" s="236"/>
      <c r="R18" s="277"/>
      <c r="S18" s="277"/>
      <c r="T18" s="305"/>
      <c r="U18" s="305"/>
      <c r="V18" s="305"/>
      <c r="W18" s="305"/>
      <c r="X18" s="277"/>
      <c r="Y18" s="289"/>
      <c r="Z18" s="289"/>
      <c r="AA18" s="289"/>
      <c r="AB18" s="289"/>
      <c r="AC18" s="289"/>
      <c r="AD18" s="289"/>
      <c r="AE18" s="28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MAX(Database!$CG$8:$CG$357)</f>
        <v>0</v>
      </c>
      <c r="BG18" s="1">
        <v>9</v>
      </c>
      <c r="BH18" s="121">
        <f t="shared" si="8"/>
        <v>0.81425963951637148</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286"/>
      <c r="G19" s="286"/>
      <c r="H19" s="286"/>
      <c r="I19" s="277"/>
      <c r="J19" s="277"/>
      <c r="K19" s="277"/>
      <c r="L19" s="277"/>
      <c r="M19" s="277"/>
      <c r="N19" s="277"/>
      <c r="O19" s="277"/>
      <c r="P19" s="277"/>
      <c r="Q19" s="236"/>
      <c r="R19" s="277"/>
      <c r="S19" s="277"/>
      <c r="T19" s="293" t="str">
        <f>IF(Show_Plan,IF(Locked,"",IF(Meter_Needed,IF(ISNUMBER(Prior_Read),"Not a valid "&amp;PROPER(TDU)&amp;" date. Please try again.","from your bill ↘"),IF(IFERROR((II18-IH18)&gt;20,FALSE),IF(Bill_Cycle,"•  or "&amp;$IH$20&amp;" (whichever's later)","•  On your meter read date (Allow 7 days notice)"),""))),"")</f>
        <v/>
      </c>
      <c r="U19" s="293"/>
      <c r="V19" s="293"/>
      <c r="W19" s="293"/>
      <c r="X19" s="277"/>
      <c r="Y19" s="289"/>
      <c r="Z19" s="289"/>
      <c r="AA19" s="289"/>
      <c r="AB19" s="289"/>
      <c r="AC19" s="289"/>
      <c r="AD19" s="289"/>
      <c r="AE19" s="28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IF(Show_Plan,MATCH(IF(Selected_Plan="?",1,Selected_Plan),Database!$CG$8:$CG$357,0),"")</f>
        <v/>
      </c>
      <c r="BG19" s="1">
        <v>10</v>
      </c>
      <c r="BH19" s="121">
        <f t="shared" si="8"/>
        <v>1.8327401323295132</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286"/>
      <c r="G20" s="286"/>
      <c r="H20" s="286"/>
      <c r="I20" s="277"/>
      <c r="J20" s="277"/>
      <c r="K20" s="277"/>
      <c r="L20" s="277"/>
      <c r="M20" s="277"/>
      <c r="N20" s="277"/>
      <c r="O20" s="277"/>
      <c r="P20" s="277"/>
      <c r="Q20" s="236"/>
      <c r="R20" s="277"/>
      <c r="S20" s="277"/>
      <c r="T20" s="293"/>
      <c r="U20" s="293"/>
      <c r="V20" s="293"/>
      <c r="W20" s="293"/>
      <c r="X20" s="277"/>
      <c r="Y20" s="277"/>
      <c r="Z20" s="277"/>
      <c r="AA20" s="277"/>
      <c r="AB20" s="277"/>
      <c r="AC20" s="283" t="str">
        <f>IF(More_Plans,"Source: TOS &amp; EFL docs. (You can avoid most of these fees with e-bill, autopay, and timely payments.)","")</f>
        <v/>
      </c>
      <c r="AD20" s="283"/>
      <c r="AE20" s="283"/>
      <c r="AF20" s="283"/>
      <c r="AG20" s="283"/>
      <c r="AH20" s="283"/>
      <c r="AI20" s="283"/>
      <c r="AJ20" s="283"/>
      <c r="AK20" s="283"/>
      <c r="AL20" s="283"/>
      <c r="AM20" s="283"/>
      <c r="AN20" s="283"/>
      <c r="AO20" s="283"/>
      <c r="AP20" s="283"/>
      <c r="AQ20" s="283"/>
      <c r="AR20" s="283"/>
      <c r="AS20" s="283"/>
      <c r="AT20" s="283"/>
      <c r="AU20" s="283"/>
      <c r="AV20" s="283"/>
      <c r="AW20" s="277"/>
      <c r="AX20" s="277"/>
      <c r="AY20" s="277"/>
      <c r="AZ20" s="277"/>
      <c r="BA20" s="277"/>
      <c r="BB20" s="277"/>
      <c r="BC20" s="277"/>
      <c r="BD20" s="277"/>
      <c r="BE20" s="86" t="s">
        <v>89</v>
      </c>
      <c r="BF20" s="94" t="e">
        <f>INDEX(Database!BO$8:BO$357,Plan_DBRow)</f>
        <v>#VALUE!</v>
      </c>
      <c r="BG20" s="1">
        <v>11</v>
      </c>
      <c r="BH20" s="121">
        <f t="shared" si="8"/>
        <v>2.8183664156970698</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IFERROR(INDEX(Database!$BP$8:$BP$357,Plan_DBRow),99)</f>
        <v>99</v>
      </c>
      <c r="GM20" s="124">
        <f>IFERROR(INDEX(Database!$BP$8:$BP$357,Plan_DBRow),99)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286"/>
      <c r="G21" s="286"/>
      <c r="H21" s="286"/>
      <c r="I21" s="277"/>
      <c r="J21" s="256" t="str">
        <f>IF(TDU_IDd,"Delivery:","")</f>
        <v/>
      </c>
      <c r="K21" s="252" t="s">
        <v>92</v>
      </c>
      <c r="L21" s="256" t="s">
        <v>93</v>
      </c>
      <c r="M21" s="253" t="s">
        <v>94</v>
      </c>
      <c r="N21" s="277"/>
      <c r="O21" s="277"/>
      <c r="P21" s="277"/>
      <c r="Q21" s="236"/>
      <c r="R21" s="277"/>
      <c r="S21" s="277"/>
      <c r="T21" s="298" t="str">
        <f>IF(AND(Show_Plan,NOT(Locked),Rate_Type="High"),"Meter Read Date:","")</f>
        <v/>
      </c>
      <c r="U21" s="298"/>
      <c r="V21" s="294" t="s">
        <v>95</v>
      </c>
      <c r="W21" s="29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IFERROR(INDEX(Database!$Q$8:$Q$357,Plan_DBRow),"")</f>
        <v/>
      </c>
      <c r="BG21" s="1">
        <v>12</v>
      </c>
      <c r="BH21" s="121">
        <f t="shared" si="8"/>
        <v>3.8368469085102115</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284">
        <f>IF(1,BV4,"")</f>
        <v>0</v>
      </c>
      <c r="C22" s="284"/>
      <c r="D22" s="284"/>
      <c r="E22" s="169" t="str">
        <f>IF(Usage,$BW$3,"")</f>
        <v/>
      </c>
      <c r="F22" s="215" t="str">
        <f>IF(ISNUMBER(Plan_Cost),Plan_Cost,"")</f>
        <v/>
      </c>
      <c r="G22" s="288" t="str">
        <f>IF(AND(0,Show_Plan,OR(Months_Entered&lt;12,BI4&lt;BJ4)),"* Est'd","")</f>
        <v/>
      </c>
      <c r="H22" s="288"/>
      <c r="I22" s="277"/>
      <c r="J22" s="277"/>
      <c r="K22" s="277"/>
      <c r="L22" s="277"/>
      <c r="M22" s="304" t="str">
        <f>"Ver "&amp; TEXT(Rel_Date, "m/d/yy.hh") &amp;IFERROR("-"&amp;INDEX(Database!$D$8:$D$357,Plan_DBRow),"")&amp;", ©2025 PTP, LLC"&amp;IF(Show_Plan,"
Please email me free RateAlerts for this usage and new plan:
"&amp;$BU$2,"")</f>
        <v>Ver 8/22/26.05, ©2025 PTP, LLC</v>
      </c>
      <c r="N22" s="304"/>
      <c r="O22" s="304"/>
      <c r="P22" s="304"/>
      <c r="Q22" s="304"/>
      <c r="R22" s="304"/>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IFERROR(INDEX(Database!$BH$8:$BH$357,$BF19),FALSE)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4.8553274013233532</v>
      </c>
      <c r="ED22">
        <v>5.7752452657997386</v>
      </c>
      <c r="EE22">
        <v>6.7937257586128803</v>
      </c>
      <c r="EF22">
        <v>7.7793520419804372</v>
      </c>
      <c r="EG22">
        <v>8.7978325347935797</v>
      </c>
      <c r="EH22">
        <v>9.7834588181611348</v>
      </c>
      <c r="EI22">
        <v>10.801939310974277</v>
      </c>
      <c r="EJ22">
        <v>11.820419803787418</v>
      </c>
      <c r="EK22">
        <v>0.81425963951637148</v>
      </c>
      <c r="EL22">
        <v>1.8327401323295132</v>
      </c>
      <c r="EM22">
        <v>2.8183664156970698</v>
      </c>
      <c r="EN22">
        <v>3.8368469085102115</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302"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303"/>
      <c r="D23" s="303"/>
      <c r="E23" s="303"/>
      <c r="F23" s="303"/>
      <c r="G23" s="303"/>
      <c r="H23" s="303"/>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MATCH(INDEX(Database!$F$8:$F$357,Plan_DBRow),REP_Info!$D$6:$D$250,0)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INDEX(Database!$AG$8:$BG$357,Plan_DBRow,CN$22)</f>
        <v>#VALUE!</v>
      </c>
      <c r="CO23" t="e">
        <f>IF(ISBLANK(INDEX(Database!$AG$8:$BG$357,Plan_DBRow,CO$22)),"",INDEX(Database!$AG$8:$BG$357,Plan_DBRow,CO$22))</f>
        <v>#VALUE!</v>
      </c>
      <c r="CP23" t="e">
        <f>IF(ISBLANK(INDEX(Database!$AG$8:$BG$357,Plan_DBRow,CP$22)),"",INDEX(Database!$AG$8:$BG$357,Plan_DBRow,CP$22))</f>
        <v>#VALUE!</v>
      </c>
      <c r="CQ23" t="e">
        <f>IF(ISBLANK(INDEX(Database!$AG$8:$BG$357,Plan_DBRow,CQ$22)),"",INDEX(Database!$AG$8:$BG$357,Plan_DBRow,CQ$22))</f>
        <v>#VALUE!</v>
      </c>
      <c r="CR23" t="e">
        <f>IF(ISBLANK(INDEX(Database!$AG$8:$BG$357,Plan_DBRow,CR$22)),"",INDEX(Database!$AG$8:$BG$357,Plan_DBRow,CR$22))</f>
        <v>#VALUE!</v>
      </c>
      <c r="CS23" t="e">
        <f>IF(ISBLANK(INDEX(Database!$AG$8:$BG$357,Plan_DBRow,CS$22)),"",INDEX(Database!$AG$8:$BG$357,Plan_DBRow,CS$22))</f>
        <v>#VALUE!</v>
      </c>
      <c r="CT23" t="e">
        <f>IF(ISBLANK(INDEX(Database!$AG$8:$BG$357,Plan_DBRow,CT$22)),"",INDEX(Database!$AG$8:$BG$357,Plan_DBRow,CT$22))</f>
        <v>#VALUE!</v>
      </c>
      <c r="CU23" t="e">
        <f>IF(ISBLANK(INDEX(Database!$AG$8:$BG$357,Plan_DBRow,CU$22)),"",INDEX(Database!$AG$8:$BG$357,Plan_DBRow,CU$22))</f>
        <v>#VALUE!</v>
      </c>
      <c r="CV23" t="e">
        <f>IF(ISBLANK(INDEX(Database!$AG$8:$BG$357,Plan_DBRow,CV$22)),"",INDEX(Database!$AG$8:$BG$357,Plan_DBRow,CV$22))</f>
        <v>#VALUE!</v>
      </c>
      <c r="CW23" t="e">
        <f>IF(ISBLANK(INDEX(Database!$AG$8:$BG$357,Plan_DBRow,CW$22)),"",INDEX(Database!$AG$8:$BG$357,Plan_DBRow,CW$22))</f>
        <v>#VALUE!</v>
      </c>
      <c r="CX23" t="e">
        <f>IF(ISBLANK(INDEX(Database!$AG$8:$BG$357,Plan_DBRow,CX$22)),"",INDEX(Database!$AG$8:$BG$357,Plan_DBRow,CX$22))</f>
        <v>#VALUE!</v>
      </c>
      <c r="CY23" t="e">
        <f>INDEX(Database!$AG$8:$BG$357,Plan_DBRow,CY$22)</f>
        <v>#VALUE!</v>
      </c>
      <c r="CZ23" t="e">
        <f>INDEX(Database!$AG$8:$BG$357,Plan_DBRow,CZ$22)</f>
        <v>#VALUE!</v>
      </c>
      <c r="DA23" t="e">
        <f>INDEX(Database!$AG$8:$BG$357,Plan_DBRow,DA$22)</f>
        <v>#VALUE!</v>
      </c>
      <c r="DB23" t="e">
        <f>INDEX(Database!$AG$8:$BG$357,Plan_DBRow,DB$22)</f>
        <v>#VALUE!</v>
      </c>
      <c r="DC23" t="e">
        <f>INDEX(Database!$AG$8:$BG$357,Plan_DBRow,DC$22)</f>
        <v>#VALUE!</v>
      </c>
      <c r="DD23" t="e">
        <f>INDEX(Database!$AG$8:$BG$357,Plan_DBRow,DD$22)</f>
        <v>#VALUE!</v>
      </c>
      <c r="DE23" s="31" t="e">
        <f>INDEX(Database!$AG$8:$BG$357,Plan_DBRow,DE$22)</f>
        <v>#VALUE!</v>
      </c>
      <c r="DF23" s="31" t="e">
        <f>INDEX(Database!$AG$8:$BG$357,Plan_DBRow,DF$22)</f>
        <v>#VALUE!</v>
      </c>
      <c r="DG23" s="31" t="e">
        <f>INDEX(Database!$AG$8:$BG$357,Plan_DBRow,DG$22)</f>
        <v>#VALUE!</v>
      </c>
      <c r="DH23" s="31" t="e">
        <f>INDEX(Database!$AG$8:$BG$357,Plan_DBRow,DH$22)</f>
        <v>#VALUE!</v>
      </c>
      <c r="DI23" s="31" t="e">
        <f>INDEX(Database!$AG$8:$BG$357,Plan_DBRow,DI$22)</f>
        <v>#VALUE!</v>
      </c>
      <c r="DJ23" s="5" t="e">
        <f>INDEX(Database!$AG$8:$BG$357,Plan_DBRow,DJ$22)</f>
        <v>#VALUE!</v>
      </c>
      <c r="DK23" s="35" t="e">
        <f>INDEX(Database!$AG$8:$BG$357,Plan_DBRow,DK$22)</f>
        <v>#VALUE!</v>
      </c>
      <c r="DL23" s="6" t="e">
        <f>INDEX(Database!$AG$8:$BG$357,Plan_DBRow,DL$22)</f>
        <v>#VALUE!</v>
      </c>
      <c r="DM23" s="35" t="e">
        <f>INDEX(Database!$AG$8:$BG$357,Plan_DBRow,DM$22)</f>
        <v>#VALUE!</v>
      </c>
      <c r="DN23" s="35" t="e">
        <f>INDEX(Database!$AG$8:$BG$357,Plan_DBRow,DN$22)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303"/>
      <c r="C24" s="303"/>
      <c r="D24" s="303"/>
      <c r="E24" s="303"/>
      <c r="F24" s="303"/>
      <c r="G24" s="303"/>
      <c r="H24" s="303"/>
      <c r="I24" s="216">
        <f>Term_Min_Recd</f>
        <v>12</v>
      </c>
      <c r="J24" s="216">
        <f>Term_Max_Recd</f>
        <v>12</v>
      </c>
      <c r="K24" s="248"/>
      <c r="L24" s="250"/>
      <c r="M24" s="210"/>
      <c r="N24" s="216" t="str">
        <f>Risk_Default</f>
        <v>Any</v>
      </c>
      <c r="O24" s="172"/>
      <c r="P24" s="216">
        <v>0</v>
      </c>
      <c r="Q24" s="237"/>
      <c r="R24" s="218"/>
      <c r="S24" s="292" t="s">
        <v>105</v>
      </c>
      <c r="T24" s="29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300" t="s">
        <v>119</v>
      </c>
      <c r="C25" s="300"/>
      <c r="D25" s="300"/>
      <c r="E25" s="300"/>
      <c r="F25" s="300"/>
      <c r="G25" s="229" t="s">
        <v>120</v>
      </c>
      <c r="H25" s="229" t="s">
        <v>121</v>
      </c>
      <c r="I25" s="300" t="s">
        <v>122</v>
      </c>
      <c r="J25" s="300"/>
      <c r="K25" s="227" t="str">
        <f>IF(All_In,"Total
Avg /kWh","Energy
Avg /kWh")</f>
        <v>Total
Avg /kWh</v>
      </c>
      <c r="L25" s="228" t="str">
        <f>IF($BV$2&gt;11,12,$BV$2)&amp;"-Mo
Cost"&amp;IF(AND(Pick_A_Plan,BF21&lt;12,BV2&lt;&gt;BF21),"","")&amp;"▲"</f>
        <v>0-Mo
Cost▲</v>
      </c>
      <c r="M25" s="276" t="s">
        <v>123</v>
      </c>
      <c r="N25" s="300" t="s">
        <v>124</v>
      </c>
      <c r="O25" s="300"/>
      <c r="P25" s="229" t="s">
        <v>125</v>
      </c>
      <c r="Q25" s="238" t="str">
        <f>IF($BV$2&gt;11,12,$BV$2)&amp;"-Mo
Wgt'd"&amp;IF(AND(Pick_A_Plan,BK21&lt;12,CA2&lt;&gt;BK21),"","")</f>
        <v>0-Mo
Wgt'd</v>
      </c>
      <c r="R25" s="229" t="s">
        <v>126</v>
      </c>
      <c r="S25" s="296" t="s">
        <v>127</v>
      </c>
      <c r="T25" s="29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301" t="str">
        <f>IF(More_Plans,IF(Locked,IF(Selected_Plan,$BZ26,$BV26),IFERROR(PROPER(INDEX(Database!$G$8:$G$357,$BQ26)),"")),"")</f>
        <v/>
      </c>
      <c r="C26" s="301"/>
      <c r="D26" s="301"/>
      <c r="E26" s="301"/>
      <c r="F26" s="301"/>
      <c r="G26" s="259" t="str">
        <f>IF(Locked,"",IFERROR(HYPERLINK(INDEX(Database!$Y$8:$Y$357,$BQ26),"EFL"),""))</f>
        <v/>
      </c>
      <c r="H26" s="259" t="str">
        <f>IF(Locked,"",IFERROR(HYPERLINK(INDEX(Database!$U$8:$U$357,$BQ26),"TOS"),""))</f>
        <v/>
      </c>
      <c r="I26" s="307" t="str">
        <f>IFERROR(INDEX(Database!$Q$8:$Q$357,$BQ26),"")</f>
        <v/>
      </c>
      <c r="J26" s="307"/>
      <c r="K26" s="220" t="str">
        <f>IFERROR(IF(All_In,INDEX(Database!$BQ$8:$BQ$357,$BQ26),INDEX(Database!$BR$8:$BR$357,$BQ26)),"")</f>
        <v/>
      </c>
      <c r="L26" s="221" t="str">
        <f>IFERROR(INDEX(Database!$BO$8:$BO$357,$BQ26),"")</f>
        <v/>
      </c>
      <c r="M26" s="242" t="str">
        <f>IFERROR(INDEX(Database!$CX$8:$CX$357,$BQ26),"")</f>
        <v/>
      </c>
      <c r="N26" s="222" t="str">
        <f>IFERROR(INDEX(Database!$BH$8:$BH$357,$BQ26),"")</f>
        <v/>
      </c>
      <c r="O26" s="223"/>
      <c r="P26" s="223" t="str">
        <f>IFERROR(INDEX(Database!$P$8:$P$357,$BQ26),"")</f>
        <v/>
      </c>
      <c r="Q26" s="239" t="str">
        <f>IFERROR(INDEX(Database!$CR$8:$CR$357,$BQ26),"")</f>
        <v/>
      </c>
      <c r="R26" s="224" t="str">
        <f>IFERROR(INDEX(Database!$AC$8:$AC$357,$BQ26),"")</f>
        <v/>
      </c>
      <c r="S26" s="291" t="str" cm="1">
        <f t="array" ref="S26">IF(More_Plans,IF(Locked,$CD26,IF(ISNUMBER($BT26),INDEX(REP_Info!$E$6:$E$250,$BT26),"")),"")</f>
        <v/>
      </c>
      <c r="T26" s="291"/>
      <c r="U26" s="254" t="str">
        <f>IF(More_Plans,IF(ISNUMBER($BT26),YEAR(INDEX(REP_Info!$J$6:$J$250,$BT26)),""),"")</f>
        <v/>
      </c>
      <c r="V26" s="225" t="str">
        <f>IF(More_Plans,IF(ISNUMBER($BT26),ROUND(INDEX(REP_Info!$G$6:$G$250,$BT26)/1000,0)&amp;"k",""),"")</f>
        <v/>
      </c>
      <c r="W26" s="226" t="str">
        <f>IFERROR(INDEX(Database!$BJ$8:$BJ$357,$BQ26),"")</f>
        <v/>
      </c>
      <c r="X26" s="290"/>
      <c r="Y26" s="272" t="str">
        <f>IFERROR(IF(ISBLANK(INDEX(TOS!$F$6:$AP$221,$BS26,Y$42)),"",INDEX(TOS!$F$6:$AP$221,$BS26,Y$42)),"")</f>
        <v/>
      </c>
      <c r="Z26" s="270" t="str">
        <f>IFERROR(IF(ISBLANK(INDEX(TOS!$F$6:$AP$221,$BS26,Z$42)),"",INDEX(TOS!$F$6:$AP$221,$BS26,Z$42)),"")</f>
        <v/>
      </c>
      <c r="AA26" s="270" t="str">
        <f>IFERROR(IF(ISBLANK(INDEX(TOS!$F$6:$AP$221,$BS26,AA$42)),"",INDEX(TOS!$F$6:$AP$221,$BS26,AA$42)),"")</f>
        <v/>
      </c>
      <c r="AB26" s="270" t="str">
        <f>IFERROR(IF(ISBLANK(INDEX(TOS!$F$6:$AP$221,$BS26,AB$42)),"",INDEX(TOS!$F$6:$AP$221,$BS26,AB$42)),"")</f>
        <v/>
      </c>
      <c r="AC26" s="270" t="str">
        <f>IFERROR(IF(ISBLANK(INDEX(TOS!$F$6:$AP$221,$BS26,AC$42)),"",INDEX(TOS!$F$6:$AP$221,$BS26,AC$42)),"")</f>
        <v/>
      </c>
      <c r="AD26" s="270" t="str">
        <f>IFERROR(IF(ISBLANK(INDEX(TOS!$F$6:$AP$221,$BS26,AD$42)),"",INDEX(TOS!$F$6:$AP$221,$BS26,AD$42)),"")</f>
        <v/>
      </c>
      <c r="AE26" s="270" t="str">
        <f>IFERROR(IF(ISBLANK(INDEX(TOS!$F$6:$AP$221,$BS26,AE$42)),"",INDEX(TOS!$F$6:$AP$221,$BS26,AE$42)),"")</f>
        <v/>
      </c>
      <c r="AF26" s="270" t="str">
        <f>IFERROR(IF(ISBLANK(INDEX(TOS!$F$6:$AP$221,$BS26,AF$42)),"",INDEX(TOS!$F$6:$AP$221,$BS26,AF$42)),"")</f>
        <v/>
      </c>
      <c r="AG26" s="270" t="str">
        <f>IFERROR(IF(ISBLANK(INDEX(TOS!$F$6:$AP$221,$BS26,AG$42)),"",INDEX(TOS!$F$6:$AP$221,$BS26,AG$42)),"")</f>
        <v/>
      </c>
      <c r="AH26" s="270" t="str">
        <f>IFERROR(IF(ISBLANK(INDEX(TOS!$F$6:$AP$221,$BS26,AH$42)),"",INDEX(TOS!$F$6:$AP$221,$BS26,AH$42)),"")</f>
        <v/>
      </c>
      <c r="AI26" s="270" t="str">
        <f>IFERROR(IF(ISBLANK(INDEX(TOS!$F$6:$AP$221,$BS26,AI$42)),"",INDEX(TOS!$F$6:$AP$221,$BS26,AI$42)),"")</f>
        <v/>
      </c>
      <c r="AJ26" s="270" t="str">
        <f>IFERROR(IF(ISBLANK(INDEX(TOS!$F$6:$AP$221,$BS26,AJ$42)),"",INDEX(TOS!$F$6:$AP$221,$BS26,AJ$42)),"")</f>
        <v/>
      </c>
      <c r="AK26" s="270" t="str">
        <f>IFERROR(IF(ISBLANK(INDEX(TOS!$F$6:$AP$221,$BS26,AK$42)),"",INDEX(TOS!$F$6:$AP$221,$BS26,AK$42)),"")</f>
        <v/>
      </c>
      <c r="AL26" s="270" t="str">
        <f>IFERROR(IF(ISBLANK(INDEX(TOS!$F$6:$AP$221,$BS26,AL$42)),"",INDEX(TOS!$F$6:$AP$221,$BS26,AL$42)),"")</f>
        <v/>
      </c>
      <c r="AM26" s="270" t="str">
        <f>IFERROR(IF(ISBLANK(INDEX(TOS!$F$6:$AP$221,$BS26,AM$42)),"",INDEX(TOS!$F$6:$AP$221,$BS26,AM$42)),"")</f>
        <v/>
      </c>
      <c r="AN26" s="270" t="str">
        <f>IFERROR(IF(ISBLANK(INDEX(TOS!$F$6:$AP$221,$BS26,AN$42)),"",INDEX(TOS!$F$6:$AP$221,$BS26,AN$42)),"")</f>
        <v/>
      </c>
      <c r="AO26" s="270" t="str">
        <f>IFERROR(IF(ISBLANK(INDEX(TOS!$F$6:$AP$221,$BS26,AO$42)),"",INDEX(TOS!$F$6:$AP$221,$BS26,AO$42)),"")</f>
        <v/>
      </c>
      <c r="AP26" s="270" t="str">
        <f>IFERROR(IF(ISBLANK(INDEX(TOS!$F$6:$AP$221,$BS26,AP$42)),"",INDEX(TOS!$F$6:$AP$221,$BS26,AP$42)),"")</f>
        <v/>
      </c>
      <c r="AQ26" s="270" t="str">
        <f>IFERROR(IF(ISBLANK(INDEX(TOS!$F$6:$AP$221,$BS26,AQ$42)),"",INDEX(TOS!$F$6:$AP$221,$BS26,AQ$42)),"")</f>
        <v/>
      </c>
      <c r="AR26" s="270" t="str">
        <f>IFERROR(IF(ISBLANK(INDEX(TOS!$F$6:$AP$221,$BS26,AR$42)),"",INDEX(TOS!$F$6:$AP$221,$BS26,AR$42)),"")</f>
        <v/>
      </c>
      <c r="AS26" s="270" t="str">
        <f>IFERROR(IF(ISBLANK(INDEX(TOS!$F$6:$AP$221,$BS26,AS$42)),"",INDEX(TOS!$F$6:$AP$221,$BS26,AS$42)),"")</f>
        <v/>
      </c>
      <c r="AT26" s="270" t="str">
        <f>IFERROR(IF(ISBLANK(INDEX(TOS!$F$6:$AP$221,$BS26,AT$42)),"",INDEX(TOS!$F$6:$AP$221,$BS26,AT$42)),"")</f>
        <v/>
      </c>
      <c r="AU26" s="270" t="str">
        <f>IFERROR(IF(ISBLANK(INDEX(TOS!$F$6:$AP$221,$BS26,AU$42)),"",INDEX(TOS!$F$6:$AP$221,$BS26,AU$42)),"")</f>
        <v/>
      </c>
      <c r="AV26" s="270" t="str">
        <f>IFERROR(IF(ISBLANK(INDEX(TOS!$F$6:$AP$221,$BS26,AV$42)),"",INDEX(TOS!$F$6:$AP$221,$BS26,AV$42)),"")</f>
        <v/>
      </c>
      <c r="AW26" s="270" t="str">
        <f>IFERROR(IF(ISBLANK(INDEX(TOS!$F$6:$AP$221,$BS26,AW$42)),"",INDEX(TOS!$F$6:$AP$221,$BS26,AW$42)),"")</f>
        <v/>
      </c>
      <c r="AX26" s="270" t="str">
        <f>IFERROR(IF(ISBLANK(INDEX(TOS!$F$6:$AP$221,$BS26,AX$42)),"",INDEX(TOS!$F$6:$AP$221,$BS26,AX$42)),"")</f>
        <v/>
      </c>
      <c r="AY26" s="270" t="str">
        <f>IFERROR(IF(ISBLANK(INDEX(TOS!$F$6:$AP$221,$BS26,AY$42)),"",INDEX(TOS!$F$6:$AP$221,$BS26,AY$42)),"")</f>
        <v/>
      </c>
      <c r="AZ26" s="270" t="str">
        <f>IFERROR(IF(ISBLANK(INDEX(TOS!$F$6:$AP$221,$BS26,AZ$42)),"",INDEX(TOS!$F$6:$AP$221,$BS26,AZ$42)),"")</f>
        <v/>
      </c>
      <c r="BA26" s="270" t="str">
        <f>IFERROR(IF(ISBLANK(INDEX(TOS!$F$6:$AP$221,$BS26,BA$42)),"",INDEX(TOS!$F$6:$AP$221,$BS26,BA$42)),"")</f>
        <v/>
      </c>
      <c r="BB26" s="270" t="str">
        <f>IFERROR(IF(ISBLANK(INDEX(TOS!$F$6:$AP$221,$BS26,BB$42)),"",INDEX(TOS!$F$6:$AP$221,$BS26,BB$42)),"")</f>
        <v/>
      </c>
      <c r="BC26" s="270" t="str">
        <f>IFERROR(IF(ISBLANK(INDEX(TOS!$F$6:$AP$221,$BS26,BC$42)),"",INDEX(TOS!$F$6:$AP$221,$BS26,BC$42)),"")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IF(More_Plans,MATCH($A26,Database!$CG$8:$CG$357,0),NA())</f>
        <v>#N/A</v>
      </c>
      <c r="BR26" s="118">
        <f>Locked*IFERROR((($K26-INDEX(Trends!$AA$5:$AA$8,MATCH($I26,{24,12,6,3},-1)))&lt;BR$25),0)</f>
        <v>0</v>
      </c>
      <c r="BS26" t="e">
        <f>MATCH(SUBSTITUTE(INDEX(Database!$U$8:$U$357,$BQ26),"~","~~"),TOS!$C$6:$C$221,0)</f>
        <v>#N/A</v>
      </c>
      <c r="BT26" t="e">
        <f>MATCH(INDEX(Database!$F$8:$F$357,$BQ26),REP_Info!$D$6:$D$250,0)</f>
        <v>#N/A</v>
      </c>
      <c r="BU26" t="str">
        <f>IFERROR(INDEX(Database!$CV$8:$CV$357,$BQ26),"")</f>
        <v/>
      </c>
      <c r="BV26" t="str">
        <f>""</f>
        <v/>
      </c>
      <c r="BZ26" t="str">
        <f>""</f>
        <v/>
      </c>
      <c r="CD26" t="s">
        <v>192</v>
      </c>
      <c r="CN26" t="e">
        <f>INDEX(Database!$AG$8:$BG$357,$BQ26,CN$22)</f>
        <v>#N/A</v>
      </c>
      <c r="CO26" t="e">
        <f>IF(ISBLANK(INDEX(Database!$AG$8:$BG$357,$BQ26,CO$22)),"",INDEX(Database!$AG$8:$BG$357,$BQ26,CO$22))</f>
        <v>#N/A</v>
      </c>
      <c r="CP26" t="e">
        <f>IF(ISBLANK(INDEX(Database!$AG$8:$BG$357,$BQ26,CP$22)),"",INDEX(Database!$AG$8:$BG$357,$BQ26,CP$22))</f>
        <v>#N/A</v>
      </c>
      <c r="CQ26" t="e">
        <f>IF(ISBLANK(INDEX(Database!$AG$8:$BG$357,$BQ26,CQ$22)),"",INDEX(Database!$AG$8:$BG$357,$BQ26,CQ$22))</f>
        <v>#N/A</v>
      </c>
      <c r="CR26" t="e">
        <f>IF(ISBLANK(INDEX(Database!$AG$8:$BG$357,$BQ26,CR$22)),"",INDEX(Database!$AG$8:$BG$357,$BQ26,CR$22))</f>
        <v>#N/A</v>
      </c>
      <c r="CS26" t="e">
        <f>IF(ISBLANK(INDEX(Database!$AG$8:$BG$357,$BQ26,CS$22)),"",INDEX(Database!$AG$8:$BG$357,$BQ26,CS$22))</f>
        <v>#N/A</v>
      </c>
      <c r="CT26" t="e">
        <f>IF(ISBLANK(INDEX(Database!$AG$8:$BG$357,$BQ26,CT$22)),"",INDEX(Database!$AG$8:$BG$357,$BQ26,CT$22))</f>
        <v>#N/A</v>
      </c>
      <c r="CU26" t="e">
        <f>IF(ISBLANK(INDEX(Database!$AG$8:$BG$357,$BQ26,CU$22)),"",INDEX(Database!$AG$8:$BG$357,$BQ26,CU$22))</f>
        <v>#N/A</v>
      </c>
      <c r="CV26" t="e">
        <f>IF(ISBLANK(INDEX(Database!$AG$8:$BG$357,$BQ26,CV$22)),"",INDEX(Database!$AG$8:$BG$357,$BQ26,CV$22))</f>
        <v>#N/A</v>
      </c>
      <c r="CW26" t="e">
        <f>IF(ISBLANK(INDEX(Database!$AG$8:$BG$357,$BQ26,CW$22)),"",INDEX(Database!$AG$8:$BG$357,$BQ26,CW$22))</f>
        <v>#N/A</v>
      </c>
      <c r="CX26" t="e">
        <f>IF(ISBLANK(INDEX(Database!$AG$8:$BG$357,$BQ26,CX$22)),"",INDEX(Database!$AG$8:$BG$357,$BQ26,CX$22))</f>
        <v>#N/A</v>
      </c>
      <c r="CY26" t="e">
        <f>INDEX(Database!$AG$8:$BG$357,$BQ26,CY$22)</f>
        <v>#N/A</v>
      </c>
      <c r="CZ26" t="e">
        <f>INDEX(Database!$AG$8:$BG$357,$BQ26,CZ$22)</f>
        <v>#N/A</v>
      </c>
      <c r="DA26" t="e">
        <f>INDEX(Database!$AG$8:$BG$357,$BQ26,DA$22)</f>
        <v>#N/A</v>
      </c>
      <c r="DB26" t="e">
        <f>INDEX(Database!$AG$8:$BG$357,$BQ26,DB$22)</f>
        <v>#N/A</v>
      </c>
      <c r="DC26" t="e">
        <f>INDEX(Database!$AG$8:$BG$357,$BQ26,DC$22)</f>
        <v>#N/A</v>
      </c>
      <c r="DD26" t="e">
        <f>INDEX(Database!$AG$8:$BG$357,$BQ26,DD$22)</f>
        <v>#N/A</v>
      </c>
      <c r="DE26" s="31" t="e">
        <f>INDEX(Database!$AG$8:$BG$357,$BQ26,DE$22)</f>
        <v>#N/A</v>
      </c>
      <c r="DF26" s="31" t="e">
        <f>INDEX(Database!$AG$8:$BG$357,$BQ26,DF$22)</f>
        <v>#N/A</v>
      </c>
      <c r="DG26" s="31" t="e">
        <f>INDEX(Database!$AG$8:$BG$357,$BQ26,DG$22)</f>
        <v>#N/A</v>
      </c>
      <c r="DH26" s="31" t="e">
        <f>INDEX(Database!$AG$8:$BG$357,$BQ26,DH$22)</f>
        <v>#N/A</v>
      </c>
      <c r="DI26" s="31" t="e">
        <f>INDEX(Database!$AG$8:$BG$357,$BQ26,DI$22)</f>
        <v>#N/A</v>
      </c>
      <c r="DJ26" s="5" t="e">
        <f>INDEX(Database!$AG$8:$BG$357,$BQ26,DJ$22)</f>
        <v>#N/A</v>
      </c>
      <c r="DK26" s="35" t="e">
        <f>INDEX(Database!$AG$8:$BG$357,$BQ26,DK$22)</f>
        <v>#N/A</v>
      </c>
      <c r="DL26" s="6" t="e">
        <f>INDEX(Database!$AG$8:$BG$357,$BQ26,DL$22)</f>
        <v>#N/A</v>
      </c>
      <c r="DM26" s="35" t="e">
        <f>INDEX(Database!$AG$8:$BG$357,$BQ26,DM$22)</f>
        <v>#N/A</v>
      </c>
      <c r="DN26" s="35" t="e">
        <f>INDEX(Database!$AG$8:$BG$357,$BQ26,DN$22)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306" t="str">
        <f>IF(More_Plans,IF(Locked,IF(Selected_Plan,$BZ27,$BV27),IFERROR(PROPER(INDEX(Database!$G$8:$G$357,$BQ27)),"")),"")</f>
        <v/>
      </c>
      <c r="C27" s="306"/>
      <c r="D27" s="306"/>
      <c r="E27" s="306"/>
      <c r="F27" s="306"/>
      <c r="G27" s="260" t="str">
        <f>IF(Locked,"",IFERROR(HYPERLINK(INDEX(Database!$Y$8:$Y$357,$BQ27),"EFL"),""))</f>
        <v/>
      </c>
      <c r="H27" s="260" t="str">
        <f>IF(Locked,"",IFERROR(HYPERLINK(INDEX(Database!$U$8:$U$357,$BQ27),"TOS"),""))</f>
        <v/>
      </c>
      <c r="I27" s="299" t="str">
        <f>IFERROR(INDEX(Database!$Q$8:$Q$357,$BQ27),"")</f>
        <v/>
      </c>
      <c r="J27" s="299"/>
      <c r="K27" s="195" t="str">
        <f>IFERROR(IF(All_In,INDEX(Database!$BQ$8:$BQ$357,$BQ27),INDEX(Database!$BR$8:$BR$357,$BQ27)),"")</f>
        <v/>
      </c>
      <c r="L27" s="194" t="str">
        <f>IFERROR(INDEX(Database!$BO$8:$BO$357,$BQ27),"")</f>
        <v/>
      </c>
      <c r="M27" s="243" t="str">
        <f>IFERROR(INDEX(Database!$CX$8:$CX$357,$BQ27),"")</f>
        <v/>
      </c>
      <c r="N27" s="201" t="str">
        <f>IFERROR(INDEX(Database!$BH$8:$BH$357,$BQ27),"")</f>
        <v/>
      </c>
      <c r="O27" s="179"/>
      <c r="P27" s="179" t="str">
        <f>IFERROR(INDEX(Database!$P$8:$P$357,$BQ27),"")</f>
        <v/>
      </c>
      <c r="Q27" s="240" t="str">
        <f>IFERROR(INDEX(Database!$CR$8:$CR$357,$BQ27),"")</f>
        <v/>
      </c>
      <c r="R27" s="180" t="str">
        <f>IFERROR(INDEX(Database!$AC$8:$AC$357,$BQ27),"")</f>
        <v/>
      </c>
      <c r="S27" s="291" t="str" cm="1">
        <f t="array" ref="S27">IF(More_Plans,IF(Locked,$CD27,IF(ISNUMBER($BT27),INDEX(REP_Info!$E$6:$E$250,$BT27),"")),"")</f>
        <v/>
      </c>
      <c r="T27" s="291"/>
      <c r="U27" s="212" t="str">
        <f>IF(More_Plans,IF(ISNUMBER($BT27),YEAR(INDEX(REP_Info!$J$6:$J$250,$BT27)),""),"")</f>
        <v/>
      </c>
      <c r="V27" s="199" t="str">
        <f>IF(More_Plans,IF(ISNUMBER($BT27),ROUND(INDEX(REP_Info!$G$6:$G$250,$BT27)/1000,0)&amp;"k",""),"")</f>
        <v/>
      </c>
      <c r="W27" s="181" t="str">
        <f>IFERROR(INDEX(Database!$BJ$8:$BJ$357,$BQ27),"")</f>
        <v/>
      </c>
      <c r="X27" s="290"/>
      <c r="Y27" s="272" t="str">
        <f>IFERROR(IF(ISBLANK(INDEX(TOS!$F$6:$AP$221,$BS27,Y$42)),"",INDEX(TOS!$F$6:$AP$221,$BS27,Y$42)),"")</f>
        <v/>
      </c>
      <c r="Z27" s="270" t="str">
        <f>IFERROR(IF(ISBLANK(INDEX(TOS!$F$6:$AP$221,$BS27,Z$42)),"",INDEX(TOS!$F$6:$AP$221,$BS27,Z$42)),"")</f>
        <v/>
      </c>
      <c r="AA27" s="270" t="str">
        <f>IFERROR(IF(ISBLANK(INDEX(TOS!$F$6:$AP$221,$BS27,AA$42)),"",INDEX(TOS!$F$6:$AP$221,$BS27,AA$42)),"")</f>
        <v/>
      </c>
      <c r="AB27" s="270" t="str">
        <f>IFERROR(IF(ISBLANK(INDEX(TOS!$F$6:$AP$221,$BS27,AB$42)),"",INDEX(TOS!$F$6:$AP$221,$BS27,AB$42)),"")</f>
        <v/>
      </c>
      <c r="AC27" s="270" t="str">
        <f>IFERROR(IF(ISBLANK(INDEX(TOS!$F$6:$AP$221,$BS27,AC$42)),"",INDEX(TOS!$F$6:$AP$221,$BS27,AC$42)),"")</f>
        <v/>
      </c>
      <c r="AD27" s="270" t="str">
        <f>IFERROR(IF(ISBLANK(INDEX(TOS!$F$6:$AP$221,$BS27,AD$42)),"",INDEX(TOS!$F$6:$AP$221,$BS27,AD$42)),"")</f>
        <v/>
      </c>
      <c r="AE27" s="270" t="str">
        <f>IFERROR(IF(ISBLANK(INDEX(TOS!$F$6:$AP$221,$BS27,AE$42)),"",INDEX(TOS!$F$6:$AP$221,$BS27,AE$42)),"")</f>
        <v/>
      </c>
      <c r="AF27" s="270" t="str">
        <f>IFERROR(IF(ISBLANK(INDEX(TOS!$F$6:$AP$221,$BS27,AF$42)),"",INDEX(TOS!$F$6:$AP$221,$BS27,AF$42)),"")</f>
        <v/>
      </c>
      <c r="AG27" s="270" t="str">
        <f>IFERROR(IF(ISBLANK(INDEX(TOS!$F$6:$AP$221,$BS27,AG$42)),"",INDEX(TOS!$F$6:$AP$221,$BS27,AG$42)),"")</f>
        <v/>
      </c>
      <c r="AH27" s="270" t="str">
        <f>IFERROR(IF(ISBLANK(INDEX(TOS!$F$6:$AP$221,$BS27,AH$42)),"",INDEX(TOS!$F$6:$AP$221,$BS27,AH$42)),"")</f>
        <v/>
      </c>
      <c r="AI27" s="270" t="str">
        <f>IFERROR(IF(ISBLANK(INDEX(TOS!$F$6:$AP$221,$BS27,AI$42)),"",INDEX(TOS!$F$6:$AP$221,$BS27,AI$42)),"")</f>
        <v/>
      </c>
      <c r="AJ27" s="270" t="str">
        <f>IFERROR(IF(ISBLANK(INDEX(TOS!$F$6:$AP$221,$BS27,AJ$42)),"",INDEX(TOS!$F$6:$AP$221,$BS27,AJ$42)),"")</f>
        <v/>
      </c>
      <c r="AK27" s="270" t="str">
        <f>IFERROR(IF(ISBLANK(INDEX(TOS!$F$6:$AP$221,$BS27,AK$42)),"",INDEX(TOS!$F$6:$AP$221,$BS27,AK$42)),"")</f>
        <v/>
      </c>
      <c r="AL27" s="270" t="str">
        <f>IFERROR(IF(ISBLANK(INDEX(TOS!$F$6:$AP$221,$BS27,AL$42)),"",INDEX(TOS!$F$6:$AP$221,$BS27,AL$42)),"")</f>
        <v/>
      </c>
      <c r="AM27" s="270" t="str">
        <f>IFERROR(IF(ISBLANK(INDEX(TOS!$F$6:$AP$221,$BS27,AM$42)),"",INDEX(TOS!$F$6:$AP$221,$BS27,AM$42)),"")</f>
        <v/>
      </c>
      <c r="AN27" s="270" t="str">
        <f>IFERROR(IF(ISBLANK(INDEX(TOS!$F$6:$AP$221,$BS27,AN$42)),"",INDEX(TOS!$F$6:$AP$221,$BS27,AN$42)),"")</f>
        <v/>
      </c>
      <c r="AO27" s="270" t="str">
        <f>IFERROR(IF(ISBLANK(INDEX(TOS!$F$6:$AP$221,$BS27,AO$42)),"",INDEX(TOS!$F$6:$AP$221,$BS27,AO$42)),"")</f>
        <v/>
      </c>
      <c r="AP27" s="270" t="str">
        <f>IFERROR(IF(ISBLANK(INDEX(TOS!$F$6:$AP$221,$BS27,AP$42)),"",INDEX(TOS!$F$6:$AP$221,$BS27,AP$42)),"")</f>
        <v/>
      </c>
      <c r="AQ27" s="270" t="str">
        <f>IFERROR(IF(ISBLANK(INDEX(TOS!$F$6:$AP$221,$BS27,AQ$42)),"",INDEX(TOS!$F$6:$AP$221,$BS27,AQ$42)),"")</f>
        <v/>
      </c>
      <c r="AR27" s="270" t="str">
        <f>IFERROR(IF(ISBLANK(INDEX(TOS!$F$6:$AP$221,$BS27,AR$42)),"",INDEX(TOS!$F$6:$AP$221,$BS27,AR$42)),"")</f>
        <v/>
      </c>
      <c r="AS27" s="270" t="str">
        <f>IFERROR(IF(ISBLANK(INDEX(TOS!$F$6:$AP$221,$BS27,AS$42)),"",INDEX(TOS!$F$6:$AP$221,$BS27,AS$42)),"")</f>
        <v/>
      </c>
      <c r="AT27" s="270" t="str">
        <f>IFERROR(IF(ISBLANK(INDEX(TOS!$F$6:$AP$221,$BS27,AT$42)),"",INDEX(TOS!$F$6:$AP$221,$BS27,AT$42)),"")</f>
        <v/>
      </c>
      <c r="AU27" s="270" t="str">
        <f>IFERROR(IF(ISBLANK(INDEX(TOS!$F$6:$AP$221,$BS27,AU$42)),"",INDEX(TOS!$F$6:$AP$221,$BS27,AU$42)),"")</f>
        <v/>
      </c>
      <c r="AV27" s="270" t="str">
        <f>IFERROR(IF(ISBLANK(INDEX(TOS!$F$6:$AP$221,$BS27,AV$42)),"",INDEX(TOS!$F$6:$AP$221,$BS27,AV$42)),"")</f>
        <v/>
      </c>
      <c r="AW27" s="270" t="str">
        <f>IFERROR(IF(ISBLANK(INDEX(TOS!$F$6:$AP$221,$BS27,AW$42)),"",INDEX(TOS!$F$6:$AP$221,$BS27,AW$42)),"")</f>
        <v/>
      </c>
      <c r="AX27" s="270" t="str">
        <f>IFERROR(IF(ISBLANK(INDEX(TOS!$F$6:$AP$221,$BS27,AX$42)),"",INDEX(TOS!$F$6:$AP$221,$BS27,AX$42)),"")</f>
        <v/>
      </c>
      <c r="AY27" s="270" t="str">
        <f>IFERROR(IF(ISBLANK(INDEX(TOS!$F$6:$AP$221,$BS27,AY$42)),"",INDEX(TOS!$F$6:$AP$221,$BS27,AY$42)),"")</f>
        <v/>
      </c>
      <c r="AZ27" s="270" t="str">
        <f>IFERROR(IF(ISBLANK(INDEX(TOS!$F$6:$AP$221,$BS27,AZ$42)),"",INDEX(TOS!$F$6:$AP$221,$BS27,AZ$42)),"")</f>
        <v/>
      </c>
      <c r="BA27" s="270" t="str">
        <f>IFERROR(IF(ISBLANK(INDEX(TOS!$F$6:$AP$221,$BS27,BA$42)),"",INDEX(TOS!$F$6:$AP$221,$BS27,BA$42)),"")</f>
        <v/>
      </c>
      <c r="BB27" s="270" t="str">
        <f>IFERROR(IF(ISBLANK(INDEX(TOS!$F$6:$AP$221,$BS27,BB$42)),"",INDEX(TOS!$F$6:$AP$221,$BS27,BB$42)),"")</f>
        <v/>
      </c>
      <c r="BC27" s="270" t="str">
        <f>IFERROR(IF(ISBLANK(INDEX(TOS!$F$6:$AP$221,$BS27,BC$42)),"",INDEX(TOS!$F$6:$AP$221,$BS27,BC$42)),"")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IF(More_Plans,MATCH($A27,Database!$CG$8:$CG$357,0),NA())</f>
        <v>#N/A</v>
      </c>
      <c r="BR27" s="118">
        <f>Locked*IFERROR((($K27-INDEX(Trends!$AA$5:$AA$8,MATCH($I27,{24,12,6,3},-1)))&lt;BR$25),0)</f>
        <v>0</v>
      </c>
      <c r="BS27" t="e">
        <f>MATCH(SUBSTITUTE(INDEX(Database!$U$8:$U$357,$BQ27),"~","~~"),TOS!$C$6:$C$221,0)</f>
        <v>#N/A</v>
      </c>
      <c r="BT27" t="e">
        <f>MATCH(INDEX(Database!$F$8:$F$357,$BQ27),REP_Info!$D$6:$D$250,0)</f>
        <v>#N/A</v>
      </c>
      <c r="BU27" t="str">
        <f>IFERROR(INDEX(Database!$CV$8:$CV$357,$BQ27),"")</f>
        <v/>
      </c>
      <c r="BV27" t="s">
        <v>193</v>
      </c>
      <c r="BZ27" t="str">
        <f>""</f>
        <v/>
      </c>
      <c r="CD27" t="s">
        <v>194</v>
      </c>
      <c r="CN27" t="e">
        <f>INDEX(Database!$AG$8:$BG$357,$BQ27,CN$22)</f>
        <v>#N/A</v>
      </c>
      <c r="CO27" t="e">
        <f>IF(ISBLANK(INDEX(Database!$AG$8:$BG$357,$BQ27,CO$22)),"",INDEX(Database!$AG$8:$BG$357,$BQ27,CO$22))</f>
        <v>#N/A</v>
      </c>
      <c r="CP27" t="e">
        <f>IF(ISBLANK(INDEX(Database!$AG$8:$BG$357,$BQ27,CP$22)),"",INDEX(Database!$AG$8:$BG$357,$BQ27,CP$22))</f>
        <v>#N/A</v>
      </c>
      <c r="CQ27" t="e">
        <f>IF(ISBLANK(INDEX(Database!$AG$8:$BG$357,$BQ27,CQ$22)),"",INDEX(Database!$AG$8:$BG$357,$BQ27,CQ$22))</f>
        <v>#N/A</v>
      </c>
      <c r="CR27" t="e">
        <f>IF(ISBLANK(INDEX(Database!$AG$8:$BG$357,$BQ27,CR$22)),"",INDEX(Database!$AG$8:$BG$357,$BQ27,CR$22))</f>
        <v>#N/A</v>
      </c>
      <c r="CS27" t="e">
        <f>IF(ISBLANK(INDEX(Database!$AG$8:$BG$357,$BQ27,CS$22)),"",INDEX(Database!$AG$8:$BG$357,$BQ27,CS$22))</f>
        <v>#N/A</v>
      </c>
      <c r="CT27" t="e">
        <f>IF(ISBLANK(INDEX(Database!$AG$8:$BG$357,$BQ27,CT$22)),"",INDEX(Database!$AG$8:$BG$357,$BQ27,CT$22))</f>
        <v>#N/A</v>
      </c>
      <c r="CU27" t="e">
        <f>IF(ISBLANK(INDEX(Database!$AG$8:$BG$357,$BQ27,CU$22)),"",INDEX(Database!$AG$8:$BG$357,$BQ27,CU$22))</f>
        <v>#N/A</v>
      </c>
      <c r="CV27" t="e">
        <f>IF(ISBLANK(INDEX(Database!$AG$8:$BG$357,$BQ27,CV$22)),"",INDEX(Database!$AG$8:$BG$357,$BQ27,CV$22))</f>
        <v>#N/A</v>
      </c>
      <c r="CW27" t="e">
        <f>IF(ISBLANK(INDEX(Database!$AG$8:$BG$357,$BQ27,CW$22)),"",INDEX(Database!$AG$8:$BG$357,$BQ27,CW$22))</f>
        <v>#N/A</v>
      </c>
      <c r="CX27" t="e">
        <f>IF(ISBLANK(INDEX(Database!$AG$8:$BG$357,$BQ27,CX$22)),"",INDEX(Database!$AG$8:$BG$357,$BQ27,CX$22))</f>
        <v>#N/A</v>
      </c>
      <c r="CY27" t="e">
        <f>INDEX(Database!$AG$8:$BG$357,$BQ27,CY$22)</f>
        <v>#N/A</v>
      </c>
      <c r="CZ27" t="e">
        <f>INDEX(Database!$AG$8:$BG$357,$BQ27,CZ$22)</f>
        <v>#N/A</v>
      </c>
      <c r="DA27" t="e">
        <f>INDEX(Database!$AG$8:$BG$357,$BQ27,DA$22)</f>
        <v>#N/A</v>
      </c>
      <c r="DB27" t="e">
        <f>INDEX(Database!$AG$8:$BG$357,$BQ27,DB$22)</f>
        <v>#N/A</v>
      </c>
      <c r="DC27" t="e">
        <f>INDEX(Database!$AG$8:$BG$357,$BQ27,DC$22)</f>
        <v>#N/A</v>
      </c>
      <c r="DD27" t="e">
        <f>INDEX(Database!$AG$8:$BG$357,$BQ27,DD$22)</f>
        <v>#N/A</v>
      </c>
      <c r="DE27" s="31" t="e">
        <f>INDEX(Database!$AG$8:$BG$357,$BQ27,DE$22)</f>
        <v>#N/A</v>
      </c>
      <c r="DF27" s="31" t="e">
        <f>INDEX(Database!$AG$8:$BG$357,$BQ27,DF$22)</f>
        <v>#N/A</v>
      </c>
      <c r="DG27" s="31" t="e">
        <f>INDEX(Database!$AG$8:$BG$357,$BQ27,DG$22)</f>
        <v>#N/A</v>
      </c>
      <c r="DH27" s="31" t="e">
        <f>INDEX(Database!$AG$8:$BG$357,$BQ27,DH$22)</f>
        <v>#N/A</v>
      </c>
      <c r="DI27" s="31" t="e">
        <f>INDEX(Database!$AG$8:$BG$357,$BQ27,DI$22)</f>
        <v>#N/A</v>
      </c>
      <c r="DJ27" s="5" t="e">
        <f>INDEX(Database!$AG$8:$BG$357,$BQ27,DJ$22)</f>
        <v>#N/A</v>
      </c>
      <c r="DK27" s="35" t="e">
        <f>INDEX(Database!$AG$8:$BG$357,$BQ27,DK$22)</f>
        <v>#N/A</v>
      </c>
      <c r="DL27" s="6" t="e">
        <f>INDEX(Database!$AG$8:$BG$357,$BQ27,DL$22)</f>
        <v>#N/A</v>
      </c>
      <c r="DM27" s="35" t="e">
        <f>INDEX(Database!$AG$8:$BG$357,$BQ27,DM$22)</f>
        <v>#N/A</v>
      </c>
      <c r="DN27" s="35" t="e">
        <f>INDEX(Database!$AG$8:$BG$357,$BQ27,DN$22)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306" t="str">
        <f>IF(More_Plans,IF(Locked,IF(Selected_Plan,$BZ28,$BV28),IFERROR(PROPER(INDEX(Database!$G$8:$G$357,$BQ28)),"")),"")</f>
        <v/>
      </c>
      <c r="C28" s="306"/>
      <c r="D28" s="306"/>
      <c r="E28" s="306"/>
      <c r="F28" s="306"/>
      <c r="G28" s="260" t="str">
        <f>IF(Locked,"",IFERROR(HYPERLINK(INDEX(Database!$Y$8:$Y$357,$BQ28),"EFL"),""))</f>
        <v/>
      </c>
      <c r="H28" s="260" t="str">
        <f>IF(Locked,"",IFERROR(HYPERLINK(INDEX(Database!$U$8:$U$357,$BQ28),"TOS"),""))</f>
        <v/>
      </c>
      <c r="I28" s="299" t="str">
        <f>IFERROR(INDEX(Database!$Q$8:$Q$357,$BQ28),"")</f>
        <v/>
      </c>
      <c r="J28" s="299"/>
      <c r="K28" s="195" t="str">
        <f>IFERROR(IF(All_In,INDEX(Database!$BQ$8:$BQ$357,$BQ28),INDEX(Database!$BR$8:$BR$357,$BQ28)),"")</f>
        <v/>
      </c>
      <c r="L28" s="194" t="str">
        <f>IFERROR(INDEX(Database!$BO$8:$BO$357,$BQ28),"")</f>
        <v/>
      </c>
      <c r="M28" s="243" t="str">
        <f>IFERROR(INDEX(Database!$CX$8:$CX$357,$BQ28),"")</f>
        <v/>
      </c>
      <c r="N28" s="201" t="str">
        <f>IFERROR(INDEX(Database!$BH$8:$BH$357,$BQ28),"")</f>
        <v/>
      </c>
      <c r="O28" s="179"/>
      <c r="P28" s="179" t="str">
        <f>IFERROR(INDEX(Database!$P$8:$P$357,$BQ28),"")</f>
        <v/>
      </c>
      <c r="Q28" s="240" t="str">
        <f>IFERROR(INDEX(Database!$CR$8:$CR$357,$BQ28),"")</f>
        <v/>
      </c>
      <c r="R28" s="180" t="str">
        <f>IFERROR(INDEX(Database!$AC$8:$AC$357,$BQ28),"")</f>
        <v/>
      </c>
      <c r="S28" s="291" t="str" cm="1">
        <f t="array" ref="S28">IF(More_Plans,IF(Locked,$CD28,IF(ISNUMBER($BT28),INDEX(REP_Info!$E$6:$E$250,$BT28),"")),"")</f>
        <v/>
      </c>
      <c r="T28" s="291"/>
      <c r="U28" s="212" t="str">
        <f>IF(More_Plans,IF(ISNUMBER($BT28),YEAR(INDEX(REP_Info!$J$6:$J$250,$BT28)),""),"")</f>
        <v/>
      </c>
      <c r="V28" s="199" t="str">
        <f>IF(More_Plans,IF(ISNUMBER($BT28),ROUND(INDEX(REP_Info!$G$6:$G$250,$BT28)/1000,0)&amp;"k",""),"")</f>
        <v/>
      </c>
      <c r="W28" s="181" t="str">
        <f>IFERROR(INDEX(Database!$BJ$8:$BJ$357,$BQ28),"")</f>
        <v/>
      </c>
      <c r="X28" s="290"/>
      <c r="Y28" s="272" t="str">
        <f>IFERROR(IF(ISBLANK(INDEX(TOS!$F$6:$AP$221,$BS28,Y$42)),"",INDEX(TOS!$F$6:$AP$221,$BS28,Y$42)),"")</f>
        <v/>
      </c>
      <c r="Z28" s="270" t="str">
        <f>IFERROR(IF(ISBLANK(INDEX(TOS!$F$6:$AP$221,$BS28,Z$42)),"",INDEX(TOS!$F$6:$AP$221,$BS28,Z$42)),"")</f>
        <v/>
      </c>
      <c r="AA28" s="270" t="str">
        <f>IFERROR(IF(ISBLANK(INDEX(TOS!$F$6:$AP$221,$BS28,AA$42)),"",INDEX(TOS!$F$6:$AP$221,$BS28,AA$42)),"")</f>
        <v/>
      </c>
      <c r="AB28" s="270" t="str">
        <f>IFERROR(IF(ISBLANK(INDEX(TOS!$F$6:$AP$221,$BS28,AB$42)),"",INDEX(TOS!$F$6:$AP$221,$BS28,AB$42)),"")</f>
        <v/>
      </c>
      <c r="AC28" s="270" t="str">
        <f>IFERROR(IF(ISBLANK(INDEX(TOS!$F$6:$AP$221,$BS28,AC$42)),"",INDEX(TOS!$F$6:$AP$221,$BS28,AC$42)),"")</f>
        <v/>
      </c>
      <c r="AD28" s="270" t="str">
        <f>IFERROR(IF(ISBLANK(INDEX(TOS!$F$6:$AP$221,$BS28,AD$42)),"",INDEX(TOS!$F$6:$AP$221,$BS28,AD$42)),"")</f>
        <v/>
      </c>
      <c r="AE28" s="270" t="str">
        <f>IFERROR(IF(ISBLANK(INDEX(TOS!$F$6:$AP$221,$BS28,AE$42)),"",INDEX(TOS!$F$6:$AP$221,$BS28,AE$42)),"")</f>
        <v/>
      </c>
      <c r="AF28" s="270" t="str">
        <f>IFERROR(IF(ISBLANK(INDEX(TOS!$F$6:$AP$221,$BS28,AF$42)),"",INDEX(TOS!$F$6:$AP$221,$BS28,AF$42)),"")</f>
        <v/>
      </c>
      <c r="AG28" s="270" t="str">
        <f>IFERROR(IF(ISBLANK(INDEX(TOS!$F$6:$AP$221,$BS28,AG$42)),"",INDEX(TOS!$F$6:$AP$221,$BS28,AG$42)),"")</f>
        <v/>
      </c>
      <c r="AH28" s="270" t="str">
        <f>IFERROR(IF(ISBLANK(INDEX(TOS!$F$6:$AP$221,$BS28,AH$42)),"",INDEX(TOS!$F$6:$AP$221,$BS28,AH$42)),"")</f>
        <v/>
      </c>
      <c r="AI28" s="270" t="str">
        <f>IFERROR(IF(ISBLANK(INDEX(TOS!$F$6:$AP$221,$BS28,AI$42)),"",INDEX(TOS!$F$6:$AP$221,$BS28,AI$42)),"")</f>
        <v/>
      </c>
      <c r="AJ28" s="270" t="str">
        <f>IFERROR(IF(ISBLANK(INDEX(TOS!$F$6:$AP$221,$BS28,AJ$42)),"",INDEX(TOS!$F$6:$AP$221,$BS28,AJ$42)),"")</f>
        <v/>
      </c>
      <c r="AK28" s="270" t="str">
        <f>IFERROR(IF(ISBLANK(INDEX(TOS!$F$6:$AP$221,$BS28,AK$42)),"",INDEX(TOS!$F$6:$AP$221,$BS28,AK$42)),"")</f>
        <v/>
      </c>
      <c r="AL28" s="270" t="str">
        <f>IFERROR(IF(ISBLANK(INDEX(TOS!$F$6:$AP$221,$BS28,AL$42)),"",INDEX(TOS!$F$6:$AP$221,$BS28,AL$42)),"")</f>
        <v/>
      </c>
      <c r="AM28" s="270" t="str">
        <f>IFERROR(IF(ISBLANK(INDEX(TOS!$F$6:$AP$221,$BS28,AM$42)),"",INDEX(TOS!$F$6:$AP$221,$BS28,AM$42)),"")</f>
        <v/>
      </c>
      <c r="AN28" s="270" t="str">
        <f>IFERROR(IF(ISBLANK(INDEX(TOS!$F$6:$AP$221,$BS28,AN$42)),"",INDEX(TOS!$F$6:$AP$221,$BS28,AN$42)),"")</f>
        <v/>
      </c>
      <c r="AO28" s="270" t="str">
        <f>IFERROR(IF(ISBLANK(INDEX(TOS!$F$6:$AP$221,$BS28,AO$42)),"",INDEX(TOS!$F$6:$AP$221,$BS28,AO$42)),"")</f>
        <v/>
      </c>
      <c r="AP28" s="270" t="str">
        <f>IFERROR(IF(ISBLANK(INDEX(TOS!$F$6:$AP$221,$BS28,AP$42)),"",INDEX(TOS!$F$6:$AP$221,$BS28,AP$42)),"")</f>
        <v/>
      </c>
      <c r="AQ28" s="270" t="str">
        <f>IFERROR(IF(ISBLANK(INDEX(TOS!$F$6:$AP$221,$BS28,AQ$42)),"",INDEX(TOS!$F$6:$AP$221,$BS28,AQ$42)),"")</f>
        <v/>
      </c>
      <c r="AR28" s="270" t="str">
        <f>IFERROR(IF(ISBLANK(INDEX(TOS!$F$6:$AP$221,$BS28,AR$42)),"",INDEX(TOS!$F$6:$AP$221,$BS28,AR$42)),"")</f>
        <v/>
      </c>
      <c r="AS28" s="270" t="str">
        <f>IFERROR(IF(ISBLANK(INDEX(TOS!$F$6:$AP$221,$BS28,AS$42)),"",INDEX(TOS!$F$6:$AP$221,$BS28,AS$42)),"")</f>
        <v/>
      </c>
      <c r="AT28" s="270" t="str">
        <f>IFERROR(IF(ISBLANK(INDEX(TOS!$F$6:$AP$221,$BS28,AT$42)),"",INDEX(TOS!$F$6:$AP$221,$BS28,AT$42)),"")</f>
        <v/>
      </c>
      <c r="AU28" s="270" t="str">
        <f>IFERROR(IF(ISBLANK(INDEX(TOS!$F$6:$AP$221,$BS28,AU$42)),"",INDEX(TOS!$F$6:$AP$221,$BS28,AU$42)),"")</f>
        <v/>
      </c>
      <c r="AV28" s="270" t="str">
        <f>IFERROR(IF(ISBLANK(INDEX(TOS!$F$6:$AP$221,$BS28,AV$42)),"",INDEX(TOS!$F$6:$AP$221,$BS28,AV$42)),"")</f>
        <v/>
      </c>
      <c r="AW28" s="270" t="str">
        <f>IFERROR(IF(ISBLANK(INDEX(TOS!$F$6:$AP$221,$BS28,AW$42)),"",INDEX(TOS!$F$6:$AP$221,$BS28,AW$42)),"")</f>
        <v/>
      </c>
      <c r="AX28" s="270" t="str">
        <f>IFERROR(IF(ISBLANK(INDEX(TOS!$F$6:$AP$221,$BS28,AX$42)),"",INDEX(TOS!$F$6:$AP$221,$BS28,AX$42)),"")</f>
        <v/>
      </c>
      <c r="AY28" s="270" t="str">
        <f>IFERROR(IF(ISBLANK(INDEX(TOS!$F$6:$AP$221,$BS28,AY$42)),"",INDEX(TOS!$F$6:$AP$221,$BS28,AY$42)),"")</f>
        <v/>
      </c>
      <c r="AZ28" s="270" t="str">
        <f>IFERROR(IF(ISBLANK(INDEX(TOS!$F$6:$AP$221,$BS28,AZ$42)),"",INDEX(TOS!$F$6:$AP$221,$BS28,AZ$42)),"")</f>
        <v/>
      </c>
      <c r="BA28" s="270" t="str">
        <f>IFERROR(IF(ISBLANK(INDEX(TOS!$F$6:$AP$221,$BS28,BA$42)),"",INDEX(TOS!$F$6:$AP$221,$BS28,BA$42)),"")</f>
        <v/>
      </c>
      <c r="BB28" s="270" t="str">
        <f>IFERROR(IF(ISBLANK(INDEX(TOS!$F$6:$AP$221,$BS28,BB$42)),"",INDEX(TOS!$F$6:$AP$221,$BS28,BB$42)),"")</f>
        <v/>
      </c>
      <c r="BC28" s="270" t="str">
        <f>IFERROR(IF(ISBLANK(INDEX(TOS!$F$6:$AP$221,$BS28,BC$42)),"",INDEX(TOS!$F$6:$AP$221,$BS28,BC$42)),"")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IF(More_Plans,MATCH($A28,Database!$CG$8:$CG$357,0),NA())</f>
        <v>#N/A</v>
      </c>
      <c r="BR28" s="118">
        <f>Locked*IFERROR((($K28-INDEX(Trends!$AA$5:$AA$8,MATCH($I28,{24,12,6,3},-1)))&lt;BR$25),0)</f>
        <v>0</v>
      </c>
      <c r="BS28" t="e">
        <f>MATCH(SUBSTITUTE(INDEX(Database!$U$8:$U$357,$BQ28),"~","~~"),TOS!$C$6:$C$221,0)</f>
        <v>#N/A</v>
      </c>
      <c r="BT28" t="e">
        <f>MATCH(INDEX(Database!$F$8:$F$357,$BQ28),REP_Info!$D$6:$D$250,0)</f>
        <v>#N/A</v>
      </c>
      <c r="BU28" t="str">
        <f>IFERROR(INDEX(Database!$CV$8:$CV$357,$BQ28),"")</f>
        <v/>
      </c>
      <c r="BV28" t="s">
        <v>197</v>
      </c>
      <c r="BZ28" t="str">
        <f>""</f>
        <v/>
      </c>
      <c r="CD28" t="s">
        <v>198</v>
      </c>
      <c r="CN28" t="e">
        <f>INDEX(Database!$AG$8:$BG$357,$BQ28,CN$22)</f>
        <v>#N/A</v>
      </c>
      <c r="CO28" t="e">
        <f>IF(ISBLANK(INDEX(Database!$AG$8:$BG$357,$BQ28,CO$22)),"",INDEX(Database!$AG$8:$BG$357,$BQ28,CO$22))</f>
        <v>#N/A</v>
      </c>
      <c r="CP28" t="e">
        <f>IF(ISBLANK(INDEX(Database!$AG$8:$BG$357,$BQ28,CP$22)),"",INDEX(Database!$AG$8:$BG$357,$BQ28,CP$22))</f>
        <v>#N/A</v>
      </c>
      <c r="CQ28" t="e">
        <f>IF(ISBLANK(INDEX(Database!$AG$8:$BG$357,$BQ28,CQ$22)),"",INDEX(Database!$AG$8:$BG$357,$BQ28,CQ$22))</f>
        <v>#N/A</v>
      </c>
      <c r="CR28" t="e">
        <f>IF(ISBLANK(INDEX(Database!$AG$8:$BG$357,$BQ28,CR$22)),"",INDEX(Database!$AG$8:$BG$357,$BQ28,CR$22))</f>
        <v>#N/A</v>
      </c>
      <c r="CS28" t="e">
        <f>IF(ISBLANK(INDEX(Database!$AG$8:$BG$357,$BQ28,CS$22)),"",INDEX(Database!$AG$8:$BG$357,$BQ28,CS$22))</f>
        <v>#N/A</v>
      </c>
      <c r="CT28" t="e">
        <f>IF(ISBLANK(INDEX(Database!$AG$8:$BG$357,$BQ28,CT$22)),"",INDEX(Database!$AG$8:$BG$357,$BQ28,CT$22))</f>
        <v>#N/A</v>
      </c>
      <c r="CU28" t="e">
        <f>IF(ISBLANK(INDEX(Database!$AG$8:$BG$357,$BQ28,CU$22)),"",INDEX(Database!$AG$8:$BG$357,$BQ28,CU$22))</f>
        <v>#N/A</v>
      </c>
      <c r="CV28" t="e">
        <f>IF(ISBLANK(INDEX(Database!$AG$8:$BG$357,$BQ28,CV$22)),"",INDEX(Database!$AG$8:$BG$357,$BQ28,CV$22))</f>
        <v>#N/A</v>
      </c>
      <c r="CW28" t="e">
        <f>IF(ISBLANK(INDEX(Database!$AG$8:$BG$357,$BQ28,CW$22)),"",INDEX(Database!$AG$8:$BG$357,$BQ28,CW$22))</f>
        <v>#N/A</v>
      </c>
      <c r="CX28" t="e">
        <f>IF(ISBLANK(INDEX(Database!$AG$8:$BG$357,$BQ28,CX$22)),"",INDEX(Database!$AG$8:$BG$357,$BQ28,CX$22))</f>
        <v>#N/A</v>
      </c>
      <c r="CY28" t="e">
        <f>INDEX(Database!$AG$8:$BG$357,$BQ28,CY$22)</f>
        <v>#N/A</v>
      </c>
      <c r="CZ28" t="e">
        <f>INDEX(Database!$AG$8:$BG$357,$BQ28,CZ$22)</f>
        <v>#N/A</v>
      </c>
      <c r="DA28" t="e">
        <f>INDEX(Database!$AG$8:$BG$357,$BQ28,DA$22)</f>
        <v>#N/A</v>
      </c>
      <c r="DB28" t="e">
        <f>INDEX(Database!$AG$8:$BG$357,$BQ28,DB$22)</f>
        <v>#N/A</v>
      </c>
      <c r="DC28" t="e">
        <f>INDEX(Database!$AG$8:$BG$357,$BQ28,DC$22)</f>
        <v>#N/A</v>
      </c>
      <c r="DD28" t="e">
        <f>INDEX(Database!$AG$8:$BG$357,$BQ28,DD$22)</f>
        <v>#N/A</v>
      </c>
      <c r="DE28" s="31" t="e">
        <f>INDEX(Database!$AG$8:$BG$357,$BQ28,DE$22)</f>
        <v>#N/A</v>
      </c>
      <c r="DF28" s="31" t="e">
        <f>INDEX(Database!$AG$8:$BG$357,$BQ28,DF$22)</f>
        <v>#N/A</v>
      </c>
      <c r="DG28" s="31" t="e">
        <f>INDEX(Database!$AG$8:$BG$357,$BQ28,DG$22)</f>
        <v>#N/A</v>
      </c>
      <c r="DH28" s="31" t="e">
        <f>INDEX(Database!$AG$8:$BG$357,$BQ28,DH$22)</f>
        <v>#N/A</v>
      </c>
      <c r="DI28" s="31" t="e">
        <f>INDEX(Database!$AG$8:$BG$357,$BQ28,DI$22)</f>
        <v>#N/A</v>
      </c>
      <c r="DJ28" s="5" t="e">
        <f>INDEX(Database!$AG$8:$BG$357,$BQ28,DJ$22)</f>
        <v>#N/A</v>
      </c>
      <c r="DK28" s="35" t="e">
        <f>INDEX(Database!$AG$8:$BG$357,$BQ28,DK$22)</f>
        <v>#N/A</v>
      </c>
      <c r="DL28" s="6" t="e">
        <f>INDEX(Database!$AG$8:$BG$357,$BQ28,DL$22)</f>
        <v>#N/A</v>
      </c>
      <c r="DM28" s="35" t="e">
        <f>INDEX(Database!$AG$8:$BG$357,$BQ28,DM$22)</f>
        <v>#N/A</v>
      </c>
      <c r="DN28" s="35" t="e">
        <f>INDEX(Database!$AG$8:$BG$357,$BQ28,DN$22)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306" t="str">
        <f>IF(More_Plans,IF(Locked,IF(Selected_Plan,$BZ29,$BV29),IFERROR(PROPER(INDEX(Database!$G$8:$G$357,$BQ29)),"")),"")</f>
        <v/>
      </c>
      <c r="C29" s="306"/>
      <c r="D29" s="306"/>
      <c r="E29" s="306"/>
      <c r="F29" s="306"/>
      <c r="G29" s="260" t="str">
        <f>IF(Locked,"",IFERROR(HYPERLINK(INDEX(Database!$Y$8:$Y$357,$BQ29),"EFL"),""))</f>
        <v/>
      </c>
      <c r="H29" s="260" t="str">
        <f>IF(Locked,"",IFERROR(HYPERLINK(INDEX(Database!$U$8:$U$357,$BQ29),"TOS"),""))</f>
        <v/>
      </c>
      <c r="I29" s="299" t="str">
        <f>IFERROR(INDEX(Database!$Q$8:$Q$357,$BQ29),"")</f>
        <v/>
      </c>
      <c r="J29" s="299"/>
      <c r="K29" s="195" t="str">
        <f>IFERROR(IF(All_In,INDEX(Database!$BQ$8:$BQ$357,$BQ29),INDEX(Database!$BR$8:$BR$357,$BQ29)),"")</f>
        <v/>
      </c>
      <c r="L29" s="194" t="str">
        <f>IFERROR(INDEX(Database!$BO$8:$BO$357,$BQ29),"")</f>
        <v/>
      </c>
      <c r="M29" s="243" t="str">
        <f>IFERROR(INDEX(Database!$CX$8:$CX$357,$BQ29),"")</f>
        <v/>
      </c>
      <c r="N29" s="201" t="str">
        <f>IFERROR(INDEX(Database!$BH$8:$BH$357,$BQ29),"")</f>
        <v/>
      </c>
      <c r="O29" s="179"/>
      <c r="P29" s="179" t="str">
        <f>IFERROR(INDEX(Database!$P$8:$P$357,$BQ29),"")</f>
        <v/>
      </c>
      <c r="Q29" s="240" t="str">
        <f>IFERROR(INDEX(Database!$CR$8:$CR$357,$BQ29),"")</f>
        <v/>
      </c>
      <c r="R29" s="180" t="str">
        <f>IFERROR(INDEX(Database!$AC$8:$AC$357,$BQ29),"")</f>
        <v/>
      </c>
      <c r="S29" s="291" t="str" cm="1">
        <f t="array" ref="S29">IF(More_Plans,IF(Locked,$CD29,IF(ISNUMBER($BT29),INDEX(REP_Info!$E$6:$E$250,$BT29),"")),"")</f>
        <v/>
      </c>
      <c r="T29" s="291"/>
      <c r="U29" s="212" t="str">
        <f>IF(More_Plans,IF(ISNUMBER($BT29),YEAR(INDEX(REP_Info!$J$6:$J$250,$BT29)),""),"")</f>
        <v/>
      </c>
      <c r="V29" s="199" t="str">
        <f>IF(More_Plans,IF(ISNUMBER($BT29),ROUND(INDEX(REP_Info!$G$6:$G$250,$BT29)/1000,0)&amp;"k",""),"")</f>
        <v/>
      </c>
      <c r="W29" s="181" t="str">
        <f>IFERROR(INDEX(Database!$BJ$8:$BJ$357,$BQ29),"")</f>
        <v/>
      </c>
      <c r="X29" s="290"/>
      <c r="Y29" s="272" t="str">
        <f>IFERROR(IF(ISBLANK(INDEX(TOS!$F$6:$AP$221,$BS29,Y$42)),"",INDEX(TOS!$F$6:$AP$221,$BS29,Y$42)),"")</f>
        <v/>
      </c>
      <c r="Z29" s="270" t="str">
        <f>IFERROR(IF(ISBLANK(INDEX(TOS!$F$6:$AP$221,$BS29,Z$42)),"",INDEX(TOS!$F$6:$AP$221,$BS29,Z$42)),"")</f>
        <v/>
      </c>
      <c r="AA29" s="270" t="str">
        <f>IFERROR(IF(ISBLANK(INDEX(TOS!$F$6:$AP$221,$BS29,AA$42)),"",INDEX(TOS!$F$6:$AP$221,$BS29,AA$42)),"")</f>
        <v/>
      </c>
      <c r="AB29" s="270" t="str">
        <f>IFERROR(IF(ISBLANK(INDEX(TOS!$F$6:$AP$221,$BS29,AB$42)),"",INDEX(TOS!$F$6:$AP$221,$BS29,AB$42)),"")</f>
        <v/>
      </c>
      <c r="AC29" s="270" t="str">
        <f>IFERROR(IF(ISBLANK(INDEX(TOS!$F$6:$AP$221,$BS29,AC$42)),"",INDEX(TOS!$F$6:$AP$221,$BS29,AC$42)),"")</f>
        <v/>
      </c>
      <c r="AD29" s="270" t="str">
        <f>IFERROR(IF(ISBLANK(INDEX(TOS!$F$6:$AP$221,$BS29,AD$42)),"",INDEX(TOS!$F$6:$AP$221,$BS29,AD$42)),"")</f>
        <v/>
      </c>
      <c r="AE29" s="270" t="str">
        <f>IFERROR(IF(ISBLANK(INDEX(TOS!$F$6:$AP$221,$BS29,AE$42)),"",INDEX(TOS!$F$6:$AP$221,$BS29,AE$42)),"")</f>
        <v/>
      </c>
      <c r="AF29" s="270" t="str">
        <f>IFERROR(IF(ISBLANK(INDEX(TOS!$F$6:$AP$221,$BS29,AF$42)),"",INDEX(TOS!$F$6:$AP$221,$BS29,AF$42)),"")</f>
        <v/>
      </c>
      <c r="AG29" s="270" t="str">
        <f>IFERROR(IF(ISBLANK(INDEX(TOS!$F$6:$AP$221,$BS29,AG$42)),"",INDEX(TOS!$F$6:$AP$221,$BS29,AG$42)),"")</f>
        <v/>
      </c>
      <c r="AH29" s="270" t="str">
        <f>IFERROR(IF(ISBLANK(INDEX(TOS!$F$6:$AP$221,$BS29,AH$42)),"",INDEX(TOS!$F$6:$AP$221,$BS29,AH$42)),"")</f>
        <v/>
      </c>
      <c r="AI29" s="270" t="str">
        <f>IFERROR(IF(ISBLANK(INDEX(TOS!$F$6:$AP$221,$BS29,AI$42)),"",INDEX(TOS!$F$6:$AP$221,$BS29,AI$42)),"")</f>
        <v/>
      </c>
      <c r="AJ29" s="270" t="str">
        <f>IFERROR(IF(ISBLANK(INDEX(TOS!$F$6:$AP$221,$BS29,AJ$42)),"",INDEX(TOS!$F$6:$AP$221,$BS29,AJ$42)),"")</f>
        <v/>
      </c>
      <c r="AK29" s="270" t="str">
        <f>IFERROR(IF(ISBLANK(INDEX(TOS!$F$6:$AP$221,$BS29,AK$42)),"",INDEX(TOS!$F$6:$AP$221,$BS29,AK$42)),"")</f>
        <v/>
      </c>
      <c r="AL29" s="270" t="str">
        <f>IFERROR(IF(ISBLANK(INDEX(TOS!$F$6:$AP$221,$BS29,AL$42)),"",INDEX(TOS!$F$6:$AP$221,$BS29,AL$42)),"")</f>
        <v/>
      </c>
      <c r="AM29" s="270" t="str">
        <f>IFERROR(IF(ISBLANK(INDEX(TOS!$F$6:$AP$221,$BS29,AM$42)),"",INDEX(TOS!$F$6:$AP$221,$BS29,AM$42)),"")</f>
        <v/>
      </c>
      <c r="AN29" s="270" t="str">
        <f>IFERROR(IF(ISBLANK(INDEX(TOS!$F$6:$AP$221,$BS29,AN$42)),"",INDEX(TOS!$F$6:$AP$221,$BS29,AN$42)),"")</f>
        <v/>
      </c>
      <c r="AO29" s="270" t="str">
        <f>IFERROR(IF(ISBLANK(INDEX(TOS!$F$6:$AP$221,$BS29,AO$42)),"",INDEX(TOS!$F$6:$AP$221,$BS29,AO$42)),"")</f>
        <v/>
      </c>
      <c r="AP29" s="270" t="str">
        <f>IFERROR(IF(ISBLANK(INDEX(TOS!$F$6:$AP$221,$BS29,AP$42)),"",INDEX(TOS!$F$6:$AP$221,$BS29,AP$42)),"")</f>
        <v/>
      </c>
      <c r="AQ29" s="270" t="str">
        <f>IFERROR(IF(ISBLANK(INDEX(TOS!$F$6:$AP$221,$BS29,AQ$42)),"",INDEX(TOS!$F$6:$AP$221,$BS29,AQ$42)),"")</f>
        <v/>
      </c>
      <c r="AR29" s="270" t="str">
        <f>IFERROR(IF(ISBLANK(INDEX(TOS!$F$6:$AP$221,$BS29,AR$42)),"",INDEX(TOS!$F$6:$AP$221,$BS29,AR$42)),"")</f>
        <v/>
      </c>
      <c r="AS29" s="270" t="str">
        <f>IFERROR(IF(ISBLANK(INDEX(TOS!$F$6:$AP$221,$BS29,AS$42)),"",INDEX(TOS!$F$6:$AP$221,$BS29,AS$42)),"")</f>
        <v/>
      </c>
      <c r="AT29" s="270" t="str">
        <f>IFERROR(IF(ISBLANK(INDEX(TOS!$F$6:$AP$221,$BS29,AT$42)),"",INDEX(TOS!$F$6:$AP$221,$BS29,AT$42)),"")</f>
        <v/>
      </c>
      <c r="AU29" s="270" t="str">
        <f>IFERROR(IF(ISBLANK(INDEX(TOS!$F$6:$AP$221,$BS29,AU$42)),"",INDEX(TOS!$F$6:$AP$221,$BS29,AU$42)),"")</f>
        <v/>
      </c>
      <c r="AV29" s="270" t="str">
        <f>IFERROR(IF(ISBLANK(INDEX(TOS!$F$6:$AP$221,$BS29,AV$42)),"",INDEX(TOS!$F$6:$AP$221,$BS29,AV$42)),"")</f>
        <v/>
      </c>
      <c r="AW29" s="270" t="str">
        <f>IFERROR(IF(ISBLANK(INDEX(TOS!$F$6:$AP$221,$BS29,AW$42)),"",INDEX(TOS!$F$6:$AP$221,$BS29,AW$42)),"")</f>
        <v/>
      </c>
      <c r="AX29" s="270" t="str">
        <f>IFERROR(IF(ISBLANK(INDEX(TOS!$F$6:$AP$221,$BS29,AX$42)),"",INDEX(TOS!$F$6:$AP$221,$BS29,AX$42)),"")</f>
        <v/>
      </c>
      <c r="AY29" s="270" t="str">
        <f>IFERROR(IF(ISBLANK(INDEX(TOS!$F$6:$AP$221,$BS29,AY$42)),"",INDEX(TOS!$F$6:$AP$221,$BS29,AY$42)),"")</f>
        <v/>
      </c>
      <c r="AZ29" s="270" t="str">
        <f>IFERROR(IF(ISBLANK(INDEX(TOS!$F$6:$AP$221,$BS29,AZ$42)),"",INDEX(TOS!$F$6:$AP$221,$BS29,AZ$42)),"")</f>
        <v/>
      </c>
      <c r="BA29" s="270" t="str">
        <f>IFERROR(IF(ISBLANK(INDEX(TOS!$F$6:$AP$221,$BS29,BA$42)),"",INDEX(TOS!$F$6:$AP$221,$BS29,BA$42)),"")</f>
        <v/>
      </c>
      <c r="BB29" s="270" t="str">
        <f>IFERROR(IF(ISBLANK(INDEX(TOS!$F$6:$AP$221,$BS29,BB$42)),"",INDEX(TOS!$F$6:$AP$221,$BS29,BB$42)),"")</f>
        <v/>
      </c>
      <c r="BC29" s="270" t="str">
        <f>IFERROR(IF(ISBLANK(INDEX(TOS!$F$6:$AP$221,$BS29,BC$42)),"",INDEX(TOS!$F$6:$AP$221,$BS29,BC$42)),"")</f>
        <v/>
      </c>
      <c r="BD29" s="177"/>
      <c r="BE29" s="86" t="s">
        <v>199</v>
      </c>
      <c r="BF29" s="6" t="e">
        <f>MATCH(1,Database!$CE$8:$CE$357,0)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IF(More_Plans,MATCH($A29,Database!$CG$8:$CG$357,0),NA())</f>
        <v>#N/A</v>
      </c>
      <c r="BR29" s="118">
        <f>Locked*IFERROR((($K29-INDEX(Trends!$AA$5:$AA$8,MATCH($I29,{24,12,6,3},-1)))&lt;BR$25),0)</f>
        <v>0</v>
      </c>
      <c r="BS29" t="e">
        <f>MATCH(SUBSTITUTE(INDEX(Database!$U$8:$U$357,$BQ29),"~","~~"),TOS!$C$6:$C$221,0)</f>
        <v>#N/A</v>
      </c>
      <c r="BT29" t="e">
        <f>MATCH(INDEX(Database!$F$8:$F$357,$BQ29),REP_Info!$D$6:$D$250,0)</f>
        <v>#N/A</v>
      </c>
      <c r="BU29" t="str">
        <f>IFERROR(INDEX(Database!$CV$8:$CV$357,$BQ29),"")</f>
        <v/>
      </c>
      <c r="BV29" t="s">
        <v>201</v>
      </c>
      <c r="BZ29" t="str">
        <f>""</f>
        <v/>
      </c>
      <c r="CD29" t="str">
        <f>""</f>
        <v/>
      </c>
      <c r="CN29" t="e">
        <f>INDEX(Database!$AG$8:$BG$357,$BQ29,CN$22)</f>
        <v>#N/A</v>
      </c>
      <c r="CO29" t="e">
        <f>IF(ISBLANK(INDEX(Database!$AG$8:$BG$357,$BQ29,CO$22)),"",INDEX(Database!$AG$8:$BG$357,$BQ29,CO$22))</f>
        <v>#N/A</v>
      </c>
      <c r="CP29" t="e">
        <f>IF(ISBLANK(INDEX(Database!$AG$8:$BG$357,$BQ29,CP$22)),"",INDEX(Database!$AG$8:$BG$357,$BQ29,CP$22))</f>
        <v>#N/A</v>
      </c>
      <c r="CQ29" t="e">
        <f>IF(ISBLANK(INDEX(Database!$AG$8:$BG$357,$BQ29,CQ$22)),"",INDEX(Database!$AG$8:$BG$357,$BQ29,CQ$22))</f>
        <v>#N/A</v>
      </c>
      <c r="CR29" t="e">
        <f>IF(ISBLANK(INDEX(Database!$AG$8:$BG$357,$BQ29,CR$22)),"",INDEX(Database!$AG$8:$BG$357,$BQ29,CR$22))</f>
        <v>#N/A</v>
      </c>
      <c r="CS29" t="e">
        <f>IF(ISBLANK(INDEX(Database!$AG$8:$BG$357,$BQ29,CS$22)),"",INDEX(Database!$AG$8:$BG$357,$BQ29,CS$22))</f>
        <v>#N/A</v>
      </c>
      <c r="CT29" t="e">
        <f>IF(ISBLANK(INDEX(Database!$AG$8:$BG$357,$BQ29,CT$22)),"",INDEX(Database!$AG$8:$BG$357,$BQ29,CT$22))</f>
        <v>#N/A</v>
      </c>
      <c r="CU29" t="e">
        <f>IF(ISBLANK(INDEX(Database!$AG$8:$BG$357,$BQ29,CU$22)),"",INDEX(Database!$AG$8:$BG$357,$BQ29,CU$22))</f>
        <v>#N/A</v>
      </c>
      <c r="CV29" t="e">
        <f>IF(ISBLANK(INDEX(Database!$AG$8:$BG$357,$BQ29,CV$22)),"",INDEX(Database!$AG$8:$BG$357,$BQ29,CV$22))</f>
        <v>#N/A</v>
      </c>
      <c r="CW29" t="e">
        <f>IF(ISBLANK(INDEX(Database!$AG$8:$BG$357,$BQ29,CW$22)),"",INDEX(Database!$AG$8:$BG$357,$BQ29,CW$22))</f>
        <v>#N/A</v>
      </c>
      <c r="CX29" t="e">
        <f>IF(ISBLANK(INDEX(Database!$AG$8:$BG$357,$BQ29,CX$22)),"",INDEX(Database!$AG$8:$BG$357,$BQ29,CX$22))</f>
        <v>#N/A</v>
      </c>
      <c r="CY29" t="e">
        <f>INDEX(Database!$AG$8:$BG$357,$BQ29,CY$22)</f>
        <v>#N/A</v>
      </c>
      <c r="CZ29" t="e">
        <f>INDEX(Database!$AG$8:$BG$357,$BQ29,CZ$22)</f>
        <v>#N/A</v>
      </c>
      <c r="DA29" t="e">
        <f>INDEX(Database!$AG$8:$BG$357,$BQ29,DA$22)</f>
        <v>#N/A</v>
      </c>
      <c r="DB29" t="e">
        <f>INDEX(Database!$AG$8:$BG$357,$BQ29,DB$22)</f>
        <v>#N/A</v>
      </c>
      <c r="DC29" t="e">
        <f>INDEX(Database!$AG$8:$BG$357,$BQ29,DC$22)</f>
        <v>#N/A</v>
      </c>
      <c r="DD29" t="e">
        <f>INDEX(Database!$AG$8:$BG$357,$BQ29,DD$22)</f>
        <v>#N/A</v>
      </c>
      <c r="DE29" s="31" t="e">
        <f>INDEX(Database!$AG$8:$BG$357,$BQ29,DE$22)</f>
        <v>#N/A</v>
      </c>
      <c r="DF29" s="31" t="e">
        <f>INDEX(Database!$AG$8:$BG$357,$BQ29,DF$22)</f>
        <v>#N/A</v>
      </c>
      <c r="DG29" s="31" t="e">
        <f>INDEX(Database!$AG$8:$BG$357,$BQ29,DG$22)</f>
        <v>#N/A</v>
      </c>
      <c r="DH29" s="31" t="e">
        <f>INDEX(Database!$AG$8:$BG$357,$BQ29,DH$22)</f>
        <v>#N/A</v>
      </c>
      <c r="DI29" s="31" t="e">
        <f>INDEX(Database!$AG$8:$BG$357,$BQ29,DI$22)</f>
        <v>#N/A</v>
      </c>
      <c r="DJ29" s="5" t="e">
        <f>INDEX(Database!$AG$8:$BG$357,$BQ29,DJ$22)</f>
        <v>#N/A</v>
      </c>
      <c r="DK29" s="35" t="e">
        <f>INDEX(Database!$AG$8:$BG$357,$BQ29,DK$22)</f>
        <v>#N/A</v>
      </c>
      <c r="DL29" s="6" t="e">
        <f>INDEX(Database!$AG$8:$BG$357,$BQ29,DL$22)</f>
        <v>#N/A</v>
      </c>
      <c r="DM29" s="35" t="e">
        <f>INDEX(Database!$AG$8:$BG$357,$BQ29,DM$22)</f>
        <v>#N/A</v>
      </c>
      <c r="DN29" s="35" t="e">
        <f>INDEX(Database!$AG$8:$BG$357,$BQ29,DN$22)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306" t="str">
        <f>IF(More_Plans,IF(Locked,IF(Selected_Plan,$BZ30,$BV30),IFERROR(PROPER(INDEX(Database!$G$8:$G$357,$BQ30)),"")),"")</f>
        <v/>
      </c>
      <c r="C30" s="306"/>
      <c r="D30" s="306"/>
      <c r="E30" s="306"/>
      <c r="F30" s="306"/>
      <c r="G30" s="260" t="str">
        <f>IF(Locked,"",IFERROR(HYPERLINK(INDEX(Database!$Y$8:$Y$357,$BQ30),"EFL"),""))</f>
        <v/>
      </c>
      <c r="H30" s="260" t="str">
        <f>IF(Locked,"",IFERROR(HYPERLINK(INDEX(Database!$U$8:$U$357,$BQ30),"TOS"),""))</f>
        <v/>
      </c>
      <c r="I30" s="299" t="str">
        <f>IFERROR(INDEX(Database!$Q$8:$Q$357,$BQ30),"")</f>
        <v/>
      </c>
      <c r="J30" s="299"/>
      <c r="K30" s="195" t="str">
        <f>IFERROR(IF(All_In,INDEX(Database!$BQ$8:$BQ$357,$BQ30),INDEX(Database!$BR$8:$BR$357,$BQ30)),"")</f>
        <v/>
      </c>
      <c r="L30" s="194" t="str">
        <f>IFERROR(INDEX(Database!$BO$8:$BO$357,$BQ30),"")</f>
        <v/>
      </c>
      <c r="M30" s="243" t="str">
        <f>IFERROR(INDEX(Database!$CX$8:$CX$357,$BQ30),"")</f>
        <v/>
      </c>
      <c r="N30" s="201" t="str">
        <f>IFERROR(INDEX(Database!$BH$8:$BH$357,$BQ30),"")</f>
        <v/>
      </c>
      <c r="O30" s="179"/>
      <c r="P30" s="179" t="str">
        <f>IFERROR(INDEX(Database!$P$8:$P$357,$BQ30),"")</f>
        <v/>
      </c>
      <c r="Q30" s="240" t="str">
        <f>IFERROR(INDEX(Database!$CR$8:$CR$357,$BQ30),"")</f>
        <v/>
      </c>
      <c r="R30" s="180" t="str">
        <f>IFERROR(INDEX(Database!$AC$8:$AC$357,$BQ30),"")</f>
        <v/>
      </c>
      <c r="S30" s="291" t="str" cm="1">
        <f t="array" ref="S30">IF(More_Plans,IF(Locked,$CD30,IF(ISNUMBER($BT30),INDEX(REP_Info!$E$6:$E$250,$BT30),"")),"")</f>
        <v/>
      </c>
      <c r="T30" s="291"/>
      <c r="U30" s="212" t="str">
        <f>IF(More_Plans,IF(ISNUMBER($BT30),YEAR(INDEX(REP_Info!$J$6:$J$250,$BT30)),""),"")</f>
        <v/>
      </c>
      <c r="V30" s="199" t="str">
        <f>IF(More_Plans,IF(ISNUMBER($BT30),ROUND(INDEX(REP_Info!$G$6:$G$250,$BT30)/1000,0)&amp;"k",""),"")</f>
        <v/>
      </c>
      <c r="W30" s="181" t="str">
        <f>IFERROR(INDEX(Database!$BJ$8:$BJ$357,$BQ30),"")</f>
        <v/>
      </c>
      <c r="X30" s="290"/>
      <c r="Y30" s="272" t="str">
        <f>IFERROR(IF(ISBLANK(INDEX(TOS!$F$6:$AP$221,$BS30,Y$42)),"",INDEX(TOS!$F$6:$AP$221,$BS30,Y$42)),"")</f>
        <v/>
      </c>
      <c r="Z30" s="270" t="str">
        <f>IFERROR(IF(ISBLANK(INDEX(TOS!$F$6:$AP$221,$BS30,Z$42)),"",INDEX(TOS!$F$6:$AP$221,$BS30,Z$42)),"")</f>
        <v/>
      </c>
      <c r="AA30" s="270" t="str">
        <f>IFERROR(IF(ISBLANK(INDEX(TOS!$F$6:$AP$221,$BS30,AA$42)),"",INDEX(TOS!$F$6:$AP$221,$BS30,AA$42)),"")</f>
        <v/>
      </c>
      <c r="AB30" s="270" t="str">
        <f>IFERROR(IF(ISBLANK(INDEX(TOS!$F$6:$AP$221,$BS30,AB$42)),"",INDEX(TOS!$F$6:$AP$221,$BS30,AB$42)),"")</f>
        <v/>
      </c>
      <c r="AC30" s="270" t="str">
        <f>IFERROR(IF(ISBLANK(INDEX(TOS!$F$6:$AP$221,$BS30,AC$42)),"",INDEX(TOS!$F$6:$AP$221,$BS30,AC$42)),"")</f>
        <v/>
      </c>
      <c r="AD30" s="270" t="str">
        <f>IFERROR(IF(ISBLANK(INDEX(TOS!$F$6:$AP$221,$BS30,AD$42)),"",INDEX(TOS!$F$6:$AP$221,$BS30,AD$42)),"")</f>
        <v/>
      </c>
      <c r="AE30" s="270" t="str">
        <f>IFERROR(IF(ISBLANK(INDEX(TOS!$F$6:$AP$221,$BS30,AE$42)),"",INDEX(TOS!$F$6:$AP$221,$BS30,AE$42)),"")</f>
        <v/>
      </c>
      <c r="AF30" s="270" t="str">
        <f>IFERROR(IF(ISBLANK(INDEX(TOS!$F$6:$AP$221,$BS30,AF$42)),"",INDEX(TOS!$F$6:$AP$221,$BS30,AF$42)),"")</f>
        <v/>
      </c>
      <c r="AG30" s="270" t="str">
        <f>IFERROR(IF(ISBLANK(INDEX(TOS!$F$6:$AP$221,$BS30,AG$42)),"",INDEX(TOS!$F$6:$AP$221,$BS30,AG$42)),"")</f>
        <v/>
      </c>
      <c r="AH30" s="270" t="str">
        <f>IFERROR(IF(ISBLANK(INDEX(TOS!$F$6:$AP$221,$BS30,AH$42)),"",INDEX(TOS!$F$6:$AP$221,$BS30,AH$42)),"")</f>
        <v/>
      </c>
      <c r="AI30" s="270" t="str">
        <f>IFERROR(IF(ISBLANK(INDEX(TOS!$F$6:$AP$221,$BS30,AI$42)),"",INDEX(TOS!$F$6:$AP$221,$BS30,AI$42)),"")</f>
        <v/>
      </c>
      <c r="AJ30" s="270" t="str">
        <f>IFERROR(IF(ISBLANK(INDEX(TOS!$F$6:$AP$221,$BS30,AJ$42)),"",INDEX(TOS!$F$6:$AP$221,$BS30,AJ$42)),"")</f>
        <v/>
      </c>
      <c r="AK30" s="270" t="str">
        <f>IFERROR(IF(ISBLANK(INDEX(TOS!$F$6:$AP$221,$BS30,AK$42)),"",INDEX(TOS!$F$6:$AP$221,$BS30,AK$42)),"")</f>
        <v/>
      </c>
      <c r="AL30" s="270" t="str">
        <f>IFERROR(IF(ISBLANK(INDEX(TOS!$F$6:$AP$221,$BS30,AL$42)),"",INDEX(TOS!$F$6:$AP$221,$BS30,AL$42)),"")</f>
        <v/>
      </c>
      <c r="AM30" s="270" t="str">
        <f>IFERROR(IF(ISBLANK(INDEX(TOS!$F$6:$AP$221,$BS30,AM$42)),"",INDEX(TOS!$F$6:$AP$221,$BS30,AM$42)),"")</f>
        <v/>
      </c>
      <c r="AN30" s="270" t="str">
        <f>IFERROR(IF(ISBLANK(INDEX(TOS!$F$6:$AP$221,$BS30,AN$42)),"",INDEX(TOS!$F$6:$AP$221,$BS30,AN$42)),"")</f>
        <v/>
      </c>
      <c r="AO30" s="270" t="str">
        <f>IFERROR(IF(ISBLANK(INDEX(TOS!$F$6:$AP$221,$BS30,AO$42)),"",INDEX(TOS!$F$6:$AP$221,$BS30,AO$42)),"")</f>
        <v/>
      </c>
      <c r="AP30" s="270" t="str">
        <f>IFERROR(IF(ISBLANK(INDEX(TOS!$F$6:$AP$221,$BS30,AP$42)),"",INDEX(TOS!$F$6:$AP$221,$BS30,AP$42)),"")</f>
        <v/>
      </c>
      <c r="AQ30" s="270" t="str">
        <f>IFERROR(IF(ISBLANK(INDEX(TOS!$F$6:$AP$221,$BS30,AQ$42)),"",INDEX(TOS!$F$6:$AP$221,$BS30,AQ$42)),"")</f>
        <v/>
      </c>
      <c r="AR30" s="270" t="str">
        <f>IFERROR(IF(ISBLANK(INDEX(TOS!$F$6:$AP$221,$BS30,AR$42)),"",INDEX(TOS!$F$6:$AP$221,$BS30,AR$42)),"")</f>
        <v/>
      </c>
      <c r="AS30" s="270" t="str">
        <f>IFERROR(IF(ISBLANK(INDEX(TOS!$F$6:$AP$221,$BS30,AS$42)),"",INDEX(TOS!$F$6:$AP$221,$BS30,AS$42)),"")</f>
        <v/>
      </c>
      <c r="AT30" s="270" t="str">
        <f>IFERROR(IF(ISBLANK(INDEX(TOS!$F$6:$AP$221,$BS30,AT$42)),"",INDEX(TOS!$F$6:$AP$221,$BS30,AT$42)),"")</f>
        <v/>
      </c>
      <c r="AU30" s="270" t="str">
        <f>IFERROR(IF(ISBLANK(INDEX(TOS!$F$6:$AP$221,$BS30,AU$42)),"",INDEX(TOS!$F$6:$AP$221,$BS30,AU$42)),"")</f>
        <v/>
      </c>
      <c r="AV30" s="270" t="str">
        <f>IFERROR(IF(ISBLANK(INDEX(TOS!$F$6:$AP$221,$BS30,AV$42)),"",INDEX(TOS!$F$6:$AP$221,$BS30,AV$42)),"")</f>
        <v/>
      </c>
      <c r="AW30" s="270" t="str">
        <f>IFERROR(IF(ISBLANK(INDEX(TOS!$F$6:$AP$221,$BS30,AW$42)),"",INDEX(TOS!$F$6:$AP$221,$BS30,AW$42)),"")</f>
        <v/>
      </c>
      <c r="AX30" s="270" t="str">
        <f>IFERROR(IF(ISBLANK(INDEX(TOS!$F$6:$AP$221,$BS30,AX$42)),"",INDEX(TOS!$F$6:$AP$221,$BS30,AX$42)),"")</f>
        <v/>
      </c>
      <c r="AY30" s="270" t="str">
        <f>IFERROR(IF(ISBLANK(INDEX(TOS!$F$6:$AP$221,$BS30,AY$42)),"",INDEX(TOS!$F$6:$AP$221,$BS30,AY$42)),"")</f>
        <v/>
      </c>
      <c r="AZ30" s="270" t="str">
        <f>IFERROR(IF(ISBLANK(INDEX(TOS!$F$6:$AP$221,$BS30,AZ$42)),"",INDEX(TOS!$F$6:$AP$221,$BS30,AZ$42)),"")</f>
        <v/>
      </c>
      <c r="BA30" s="270" t="str">
        <f>IFERROR(IF(ISBLANK(INDEX(TOS!$F$6:$AP$221,$BS30,BA$42)),"",INDEX(TOS!$F$6:$AP$221,$BS30,BA$42)),"")</f>
        <v/>
      </c>
      <c r="BB30" s="270" t="str">
        <f>IFERROR(IF(ISBLANK(INDEX(TOS!$F$6:$AP$221,$BS30,BB$42)),"",INDEX(TOS!$F$6:$AP$221,$BS30,BB$42)),"")</f>
        <v/>
      </c>
      <c r="BC30" s="270" t="str">
        <f>IFERROR(IF(ISBLANK(INDEX(TOS!$F$6:$AP$221,$BS30,BC$42)),"",INDEX(TOS!$F$6:$AP$221,$BS30,BC$42)),"")</f>
        <v/>
      </c>
      <c r="BD30" s="177"/>
      <c r="BE30" s="86" t="s">
        <v>202</v>
      </c>
      <c r="BF30" s="6" t="e">
        <f>INDEX(Database!CG$8:CG$357,$BF29)</f>
        <v>#N/A</v>
      </c>
      <c r="BG30" t="s">
        <v>203</v>
      </c>
      <c r="BH30" t="str">
        <f>IF(ISNA(Trends!$H$5),REPT("█",4),"")</f>
        <v>████</v>
      </c>
      <c r="BJ30" s="90" t="s">
        <v>204</v>
      </c>
      <c r="BL30" s="183"/>
      <c r="BQ30" s="6" t="e">
        <f>IF(More_Plans,MATCH($A30,Database!$CG$8:$CG$357,0),NA())</f>
        <v>#N/A</v>
      </c>
      <c r="BR30" s="118">
        <f>Locked*IFERROR((($K30-INDEX(Trends!$AA$5:$AA$8,MATCH($I30,{24,12,6,3},-1)))&lt;BR$25),0)</f>
        <v>0</v>
      </c>
      <c r="BS30" t="e">
        <f>MATCH(SUBSTITUTE(INDEX(Database!$U$8:$U$357,$BQ30),"~","~~"),TOS!$C$6:$C$221,0)</f>
        <v>#N/A</v>
      </c>
      <c r="BT30" t="e">
        <f>MATCH(INDEX(Database!$F$8:$F$357,$BQ30),REP_Info!$D$6:$D$250,0)</f>
        <v>#N/A</v>
      </c>
      <c r="BU30" t="str">
        <f>IFERROR(INDEX(Database!$CV$8:$CV$357,$BQ30),"")</f>
        <v/>
      </c>
      <c r="BV30" t="str">
        <f>""</f>
        <v/>
      </c>
      <c r="BZ30" t="str">
        <f>""</f>
        <v/>
      </c>
      <c r="CD30" t="str">
        <f>""</f>
        <v/>
      </c>
      <c r="CN30" t="e">
        <f>INDEX(Database!$AG$8:$BG$357,$BQ30,CN$22)</f>
        <v>#N/A</v>
      </c>
      <c r="CO30" t="e">
        <f>IF(ISBLANK(INDEX(Database!$AG$8:$BG$357,$BQ30,CO$22)),"",INDEX(Database!$AG$8:$BG$357,$BQ30,CO$22))</f>
        <v>#N/A</v>
      </c>
      <c r="CP30" t="e">
        <f>IF(ISBLANK(INDEX(Database!$AG$8:$BG$357,$BQ30,CP$22)),"",INDEX(Database!$AG$8:$BG$357,$BQ30,CP$22))</f>
        <v>#N/A</v>
      </c>
      <c r="CQ30" t="e">
        <f>IF(ISBLANK(INDEX(Database!$AG$8:$BG$357,$BQ30,CQ$22)),"",INDEX(Database!$AG$8:$BG$357,$BQ30,CQ$22))</f>
        <v>#N/A</v>
      </c>
      <c r="CR30" t="e">
        <f>IF(ISBLANK(INDEX(Database!$AG$8:$BG$357,$BQ30,CR$22)),"",INDEX(Database!$AG$8:$BG$357,$BQ30,CR$22))</f>
        <v>#N/A</v>
      </c>
      <c r="CS30" t="e">
        <f>IF(ISBLANK(INDEX(Database!$AG$8:$BG$357,$BQ30,CS$22)),"",INDEX(Database!$AG$8:$BG$357,$BQ30,CS$22))</f>
        <v>#N/A</v>
      </c>
      <c r="CT30" t="e">
        <f>IF(ISBLANK(INDEX(Database!$AG$8:$BG$357,$BQ30,CT$22)),"",INDEX(Database!$AG$8:$BG$357,$BQ30,CT$22))</f>
        <v>#N/A</v>
      </c>
      <c r="CU30" t="e">
        <f>IF(ISBLANK(INDEX(Database!$AG$8:$BG$357,$BQ30,CU$22)),"",INDEX(Database!$AG$8:$BG$357,$BQ30,CU$22))</f>
        <v>#N/A</v>
      </c>
      <c r="CV30" t="e">
        <f>IF(ISBLANK(INDEX(Database!$AG$8:$BG$357,$BQ30,CV$22)),"",INDEX(Database!$AG$8:$BG$357,$BQ30,CV$22))</f>
        <v>#N/A</v>
      </c>
      <c r="CW30" t="e">
        <f>IF(ISBLANK(INDEX(Database!$AG$8:$BG$357,$BQ30,CW$22)),"",INDEX(Database!$AG$8:$BG$357,$BQ30,CW$22))</f>
        <v>#N/A</v>
      </c>
      <c r="CX30" t="e">
        <f>IF(ISBLANK(INDEX(Database!$AG$8:$BG$357,$BQ30,CX$22)),"",INDEX(Database!$AG$8:$BG$357,$BQ30,CX$22))</f>
        <v>#N/A</v>
      </c>
      <c r="CY30" t="e">
        <f>INDEX(Database!$AG$8:$BG$357,$BQ30,CY$22)</f>
        <v>#N/A</v>
      </c>
      <c r="CZ30" t="e">
        <f>INDEX(Database!$AG$8:$BG$357,$BQ30,CZ$22)</f>
        <v>#N/A</v>
      </c>
      <c r="DA30" t="e">
        <f>INDEX(Database!$AG$8:$BG$357,$BQ30,DA$22)</f>
        <v>#N/A</v>
      </c>
      <c r="DB30" t="e">
        <f>INDEX(Database!$AG$8:$BG$357,$BQ30,DB$22)</f>
        <v>#N/A</v>
      </c>
      <c r="DC30" t="e">
        <f>INDEX(Database!$AG$8:$BG$357,$BQ30,DC$22)</f>
        <v>#N/A</v>
      </c>
      <c r="DD30" t="e">
        <f>INDEX(Database!$AG$8:$BG$357,$BQ30,DD$22)</f>
        <v>#N/A</v>
      </c>
      <c r="DE30" s="31" t="e">
        <f>INDEX(Database!$AG$8:$BG$357,$BQ30,DE$22)</f>
        <v>#N/A</v>
      </c>
      <c r="DF30" s="31" t="e">
        <f>INDEX(Database!$AG$8:$BG$357,$BQ30,DF$22)</f>
        <v>#N/A</v>
      </c>
      <c r="DG30" s="31" t="e">
        <f>INDEX(Database!$AG$8:$BG$357,$BQ30,DG$22)</f>
        <v>#N/A</v>
      </c>
      <c r="DH30" s="31" t="e">
        <f>INDEX(Database!$AG$8:$BG$357,$BQ30,DH$22)</f>
        <v>#N/A</v>
      </c>
      <c r="DI30" s="31" t="e">
        <f>INDEX(Database!$AG$8:$BG$357,$BQ30,DI$22)</f>
        <v>#N/A</v>
      </c>
      <c r="DJ30" s="5" t="e">
        <f>INDEX(Database!$AG$8:$BG$357,$BQ30,DJ$22)</f>
        <v>#N/A</v>
      </c>
      <c r="DK30" s="35" t="e">
        <f>INDEX(Database!$AG$8:$BG$357,$BQ30,DK$22)</f>
        <v>#N/A</v>
      </c>
      <c r="DL30" s="6" t="e">
        <f>INDEX(Database!$AG$8:$BG$357,$BQ30,DL$22)</f>
        <v>#N/A</v>
      </c>
      <c r="DM30" s="35" t="e">
        <f>INDEX(Database!$AG$8:$BG$357,$BQ30,DM$22)</f>
        <v>#N/A</v>
      </c>
      <c r="DN30" s="35" t="e">
        <f>INDEX(Database!$AG$8:$BG$357,$BQ30,DN$22)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306" t="str">
        <f>IF(More_Plans,IF(Locked,IF(Selected_Plan,$BZ31,$BV31),IFERROR(PROPER(INDEX(Database!$G$8:$G$357,$BQ31)),"")),"")</f>
        <v/>
      </c>
      <c r="C31" s="306"/>
      <c r="D31" s="306"/>
      <c r="E31" s="306"/>
      <c r="F31" s="306"/>
      <c r="G31" s="260" t="str">
        <f>IF(Locked,"",IFERROR(HYPERLINK(INDEX(Database!$Y$8:$Y$357,$BQ31),"EFL"),""))</f>
        <v/>
      </c>
      <c r="H31" s="260" t="str">
        <f>IF(Locked,"",IFERROR(HYPERLINK(INDEX(Database!$U$8:$U$357,$BQ31),"TOS"),""))</f>
        <v/>
      </c>
      <c r="I31" s="299" t="str">
        <f>IFERROR(INDEX(Database!$Q$8:$Q$357,$BQ31),"")</f>
        <v/>
      </c>
      <c r="J31" s="299"/>
      <c r="K31" s="195" t="str">
        <f>IFERROR(IF(All_In,INDEX(Database!$BQ$8:$BQ$357,$BQ31),INDEX(Database!$BR$8:$BR$357,$BQ31)),"")</f>
        <v/>
      </c>
      <c r="L31" s="194" t="str">
        <f>IFERROR(INDEX(Database!$BO$8:$BO$357,$BQ31),"")</f>
        <v/>
      </c>
      <c r="M31" s="243" t="str">
        <f>IFERROR(INDEX(Database!$CX$8:$CX$357,$BQ31),"")</f>
        <v/>
      </c>
      <c r="N31" s="201" t="str">
        <f>IFERROR(INDEX(Database!$BH$8:$BH$357,$BQ31),"")</f>
        <v/>
      </c>
      <c r="O31" s="179"/>
      <c r="P31" s="179" t="str">
        <f>IFERROR(INDEX(Database!$P$8:$P$357,$BQ31),"")</f>
        <v/>
      </c>
      <c r="Q31" s="240" t="str">
        <f>IFERROR(INDEX(Database!$CR$8:$CR$357,$BQ31),"")</f>
        <v/>
      </c>
      <c r="R31" s="180" t="str">
        <f>IFERROR(INDEX(Database!$AC$8:$AC$357,$BQ31),"")</f>
        <v/>
      </c>
      <c r="S31" s="291" t="str" cm="1">
        <f t="array" ref="S31">IF(More_Plans,IF(Locked,$CD31,IF(ISNUMBER($BT31),INDEX(REP_Info!$E$6:$E$250,$BT31),"")),"")</f>
        <v/>
      </c>
      <c r="T31" s="291"/>
      <c r="U31" s="212" t="str">
        <f>IF(More_Plans,IF(ISNUMBER($BT31),YEAR(INDEX(REP_Info!$J$6:$J$250,$BT31)),""),"")</f>
        <v/>
      </c>
      <c r="V31" s="199" t="str">
        <f>IF(More_Plans,IF(ISNUMBER($BT31),ROUND(INDEX(REP_Info!$G$6:$G$250,$BT31)/1000,0)&amp;"k",""),"")</f>
        <v/>
      </c>
      <c r="W31" s="181" t="str">
        <f>IFERROR(INDEX(Database!$BJ$8:$BJ$357,$BQ31),"")</f>
        <v/>
      </c>
      <c r="X31" s="290"/>
      <c r="Y31" s="272" t="str">
        <f>IFERROR(IF(ISBLANK(INDEX(TOS!$F$6:$AP$221,$BS31,Y$42)),"",INDEX(TOS!$F$6:$AP$221,$BS31,Y$42)),"")</f>
        <v/>
      </c>
      <c r="Z31" s="270" t="str">
        <f>IFERROR(IF(ISBLANK(INDEX(TOS!$F$6:$AP$221,$BS31,Z$42)),"",INDEX(TOS!$F$6:$AP$221,$BS31,Z$42)),"")</f>
        <v/>
      </c>
      <c r="AA31" s="270" t="str">
        <f>IFERROR(IF(ISBLANK(INDEX(TOS!$F$6:$AP$221,$BS31,AA$42)),"",INDEX(TOS!$F$6:$AP$221,$BS31,AA$42)),"")</f>
        <v/>
      </c>
      <c r="AB31" s="270" t="str">
        <f>IFERROR(IF(ISBLANK(INDEX(TOS!$F$6:$AP$221,$BS31,AB$42)),"",INDEX(TOS!$F$6:$AP$221,$BS31,AB$42)),"")</f>
        <v/>
      </c>
      <c r="AC31" s="270" t="str">
        <f>IFERROR(IF(ISBLANK(INDEX(TOS!$F$6:$AP$221,$BS31,AC$42)),"",INDEX(TOS!$F$6:$AP$221,$BS31,AC$42)),"")</f>
        <v/>
      </c>
      <c r="AD31" s="270" t="str">
        <f>IFERROR(IF(ISBLANK(INDEX(TOS!$F$6:$AP$221,$BS31,AD$42)),"",INDEX(TOS!$F$6:$AP$221,$BS31,AD$42)),"")</f>
        <v/>
      </c>
      <c r="AE31" s="270" t="str">
        <f>IFERROR(IF(ISBLANK(INDEX(TOS!$F$6:$AP$221,$BS31,AE$42)),"",INDEX(TOS!$F$6:$AP$221,$BS31,AE$42)),"")</f>
        <v/>
      </c>
      <c r="AF31" s="270" t="str">
        <f>IFERROR(IF(ISBLANK(INDEX(TOS!$F$6:$AP$221,$BS31,AF$42)),"",INDEX(TOS!$F$6:$AP$221,$BS31,AF$42)),"")</f>
        <v/>
      </c>
      <c r="AG31" s="270" t="str">
        <f>IFERROR(IF(ISBLANK(INDEX(TOS!$F$6:$AP$221,$BS31,AG$42)),"",INDEX(TOS!$F$6:$AP$221,$BS31,AG$42)),"")</f>
        <v/>
      </c>
      <c r="AH31" s="270" t="str">
        <f>IFERROR(IF(ISBLANK(INDEX(TOS!$F$6:$AP$221,$BS31,AH$42)),"",INDEX(TOS!$F$6:$AP$221,$BS31,AH$42)),"")</f>
        <v/>
      </c>
      <c r="AI31" s="270" t="str">
        <f>IFERROR(IF(ISBLANK(INDEX(TOS!$F$6:$AP$221,$BS31,AI$42)),"",INDEX(TOS!$F$6:$AP$221,$BS31,AI$42)),"")</f>
        <v/>
      </c>
      <c r="AJ31" s="270" t="str">
        <f>IFERROR(IF(ISBLANK(INDEX(TOS!$F$6:$AP$221,$BS31,AJ$42)),"",INDEX(TOS!$F$6:$AP$221,$BS31,AJ$42)),"")</f>
        <v/>
      </c>
      <c r="AK31" s="270" t="str">
        <f>IFERROR(IF(ISBLANK(INDEX(TOS!$F$6:$AP$221,$BS31,AK$42)),"",INDEX(TOS!$F$6:$AP$221,$BS31,AK$42)),"")</f>
        <v/>
      </c>
      <c r="AL31" s="270" t="str">
        <f>IFERROR(IF(ISBLANK(INDEX(TOS!$F$6:$AP$221,$BS31,AL$42)),"",INDEX(TOS!$F$6:$AP$221,$BS31,AL$42)),"")</f>
        <v/>
      </c>
      <c r="AM31" s="270" t="str">
        <f>IFERROR(IF(ISBLANK(INDEX(TOS!$F$6:$AP$221,$BS31,AM$42)),"",INDEX(TOS!$F$6:$AP$221,$BS31,AM$42)),"")</f>
        <v/>
      </c>
      <c r="AN31" s="270" t="str">
        <f>IFERROR(IF(ISBLANK(INDEX(TOS!$F$6:$AP$221,$BS31,AN$42)),"",INDEX(TOS!$F$6:$AP$221,$BS31,AN$42)),"")</f>
        <v/>
      </c>
      <c r="AO31" s="270" t="str">
        <f>IFERROR(IF(ISBLANK(INDEX(TOS!$F$6:$AP$221,$BS31,AO$42)),"",INDEX(TOS!$F$6:$AP$221,$BS31,AO$42)),"")</f>
        <v/>
      </c>
      <c r="AP31" s="270" t="str">
        <f>IFERROR(IF(ISBLANK(INDEX(TOS!$F$6:$AP$221,$BS31,AP$42)),"",INDEX(TOS!$F$6:$AP$221,$BS31,AP$42)),"")</f>
        <v/>
      </c>
      <c r="AQ31" s="270" t="str">
        <f>IFERROR(IF(ISBLANK(INDEX(TOS!$F$6:$AP$221,$BS31,AQ$42)),"",INDEX(TOS!$F$6:$AP$221,$BS31,AQ$42)),"")</f>
        <v/>
      </c>
      <c r="AR31" s="270" t="str">
        <f>IFERROR(IF(ISBLANK(INDEX(TOS!$F$6:$AP$221,$BS31,AR$42)),"",INDEX(TOS!$F$6:$AP$221,$BS31,AR$42)),"")</f>
        <v/>
      </c>
      <c r="AS31" s="270" t="str">
        <f>IFERROR(IF(ISBLANK(INDEX(TOS!$F$6:$AP$221,$BS31,AS$42)),"",INDEX(TOS!$F$6:$AP$221,$BS31,AS$42)),"")</f>
        <v/>
      </c>
      <c r="AT31" s="270" t="str">
        <f>IFERROR(IF(ISBLANK(INDEX(TOS!$F$6:$AP$221,$BS31,AT$42)),"",INDEX(TOS!$F$6:$AP$221,$BS31,AT$42)),"")</f>
        <v/>
      </c>
      <c r="AU31" s="270" t="str">
        <f>IFERROR(IF(ISBLANK(INDEX(TOS!$F$6:$AP$221,$BS31,AU$42)),"",INDEX(TOS!$F$6:$AP$221,$BS31,AU$42)),"")</f>
        <v/>
      </c>
      <c r="AV31" s="270" t="str">
        <f>IFERROR(IF(ISBLANK(INDEX(TOS!$F$6:$AP$221,$BS31,AV$42)),"",INDEX(TOS!$F$6:$AP$221,$BS31,AV$42)),"")</f>
        <v/>
      </c>
      <c r="AW31" s="270" t="str">
        <f>IFERROR(IF(ISBLANK(INDEX(TOS!$F$6:$AP$221,$BS31,AW$42)),"",INDEX(TOS!$F$6:$AP$221,$BS31,AW$42)),"")</f>
        <v/>
      </c>
      <c r="AX31" s="270" t="str">
        <f>IFERROR(IF(ISBLANK(INDEX(TOS!$F$6:$AP$221,$BS31,AX$42)),"",INDEX(TOS!$F$6:$AP$221,$BS31,AX$42)),"")</f>
        <v/>
      </c>
      <c r="AY31" s="270" t="str">
        <f>IFERROR(IF(ISBLANK(INDEX(TOS!$F$6:$AP$221,$BS31,AY$42)),"",INDEX(TOS!$F$6:$AP$221,$BS31,AY$42)),"")</f>
        <v/>
      </c>
      <c r="AZ31" s="270" t="str">
        <f>IFERROR(IF(ISBLANK(INDEX(TOS!$F$6:$AP$221,$BS31,AZ$42)),"",INDEX(TOS!$F$6:$AP$221,$BS31,AZ$42)),"")</f>
        <v/>
      </c>
      <c r="BA31" s="270" t="str">
        <f>IFERROR(IF(ISBLANK(INDEX(TOS!$F$6:$AP$221,$BS31,BA$42)),"",INDEX(TOS!$F$6:$AP$221,$BS31,BA$42)),"")</f>
        <v/>
      </c>
      <c r="BB31" s="270" t="str">
        <f>IFERROR(IF(ISBLANK(INDEX(TOS!$F$6:$AP$221,$BS31,BB$42)),"",INDEX(TOS!$F$6:$AP$221,$BS31,BB$42)),"")</f>
        <v/>
      </c>
      <c r="BC31" s="270" t="str">
        <f>IFERROR(IF(ISBLANK(INDEX(TOS!$F$6:$AP$221,$BS31,BC$42)),"",INDEX(TOS!$F$6:$AP$221,$BS31,BC$42)),"")</f>
        <v/>
      </c>
      <c r="BD31" s="177"/>
      <c r="BE31" s="86" t="s">
        <v>206</v>
      </c>
      <c r="BF31" s="94" t="e">
        <f>IF(Risk_Input="Yes",NA(),INDEX(Database!BO$8:BO$357,$BF$29))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IF(More_Plans,MATCH($A31,Database!$CG$8:$CG$357,0),NA())</f>
        <v>#N/A</v>
      </c>
      <c r="BR31" s="118">
        <f>Locked*IFERROR((($K31-INDEX(Trends!$AA$5:$AA$8,MATCH($I31,{24,12,6,3},-1)))&lt;BR$25),0)</f>
        <v>0</v>
      </c>
      <c r="BS31" t="e">
        <f>MATCH(SUBSTITUTE(INDEX(Database!$U$8:$U$357,$BQ31),"~","~~"),TOS!$C$6:$C$221,0)</f>
        <v>#N/A</v>
      </c>
      <c r="BT31" t="e">
        <f>MATCH(INDEX(Database!$F$8:$F$357,$BQ31),REP_Info!$D$6:$D$250,0)</f>
        <v>#N/A</v>
      </c>
      <c r="BU31" t="str">
        <f>IFERROR(INDEX(Database!$CV$8:$CV$357,$BQ31),"")</f>
        <v/>
      </c>
      <c r="BV31" t="str">
        <f>IF(AND(Term_Min=Term_Min_Recd,Term_Max=Term_Max_Recd),"   We suggest Plan #"&amp;Default_Plan&amp;".","")</f>
        <v xml:space="preserve">   We suggest Plan #1.</v>
      </c>
      <c r="BZ31" t="s">
        <v>205</v>
      </c>
      <c r="CD31" t="str">
        <f>""</f>
        <v/>
      </c>
      <c r="CN31" t="e">
        <f>INDEX(Database!$AG$8:$BG$357,$BQ31,CN$22)</f>
        <v>#N/A</v>
      </c>
      <c r="CO31" t="e">
        <f>IF(ISBLANK(INDEX(Database!$AG$8:$BG$357,$BQ31,CO$22)),"",INDEX(Database!$AG$8:$BG$357,$BQ31,CO$22))</f>
        <v>#N/A</v>
      </c>
      <c r="CP31" t="e">
        <f>IF(ISBLANK(INDEX(Database!$AG$8:$BG$357,$BQ31,CP$22)),"",INDEX(Database!$AG$8:$BG$357,$BQ31,CP$22))</f>
        <v>#N/A</v>
      </c>
      <c r="CQ31" t="e">
        <f>IF(ISBLANK(INDEX(Database!$AG$8:$BG$357,$BQ31,CQ$22)),"",INDEX(Database!$AG$8:$BG$357,$BQ31,CQ$22))</f>
        <v>#N/A</v>
      </c>
      <c r="CR31" t="e">
        <f>IF(ISBLANK(INDEX(Database!$AG$8:$BG$357,$BQ31,CR$22)),"",INDEX(Database!$AG$8:$BG$357,$BQ31,CR$22))</f>
        <v>#N/A</v>
      </c>
      <c r="CS31" t="e">
        <f>IF(ISBLANK(INDEX(Database!$AG$8:$BG$357,$BQ31,CS$22)),"",INDEX(Database!$AG$8:$BG$357,$BQ31,CS$22))</f>
        <v>#N/A</v>
      </c>
      <c r="CT31" t="e">
        <f>IF(ISBLANK(INDEX(Database!$AG$8:$BG$357,$BQ31,CT$22)),"",INDEX(Database!$AG$8:$BG$357,$BQ31,CT$22))</f>
        <v>#N/A</v>
      </c>
      <c r="CU31" t="e">
        <f>IF(ISBLANK(INDEX(Database!$AG$8:$BG$357,$BQ31,CU$22)),"",INDEX(Database!$AG$8:$BG$357,$BQ31,CU$22))</f>
        <v>#N/A</v>
      </c>
      <c r="CV31" t="e">
        <f>IF(ISBLANK(INDEX(Database!$AG$8:$BG$357,$BQ31,CV$22)),"",INDEX(Database!$AG$8:$BG$357,$BQ31,CV$22))</f>
        <v>#N/A</v>
      </c>
      <c r="CW31" t="e">
        <f>IF(ISBLANK(INDEX(Database!$AG$8:$BG$357,$BQ31,CW$22)),"",INDEX(Database!$AG$8:$BG$357,$BQ31,CW$22))</f>
        <v>#N/A</v>
      </c>
      <c r="CX31" t="e">
        <f>IF(ISBLANK(INDEX(Database!$AG$8:$BG$357,$BQ31,CX$22)),"",INDEX(Database!$AG$8:$BG$357,$BQ31,CX$22))</f>
        <v>#N/A</v>
      </c>
      <c r="CY31" t="e">
        <f>INDEX(Database!$AG$8:$BG$357,$BQ31,CY$22)</f>
        <v>#N/A</v>
      </c>
      <c r="CZ31" t="e">
        <f>INDEX(Database!$AG$8:$BG$357,$BQ31,CZ$22)</f>
        <v>#N/A</v>
      </c>
      <c r="DA31" t="e">
        <f>INDEX(Database!$AG$8:$BG$357,$BQ31,DA$22)</f>
        <v>#N/A</v>
      </c>
      <c r="DB31" t="e">
        <f>INDEX(Database!$AG$8:$BG$357,$BQ31,DB$22)</f>
        <v>#N/A</v>
      </c>
      <c r="DC31" t="e">
        <f>INDEX(Database!$AG$8:$BG$357,$BQ31,DC$22)</f>
        <v>#N/A</v>
      </c>
      <c r="DD31" t="e">
        <f>INDEX(Database!$AG$8:$BG$357,$BQ31,DD$22)</f>
        <v>#N/A</v>
      </c>
      <c r="DE31" s="31" t="e">
        <f>INDEX(Database!$AG$8:$BG$357,$BQ31,DE$22)</f>
        <v>#N/A</v>
      </c>
      <c r="DF31" s="31" t="e">
        <f>INDEX(Database!$AG$8:$BG$357,$BQ31,DF$22)</f>
        <v>#N/A</v>
      </c>
      <c r="DG31" s="31" t="e">
        <f>INDEX(Database!$AG$8:$BG$357,$BQ31,DG$22)</f>
        <v>#N/A</v>
      </c>
      <c r="DH31" s="31" t="e">
        <f>INDEX(Database!$AG$8:$BG$357,$BQ31,DH$22)</f>
        <v>#N/A</v>
      </c>
      <c r="DI31" s="31" t="e">
        <f>INDEX(Database!$AG$8:$BG$357,$BQ31,DI$22)</f>
        <v>#N/A</v>
      </c>
      <c r="DJ31" s="5" t="e">
        <f>INDEX(Database!$AG$8:$BG$357,$BQ31,DJ$22)</f>
        <v>#N/A</v>
      </c>
      <c r="DK31" s="35" t="e">
        <f>INDEX(Database!$AG$8:$BG$357,$BQ31,DK$22)</f>
        <v>#N/A</v>
      </c>
      <c r="DL31" s="6" t="e">
        <f>INDEX(Database!$AG$8:$BG$357,$BQ31,DL$22)</f>
        <v>#N/A</v>
      </c>
      <c r="DM31" s="35" t="e">
        <f>INDEX(Database!$AG$8:$BG$357,$BQ31,DM$22)</f>
        <v>#N/A</v>
      </c>
      <c r="DN31" s="35" t="e">
        <f>INDEX(Database!$AG$8:$BG$357,$BQ31,DN$22)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306" t="str">
        <f>IF(More_Plans,IF(Locked,IF(Selected_Plan,$BZ32,$BV32),IFERROR(PROPER(INDEX(Database!$G$8:$G$357,$BQ32)),"")),"")</f>
        <v/>
      </c>
      <c r="C32" s="306"/>
      <c r="D32" s="306"/>
      <c r="E32" s="306"/>
      <c r="F32" s="306"/>
      <c r="G32" s="260" t="str">
        <f>IF(Locked,"",IFERROR(HYPERLINK(INDEX(Database!$Y$8:$Y$357,$BQ32),"EFL"),""))</f>
        <v/>
      </c>
      <c r="H32" s="260" t="str">
        <f>IF(Locked,"",IFERROR(HYPERLINK(INDEX(Database!$U$8:$U$357,$BQ32),"TOS"),""))</f>
        <v/>
      </c>
      <c r="I32" s="299" t="str">
        <f>IFERROR(INDEX(Database!$Q$8:$Q$357,$BQ32),"")</f>
        <v/>
      </c>
      <c r="J32" s="299"/>
      <c r="K32" s="195" t="str">
        <f>IFERROR(IF(All_In,INDEX(Database!$BQ$8:$BQ$357,$BQ32),INDEX(Database!$BR$8:$BR$357,$BQ32)),"")</f>
        <v/>
      </c>
      <c r="L32" s="194" t="str">
        <f>IFERROR(INDEX(Database!$BO$8:$BO$357,$BQ32),"")</f>
        <v/>
      </c>
      <c r="M32" s="243" t="str">
        <f>IFERROR(INDEX(Database!$CX$8:$CX$357,$BQ32),"")</f>
        <v/>
      </c>
      <c r="N32" s="201" t="str">
        <f>IFERROR(INDEX(Database!$BH$8:$BH$357,$BQ32),"")</f>
        <v/>
      </c>
      <c r="O32" s="179"/>
      <c r="P32" s="179" t="str">
        <f>IFERROR(INDEX(Database!$P$8:$P$357,$BQ32),"")</f>
        <v/>
      </c>
      <c r="Q32" s="240" t="str">
        <f>IFERROR(INDEX(Database!$CR$8:$CR$357,$BQ32),"")</f>
        <v/>
      </c>
      <c r="R32" s="180" t="str">
        <f>IFERROR(INDEX(Database!$AC$8:$AC$357,$BQ32),"")</f>
        <v/>
      </c>
      <c r="S32" s="291" t="str" cm="1">
        <f t="array" ref="S32">IF(More_Plans,IF(Locked,$CD32,IF(ISNUMBER($BT32),INDEX(REP_Info!$E$6:$E$250,$BT32),"")),"")</f>
        <v/>
      </c>
      <c r="T32" s="291"/>
      <c r="U32" s="212" t="str">
        <f>IF(More_Plans,IF(ISNUMBER($BT32),YEAR(INDEX(REP_Info!$J$6:$J$250,$BT32)),""),"")</f>
        <v/>
      </c>
      <c r="V32" s="199" t="str">
        <f>IF(More_Plans,IF(ISNUMBER($BT32),ROUND(INDEX(REP_Info!$G$6:$G$250,$BT32)/1000,0)&amp;"k",""),"")</f>
        <v/>
      </c>
      <c r="W32" s="181" t="str">
        <f>IFERROR(INDEX(Database!$BJ$8:$BJ$357,$BQ32),"")</f>
        <v/>
      </c>
      <c r="X32" s="290"/>
      <c r="Y32" s="272" t="str">
        <f>IFERROR(IF(ISBLANK(INDEX(TOS!$F$6:$AP$221,$BS32,Y$42)),"",INDEX(TOS!$F$6:$AP$221,$BS32,Y$42)),"")</f>
        <v/>
      </c>
      <c r="Z32" s="270" t="str">
        <f>IFERROR(IF(ISBLANK(INDEX(TOS!$F$6:$AP$221,$BS32,Z$42)),"",INDEX(TOS!$F$6:$AP$221,$BS32,Z$42)),"")</f>
        <v/>
      </c>
      <c r="AA32" s="270" t="str">
        <f>IFERROR(IF(ISBLANK(INDEX(TOS!$F$6:$AP$221,$BS32,AA$42)),"",INDEX(TOS!$F$6:$AP$221,$BS32,AA$42)),"")</f>
        <v/>
      </c>
      <c r="AB32" s="270" t="str">
        <f>IFERROR(IF(ISBLANK(INDEX(TOS!$F$6:$AP$221,$BS32,AB$42)),"",INDEX(TOS!$F$6:$AP$221,$BS32,AB$42)),"")</f>
        <v/>
      </c>
      <c r="AC32" s="270" t="str">
        <f>IFERROR(IF(ISBLANK(INDEX(TOS!$F$6:$AP$221,$BS32,AC$42)),"",INDEX(TOS!$F$6:$AP$221,$BS32,AC$42)),"")</f>
        <v/>
      </c>
      <c r="AD32" s="270" t="str">
        <f>IFERROR(IF(ISBLANK(INDEX(TOS!$F$6:$AP$221,$BS32,AD$42)),"",INDEX(TOS!$F$6:$AP$221,$BS32,AD$42)),"")</f>
        <v/>
      </c>
      <c r="AE32" s="270" t="str">
        <f>IFERROR(IF(ISBLANK(INDEX(TOS!$F$6:$AP$221,$BS32,AE$42)),"",INDEX(TOS!$F$6:$AP$221,$BS32,AE$42)),"")</f>
        <v/>
      </c>
      <c r="AF32" s="270" t="str">
        <f>IFERROR(IF(ISBLANK(INDEX(TOS!$F$6:$AP$221,$BS32,AF$42)),"",INDEX(TOS!$F$6:$AP$221,$BS32,AF$42)),"")</f>
        <v/>
      </c>
      <c r="AG32" s="270" t="str">
        <f>IFERROR(IF(ISBLANK(INDEX(TOS!$F$6:$AP$221,$BS32,AG$42)),"",INDEX(TOS!$F$6:$AP$221,$BS32,AG$42)),"")</f>
        <v/>
      </c>
      <c r="AH32" s="270" t="str">
        <f>IFERROR(IF(ISBLANK(INDEX(TOS!$F$6:$AP$221,$BS32,AH$42)),"",INDEX(TOS!$F$6:$AP$221,$BS32,AH$42)),"")</f>
        <v/>
      </c>
      <c r="AI32" s="270" t="str">
        <f>IFERROR(IF(ISBLANK(INDEX(TOS!$F$6:$AP$221,$BS32,AI$42)),"",INDEX(TOS!$F$6:$AP$221,$BS32,AI$42)),"")</f>
        <v/>
      </c>
      <c r="AJ32" s="270" t="str">
        <f>IFERROR(IF(ISBLANK(INDEX(TOS!$F$6:$AP$221,$BS32,AJ$42)),"",INDEX(TOS!$F$6:$AP$221,$BS32,AJ$42)),"")</f>
        <v/>
      </c>
      <c r="AK32" s="270" t="str">
        <f>IFERROR(IF(ISBLANK(INDEX(TOS!$F$6:$AP$221,$BS32,AK$42)),"",INDEX(TOS!$F$6:$AP$221,$BS32,AK$42)),"")</f>
        <v/>
      </c>
      <c r="AL32" s="270" t="str">
        <f>IFERROR(IF(ISBLANK(INDEX(TOS!$F$6:$AP$221,$BS32,AL$42)),"",INDEX(TOS!$F$6:$AP$221,$BS32,AL$42)),"")</f>
        <v/>
      </c>
      <c r="AM32" s="270" t="str">
        <f>IFERROR(IF(ISBLANK(INDEX(TOS!$F$6:$AP$221,$BS32,AM$42)),"",INDEX(TOS!$F$6:$AP$221,$BS32,AM$42)),"")</f>
        <v/>
      </c>
      <c r="AN32" s="270" t="str">
        <f>IFERROR(IF(ISBLANK(INDEX(TOS!$F$6:$AP$221,$BS32,AN$42)),"",INDEX(TOS!$F$6:$AP$221,$BS32,AN$42)),"")</f>
        <v/>
      </c>
      <c r="AO32" s="270" t="str">
        <f>IFERROR(IF(ISBLANK(INDEX(TOS!$F$6:$AP$221,$BS32,AO$42)),"",INDEX(TOS!$F$6:$AP$221,$BS32,AO$42)),"")</f>
        <v/>
      </c>
      <c r="AP32" s="270" t="str">
        <f>IFERROR(IF(ISBLANK(INDEX(TOS!$F$6:$AP$221,$BS32,AP$42)),"",INDEX(TOS!$F$6:$AP$221,$BS32,AP$42)),"")</f>
        <v/>
      </c>
      <c r="AQ32" s="270" t="str">
        <f>IFERROR(IF(ISBLANK(INDEX(TOS!$F$6:$AP$221,$BS32,AQ$42)),"",INDEX(TOS!$F$6:$AP$221,$BS32,AQ$42)),"")</f>
        <v/>
      </c>
      <c r="AR32" s="270" t="str">
        <f>IFERROR(IF(ISBLANK(INDEX(TOS!$F$6:$AP$221,$BS32,AR$42)),"",INDEX(TOS!$F$6:$AP$221,$BS32,AR$42)),"")</f>
        <v/>
      </c>
      <c r="AS32" s="270" t="str">
        <f>IFERROR(IF(ISBLANK(INDEX(TOS!$F$6:$AP$221,$BS32,AS$42)),"",INDEX(TOS!$F$6:$AP$221,$BS32,AS$42)),"")</f>
        <v/>
      </c>
      <c r="AT32" s="270" t="str">
        <f>IFERROR(IF(ISBLANK(INDEX(TOS!$F$6:$AP$221,$BS32,AT$42)),"",INDEX(TOS!$F$6:$AP$221,$BS32,AT$42)),"")</f>
        <v/>
      </c>
      <c r="AU32" s="270" t="str">
        <f>IFERROR(IF(ISBLANK(INDEX(TOS!$F$6:$AP$221,$BS32,AU$42)),"",INDEX(TOS!$F$6:$AP$221,$BS32,AU$42)),"")</f>
        <v/>
      </c>
      <c r="AV32" s="270" t="str">
        <f>IFERROR(IF(ISBLANK(INDEX(TOS!$F$6:$AP$221,$BS32,AV$42)),"",INDEX(TOS!$F$6:$AP$221,$BS32,AV$42)),"")</f>
        <v/>
      </c>
      <c r="AW32" s="270" t="str">
        <f>IFERROR(IF(ISBLANK(INDEX(TOS!$F$6:$AP$221,$BS32,AW$42)),"",INDEX(TOS!$F$6:$AP$221,$BS32,AW$42)),"")</f>
        <v/>
      </c>
      <c r="AX32" s="270" t="str">
        <f>IFERROR(IF(ISBLANK(INDEX(TOS!$F$6:$AP$221,$BS32,AX$42)),"",INDEX(TOS!$F$6:$AP$221,$BS32,AX$42)),"")</f>
        <v/>
      </c>
      <c r="AY32" s="270" t="str">
        <f>IFERROR(IF(ISBLANK(INDEX(TOS!$F$6:$AP$221,$BS32,AY$42)),"",INDEX(TOS!$F$6:$AP$221,$BS32,AY$42)),"")</f>
        <v/>
      </c>
      <c r="AZ32" s="270" t="str">
        <f>IFERROR(IF(ISBLANK(INDEX(TOS!$F$6:$AP$221,$BS32,AZ$42)),"",INDEX(TOS!$F$6:$AP$221,$BS32,AZ$42)),"")</f>
        <v/>
      </c>
      <c r="BA32" s="270" t="str">
        <f>IFERROR(IF(ISBLANK(INDEX(TOS!$F$6:$AP$221,$BS32,BA$42)),"",INDEX(TOS!$F$6:$AP$221,$BS32,BA$42)),"")</f>
        <v/>
      </c>
      <c r="BB32" s="270" t="str">
        <f>IFERROR(IF(ISBLANK(INDEX(TOS!$F$6:$AP$221,$BS32,BB$42)),"",INDEX(TOS!$F$6:$AP$221,$BS32,BB$42)),"")</f>
        <v/>
      </c>
      <c r="BC32" s="270" t="str">
        <f>IFERROR(IF(ISBLANK(INDEX(TOS!$F$6:$AP$221,$BS32,BC$42)),"",INDEX(TOS!$F$6:$AP$221,$BS32,BC$42)),"")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IF(More_Plans,MATCH($A32,Database!$CG$8:$CG$357,0),NA())</f>
        <v>#N/A</v>
      </c>
      <c r="BR32" s="118">
        <f>Locked*IFERROR((($K32-INDEX(Trends!$AA$5:$AA$8,MATCH($I32,{24,12,6,3},-1)))&lt;BR$25),0)</f>
        <v>0</v>
      </c>
      <c r="BS32" t="e">
        <f>MATCH(SUBSTITUTE(INDEX(Database!$U$8:$U$357,$BQ32),"~","~~"),TOS!$C$6:$C$221,0)</f>
        <v>#N/A</v>
      </c>
      <c r="BT32" t="e">
        <f>MATCH(INDEX(Database!$F$8:$F$357,$BQ32),REP_Info!$D$6:$D$250,0)</f>
        <v>#N/A</v>
      </c>
      <c r="BU32" t="str">
        <f>IFERROR(INDEX(Database!$CV$8:$CV$357,$BQ32),"")</f>
        <v/>
      </c>
      <c r="BV32" t="str">
        <f>""</f>
        <v/>
      </c>
      <c r="BZ32" t="s">
        <v>209</v>
      </c>
      <c r="CD32" t="str">
        <f>""</f>
        <v/>
      </c>
      <c r="CN32" t="e">
        <f>INDEX(Database!$AG$8:$BG$357,$BQ32,CN$22)</f>
        <v>#N/A</v>
      </c>
      <c r="CO32" t="e">
        <f>IF(ISBLANK(INDEX(Database!$AG$8:$BG$357,$BQ32,CO$22)),"",INDEX(Database!$AG$8:$BG$357,$BQ32,CO$22))</f>
        <v>#N/A</v>
      </c>
      <c r="CP32" t="e">
        <f>IF(ISBLANK(INDEX(Database!$AG$8:$BG$357,$BQ32,CP$22)),"",INDEX(Database!$AG$8:$BG$357,$BQ32,CP$22))</f>
        <v>#N/A</v>
      </c>
      <c r="CQ32" t="e">
        <f>IF(ISBLANK(INDEX(Database!$AG$8:$BG$357,$BQ32,CQ$22)),"",INDEX(Database!$AG$8:$BG$357,$BQ32,CQ$22))</f>
        <v>#N/A</v>
      </c>
      <c r="CR32" t="e">
        <f>IF(ISBLANK(INDEX(Database!$AG$8:$BG$357,$BQ32,CR$22)),"",INDEX(Database!$AG$8:$BG$357,$BQ32,CR$22))</f>
        <v>#N/A</v>
      </c>
      <c r="CS32" t="e">
        <f>IF(ISBLANK(INDEX(Database!$AG$8:$BG$357,$BQ32,CS$22)),"",INDEX(Database!$AG$8:$BG$357,$BQ32,CS$22))</f>
        <v>#N/A</v>
      </c>
      <c r="CT32" t="e">
        <f>IF(ISBLANK(INDEX(Database!$AG$8:$BG$357,$BQ32,CT$22)),"",INDEX(Database!$AG$8:$BG$357,$BQ32,CT$22))</f>
        <v>#N/A</v>
      </c>
      <c r="CU32" t="e">
        <f>IF(ISBLANK(INDEX(Database!$AG$8:$BG$357,$BQ32,CU$22)),"",INDEX(Database!$AG$8:$BG$357,$BQ32,CU$22))</f>
        <v>#N/A</v>
      </c>
      <c r="CV32" t="e">
        <f>IF(ISBLANK(INDEX(Database!$AG$8:$BG$357,$BQ32,CV$22)),"",INDEX(Database!$AG$8:$BG$357,$BQ32,CV$22))</f>
        <v>#N/A</v>
      </c>
      <c r="CW32" t="e">
        <f>IF(ISBLANK(INDEX(Database!$AG$8:$BG$357,$BQ32,CW$22)),"",INDEX(Database!$AG$8:$BG$357,$BQ32,CW$22))</f>
        <v>#N/A</v>
      </c>
      <c r="CX32" t="e">
        <f>IF(ISBLANK(INDEX(Database!$AG$8:$BG$357,$BQ32,CX$22)),"",INDEX(Database!$AG$8:$BG$357,$BQ32,CX$22))</f>
        <v>#N/A</v>
      </c>
      <c r="CY32" t="e">
        <f>INDEX(Database!$AG$8:$BG$357,$BQ32,CY$22)</f>
        <v>#N/A</v>
      </c>
      <c r="CZ32" t="e">
        <f>INDEX(Database!$AG$8:$BG$357,$BQ32,CZ$22)</f>
        <v>#N/A</v>
      </c>
      <c r="DA32" t="e">
        <f>INDEX(Database!$AG$8:$BG$357,$BQ32,DA$22)</f>
        <v>#N/A</v>
      </c>
      <c r="DB32" t="e">
        <f>INDEX(Database!$AG$8:$BG$357,$BQ32,DB$22)</f>
        <v>#N/A</v>
      </c>
      <c r="DC32" t="e">
        <f>INDEX(Database!$AG$8:$BG$357,$BQ32,DC$22)</f>
        <v>#N/A</v>
      </c>
      <c r="DD32" t="e">
        <f>INDEX(Database!$AG$8:$BG$357,$BQ32,DD$22)</f>
        <v>#N/A</v>
      </c>
      <c r="DE32" s="31" t="e">
        <f>INDEX(Database!$AG$8:$BG$357,$BQ32,DE$22)</f>
        <v>#N/A</v>
      </c>
      <c r="DF32" s="31" t="e">
        <f>INDEX(Database!$AG$8:$BG$357,$BQ32,DF$22)</f>
        <v>#N/A</v>
      </c>
      <c r="DG32" s="31" t="e">
        <f>INDEX(Database!$AG$8:$BG$357,$BQ32,DG$22)</f>
        <v>#N/A</v>
      </c>
      <c r="DH32" s="31" t="e">
        <f>INDEX(Database!$AG$8:$BG$357,$BQ32,DH$22)</f>
        <v>#N/A</v>
      </c>
      <c r="DI32" s="31" t="e">
        <f>INDEX(Database!$AG$8:$BG$357,$BQ32,DI$22)</f>
        <v>#N/A</v>
      </c>
      <c r="DJ32" s="5" t="e">
        <f>INDEX(Database!$AG$8:$BG$357,$BQ32,DJ$22)</f>
        <v>#N/A</v>
      </c>
      <c r="DK32" s="35" t="e">
        <f>INDEX(Database!$AG$8:$BG$357,$BQ32,DK$22)</f>
        <v>#N/A</v>
      </c>
      <c r="DL32" s="6" t="e">
        <f>INDEX(Database!$AG$8:$BG$357,$BQ32,DL$22)</f>
        <v>#N/A</v>
      </c>
      <c r="DM32" s="35" t="e">
        <f>INDEX(Database!$AG$8:$BG$357,$BQ32,DM$22)</f>
        <v>#N/A</v>
      </c>
      <c r="DN32" s="35" t="e">
        <f>INDEX(Database!$AG$8:$BG$357,$BQ32,DN$22)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306" t="str">
        <f>IF(More_Plans,IF(Locked,IF(Selected_Plan,HYPERLINK("https://www.paypal.com/cgi-bin/webscr?cmd=_s-xclick&amp;hosted_button_id=7ZQ7FRBT2DNJU",$BZ33),$BV33),IFERROR(PROPER(INDEX(Database!$G$8:$G$357,$BQ33)),"")),"")</f>
        <v/>
      </c>
      <c r="C33" s="306"/>
      <c r="D33" s="306"/>
      <c r="E33" s="306"/>
      <c r="F33" s="306"/>
      <c r="G33" s="260" t="str">
        <f>IF(Locked,"",IFERROR(HYPERLINK(INDEX(Database!$Y$8:$Y$357,$BQ33),"EFL"),""))</f>
        <v/>
      </c>
      <c r="H33" s="260" t="str">
        <f>IF(Locked,"",IFERROR(HYPERLINK(INDEX(Database!$U$8:$U$357,$BQ33),"TOS"),""))</f>
        <v/>
      </c>
      <c r="I33" s="299" t="str">
        <f>IFERROR(INDEX(Database!$Q$8:$Q$357,$BQ33),"")</f>
        <v/>
      </c>
      <c r="J33" s="299"/>
      <c r="K33" s="195" t="str">
        <f>IFERROR(IF(All_In,INDEX(Database!$BQ$8:$BQ$357,$BQ33),INDEX(Database!$BR$8:$BR$357,$BQ33)),"")</f>
        <v/>
      </c>
      <c r="L33" s="194" t="str">
        <f>IFERROR(INDEX(Database!$BO$8:$BO$357,$BQ33),"")</f>
        <v/>
      </c>
      <c r="M33" s="243" t="str">
        <f>IFERROR(INDEX(Database!$CX$8:$CX$357,$BQ33),"")</f>
        <v/>
      </c>
      <c r="N33" s="201" t="str">
        <f>IFERROR(INDEX(Database!$BH$8:$BH$357,$BQ33),"")</f>
        <v/>
      </c>
      <c r="O33" s="179"/>
      <c r="P33" s="179" t="str">
        <f>IFERROR(INDEX(Database!$P$8:$P$357,$BQ33),"")</f>
        <v/>
      </c>
      <c r="Q33" s="240" t="str">
        <f>IFERROR(INDEX(Database!$CR$8:$CR$357,$BQ33),"")</f>
        <v/>
      </c>
      <c r="R33" s="180" t="str">
        <f>IFERROR(INDEX(Database!$AC$8:$AC$357,$BQ33),"")</f>
        <v/>
      </c>
      <c r="S33" s="291" t="str" cm="1">
        <f t="array" ref="S33">IF(More_Plans,IF(Locked,$CD33,IF(ISNUMBER($BT33),INDEX(REP_Info!$E$6:$E$250,$BT33),"")),"")</f>
        <v/>
      </c>
      <c r="T33" s="291"/>
      <c r="U33" s="212" t="str">
        <f>IF(More_Plans,IF(ISNUMBER($BT33),YEAR(INDEX(REP_Info!$J$6:$J$250,$BT33)),""),"")</f>
        <v/>
      </c>
      <c r="V33" s="199" t="str">
        <f>IF(More_Plans,IF(ISNUMBER($BT33),ROUND(INDEX(REP_Info!$G$6:$G$250,$BT33)/1000,0)&amp;"k",""),"")</f>
        <v/>
      </c>
      <c r="W33" s="181" t="str">
        <f>IFERROR(INDEX(Database!$BJ$8:$BJ$357,$BQ33),"")</f>
        <v/>
      </c>
      <c r="X33" s="290"/>
      <c r="Y33" s="272" t="str">
        <f>IFERROR(IF(ISBLANK(INDEX(TOS!$F$6:$AP$221,$BS33,Y$42)),"",INDEX(TOS!$F$6:$AP$221,$BS33,Y$42)),"")</f>
        <v/>
      </c>
      <c r="Z33" s="270" t="str">
        <f>IFERROR(IF(ISBLANK(INDEX(TOS!$F$6:$AP$221,$BS33,Z$42)),"",INDEX(TOS!$F$6:$AP$221,$BS33,Z$42)),"")</f>
        <v/>
      </c>
      <c r="AA33" s="270" t="str">
        <f>IFERROR(IF(ISBLANK(INDEX(TOS!$F$6:$AP$221,$BS33,AA$42)),"",INDEX(TOS!$F$6:$AP$221,$BS33,AA$42)),"")</f>
        <v/>
      </c>
      <c r="AB33" s="270" t="str">
        <f>IFERROR(IF(ISBLANK(INDEX(TOS!$F$6:$AP$221,$BS33,AB$42)),"",INDEX(TOS!$F$6:$AP$221,$BS33,AB$42)),"")</f>
        <v/>
      </c>
      <c r="AC33" s="270" t="str">
        <f>IFERROR(IF(ISBLANK(INDEX(TOS!$F$6:$AP$221,$BS33,AC$42)),"",INDEX(TOS!$F$6:$AP$221,$BS33,AC$42)),"")</f>
        <v/>
      </c>
      <c r="AD33" s="270" t="str">
        <f>IFERROR(IF(ISBLANK(INDEX(TOS!$F$6:$AP$221,$BS33,AD$42)),"",INDEX(TOS!$F$6:$AP$221,$BS33,AD$42)),"")</f>
        <v/>
      </c>
      <c r="AE33" s="270" t="str">
        <f>IFERROR(IF(ISBLANK(INDEX(TOS!$F$6:$AP$221,$BS33,AE$42)),"",INDEX(TOS!$F$6:$AP$221,$BS33,AE$42)),"")</f>
        <v/>
      </c>
      <c r="AF33" s="270" t="str">
        <f>IFERROR(IF(ISBLANK(INDEX(TOS!$F$6:$AP$221,$BS33,AF$42)),"",INDEX(TOS!$F$6:$AP$221,$BS33,AF$42)),"")</f>
        <v/>
      </c>
      <c r="AG33" s="270" t="str">
        <f>IFERROR(IF(ISBLANK(INDEX(TOS!$F$6:$AP$221,$BS33,AG$42)),"",INDEX(TOS!$F$6:$AP$221,$BS33,AG$42)),"")</f>
        <v/>
      </c>
      <c r="AH33" s="270" t="str">
        <f>IFERROR(IF(ISBLANK(INDEX(TOS!$F$6:$AP$221,$BS33,AH$42)),"",INDEX(TOS!$F$6:$AP$221,$BS33,AH$42)),"")</f>
        <v/>
      </c>
      <c r="AI33" s="270" t="str">
        <f>IFERROR(IF(ISBLANK(INDEX(TOS!$F$6:$AP$221,$BS33,AI$42)),"",INDEX(TOS!$F$6:$AP$221,$BS33,AI$42)),"")</f>
        <v/>
      </c>
      <c r="AJ33" s="270" t="str">
        <f>IFERROR(IF(ISBLANK(INDEX(TOS!$F$6:$AP$221,$BS33,AJ$42)),"",INDEX(TOS!$F$6:$AP$221,$BS33,AJ$42)),"")</f>
        <v/>
      </c>
      <c r="AK33" s="270" t="str">
        <f>IFERROR(IF(ISBLANK(INDEX(TOS!$F$6:$AP$221,$BS33,AK$42)),"",INDEX(TOS!$F$6:$AP$221,$BS33,AK$42)),"")</f>
        <v/>
      </c>
      <c r="AL33" s="270" t="str">
        <f>IFERROR(IF(ISBLANK(INDEX(TOS!$F$6:$AP$221,$BS33,AL$42)),"",INDEX(TOS!$F$6:$AP$221,$BS33,AL$42)),"")</f>
        <v/>
      </c>
      <c r="AM33" s="270" t="str">
        <f>IFERROR(IF(ISBLANK(INDEX(TOS!$F$6:$AP$221,$BS33,AM$42)),"",INDEX(TOS!$F$6:$AP$221,$BS33,AM$42)),"")</f>
        <v/>
      </c>
      <c r="AN33" s="270" t="str">
        <f>IFERROR(IF(ISBLANK(INDEX(TOS!$F$6:$AP$221,$BS33,AN$42)),"",INDEX(TOS!$F$6:$AP$221,$BS33,AN$42)),"")</f>
        <v/>
      </c>
      <c r="AO33" s="270" t="str">
        <f>IFERROR(IF(ISBLANK(INDEX(TOS!$F$6:$AP$221,$BS33,AO$42)),"",INDEX(TOS!$F$6:$AP$221,$BS33,AO$42)),"")</f>
        <v/>
      </c>
      <c r="AP33" s="270" t="str">
        <f>IFERROR(IF(ISBLANK(INDEX(TOS!$F$6:$AP$221,$BS33,AP$42)),"",INDEX(TOS!$F$6:$AP$221,$BS33,AP$42)),"")</f>
        <v/>
      </c>
      <c r="AQ33" s="270" t="str">
        <f>IFERROR(IF(ISBLANK(INDEX(TOS!$F$6:$AP$221,$BS33,AQ$42)),"",INDEX(TOS!$F$6:$AP$221,$BS33,AQ$42)),"")</f>
        <v/>
      </c>
      <c r="AR33" s="270" t="str">
        <f>IFERROR(IF(ISBLANK(INDEX(TOS!$F$6:$AP$221,$BS33,AR$42)),"",INDEX(TOS!$F$6:$AP$221,$BS33,AR$42)),"")</f>
        <v/>
      </c>
      <c r="AS33" s="270" t="str">
        <f>IFERROR(IF(ISBLANK(INDEX(TOS!$F$6:$AP$221,$BS33,AS$42)),"",INDEX(TOS!$F$6:$AP$221,$BS33,AS$42)),"")</f>
        <v/>
      </c>
      <c r="AT33" s="270" t="str">
        <f>IFERROR(IF(ISBLANK(INDEX(TOS!$F$6:$AP$221,$BS33,AT$42)),"",INDEX(TOS!$F$6:$AP$221,$BS33,AT$42)),"")</f>
        <v/>
      </c>
      <c r="AU33" s="270" t="str">
        <f>IFERROR(IF(ISBLANK(INDEX(TOS!$F$6:$AP$221,$BS33,AU$42)),"",INDEX(TOS!$F$6:$AP$221,$BS33,AU$42)),"")</f>
        <v/>
      </c>
      <c r="AV33" s="270" t="str">
        <f>IFERROR(IF(ISBLANK(INDEX(TOS!$F$6:$AP$221,$BS33,AV$42)),"",INDEX(TOS!$F$6:$AP$221,$BS33,AV$42)),"")</f>
        <v/>
      </c>
      <c r="AW33" s="270" t="str">
        <f>IFERROR(IF(ISBLANK(INDEX(TOS!$F$6:$AP$221,$BS33,AW$42)),"",INDEX(TOS!$F$6:$AP$221,$BS33,AW$42)),"")</f>
        <v/>
      </c>
      <c r="AX33" s="270" t="str">
        <f>IFERROR(IF(ISBLANK(INDEX(TOS!$F$6:$AP$221,$BS33,AX$42)),"",INDEX(TOS!$F$6:$AP$221,$BS33,AX$42)),"")</f>
        <v/>
      </c>
      <c r="AY33" s="270" t="str">
        <f>IFERROR(IF(ISBLANK(INDEX(TOS!$F$6:$AP$221,$BS33,AY$42)),"",INDEX(TOS!$F$6:$AP$221,$BS33,AY$42)),"")</f>
        <v/>
      </c>
      <c r="AZ33" s="270" t="str">
        <f>IFERROR(IF(ISBLANK(INDEX(TOS!$F$6:$AP$221,$BS33,AZ$42)),"",INDEX(TOS!$F$6:$AP$221,$BS33,AZ$42)),"")</f>
        <v/>
      </c>
      <c r="BA33" s="270" t="str">
        <f>IFERROR(IF(ISBLANK(INDEX(TOS!$F$6:$AP$221,$BS33,BA$42)),"",INDEX(TOS!$F$6:$AP$221,$BS33,BA$42)),"")</f>
        <v/>
      </c>
      <c r="BB33" s="270" t="str">
        <f>IFERROR(IF(ISBLANK(INDEX(TOS!$F$6:$AP$221,$BS33,BB$42)),"",INDEX(TOS!$F$6:$AP$221,$BS33,BB$42)),"")</f>
        <v/>
      </c>
      <c r="BC33" s="270" t="str">
        <f>IFERROR(IF(ISBLANK(INDEX(TOS!$F$6:$AP$221,$BS33,BC$42)),"",INDEX(TOS!$F$6:$AP$221,$BS33,BC$42)),"")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IF(More_Plans,MATCH($A33,Database!$CG$8:$CG$357,0),NA())</f>
        <v>#N/A</v>
      </c>
      <c r="BR33" s="118">
        <f>Locked*IFERROR((($K33-INDEX(Trends!$AA$5:$AA$8,MATCH($I33,{24,12,6,3},-1)))&lt;BR$25),0)</f>
        <v>0</v>
      </c>
      <c r="BS33" t="e">
        <f>MATCH(SUBSTITUTE(INDEX(Database!$U$8:$U$357,$BQ33),"~","~~"),TOS!$C$6:$C$221,0)</f>
        <v>#N/A</v>
      </c>
      <c r="BT33" t="e">
        <f>MATCH(INDEX(Database!$F$8:$F$357,$BQ33),REP_Info!$D$6:$D$250,0)</f>
        <v>#N/A</v>
      </c>
      <c r="BU33" t="str">
        <f>IFERROR(INDEX(Database!$CV$8:$CV$357,$BQ33),"")</f>
        <v/>
      </c>
      <c r="BV33" t="s">
        <v>214</v>
      </c>
      <c r="BZ33" t="s">
        <v>2209</v>
      </c>
      <c r="CD33" t="str">
        <f>""</f>
        <v/>
      </c>
      <c r="CN33" t="e">
        <f>INDEX(Database!$AG$8:$BG$357,$BQ33,CN$22)</f>
        <v>#N/A</v>
      </c>
      <c r="CO33" t="e">
        <f>IF(ISBLANK(INDEX(Database!$AG$8:$BG$357,$BQ33,CO$22)),"",INDEX(Database!$AG$8:$BG$357,$BQ33,CO$22))</f>
        <v>#N/A</v>
      </c>
      <c r="CP33" t="e">
        <f>IF(ISBLANK(INDEX(Database!$AG$8:$BG$357,$BQ33,CP$22)),"",INDEX(Database!$AG$8:$BG$357,$BQ33,CP$22))</f>
        <v>#N/A</v>
      </c>
      <c r="CQ33" t="e">
        <f>IF(ISBLANK(INDEX(Database!$AG$8:$BG$357,$BQ33,CQ$22)),"",INDEX(Database!$AG$8:$BG$357,$BQ33,CQ$22))</f>
        <v>#N/A</v>
      </c>
      <c r="CR33" t="e">
        <f>IF(ISBLANK(INDEX(Database!$AG$8:$BG$357,$BQ33,CR$22)),"",INDEX(Database!$AG$8:$BG$357,$BQ33,CR$22))</f>
        <v>#N/A</v>
      </c>
      <c r="CS33" t="e">
        <f>IF(ISBLANK(INDEX(Database!$AG$8:$BG$357,$BQ33,CS$22)),"",INDEX(Database!$AG$8:$BG$357,$BQ33,CS$22))</f>
        <v>#N/A</v>
      </c>
      <c r="CT33" t="e">
        <f>IF(ISBLANK(INDEX(Database!$AG$8:$BG$357,$BQ33,CT$22)),"",INDEX(Database!$AG$8:$BG$357,$BQ33,CT$22))</f>
        <v>#N/A</v>
      </c>
      <c r="CU33" t="e">
        <f>IF(ISBLANK(INDEX(Database!$AG$8:$BG$357,$BQ33,CU$22)),"",INDEX(Database!$AG$8:$BG$357,$BQ33,CU$22))</f>
        <v>#N/A</v>
      </c>
      <c r="CV33" t="e">
        <f>IF(ISBLANK(INDEX(Database!$AG$8:$BG$357,$BQ33,CV$22)),"",INDEX(Database!$AG$8:$BG$357,$BQ33,CV$22))</f>
        <v>#N/A</v>
      </c>
      <c r="CW33" t="e">
        <f>IF(ISBLANK(INDEX(Database!$AG$8:$BG$357,$BQ33,CW$22)),"",INDEX(Database!$AG$8:$BG$357,$BQ33,CW$22))</f>
        <v>#N/A</v>
      </c>
      <c r="CX33" t="e">
        <f>IF(ISBLANK(INDEX(Database!$AG$8:$BG$357,$BQ33,CX$22)),"",INDEX(Database!$AG$8:$BG$357,$BQ33,CX$22))</f>
        <v>#N/A</v>
      </c>
      <c r="CY33" t="e">
        <f>INDEX(Database!$AG$8:$BG$357,$BQ33,CY$22)</f>
        <v>#N/A</v>
      </c>
      <c r="CZ33" t="e">
        <f>INDEX(Database!$AG$8:$BG$357,$BQ33,CZ$22)</f>
        <v>#N/A</v>
      </c>
      <c r="DA33" t="e">
        <f>INDEX(Database!$AG$8:$BG$357,$BQ33,DA$22)</f>
        <v>#N/A</v>
      </c>
      <c r="DB33" t="e">
        <f>INDEX(Database!$AG$8:$BG$357,$BQ33,DB$22)</f>
        <v>#N/A</v>
      </c>
      <c r="DC33" t="e">
        <f>INDEX(Database!$AG$8:$BG$357,$BQ33,DC$22)</f>
        <v>#N/A</v>
      </c>
      <c r="DD33" t="e">
        <f>INDEX(Database!$AG$8:$BG$357,$BQ33,DD$22)</f>
        <v>#N/A</v>
      </c>
      <c r="DE33" s="31" t="e">
        <f>INDEX(Database!$AG$8:$BG$357,$BQ33,DE$22)</f>
        <v>#N/A</v>
      </c>
      <c r="DF33" s="31" t="e">
        <f>INDEX(Database!$AG$8:$BG$357,$BQ33,DF$22)</f>
        <v>#N/A</v>
      </c>
      <c r="DG33" s="31" t="e">
        <f>INDEX(Database!$AG$8:$BG$357,$BQ33,DG$22)</f>
        <v>#N/A</v>
      </c>
      <c r="DH33" s="31" t="e">
        <f>INDEX(Database!$AG$8:$BG$357,$BQ33,DH$22)</f>
        <v>#N/A</v>
      </c>
      <c r="DI33" s="31" t="e">
        <f>INDEX(Database!$AG$8:$BG$357,$BQ33,DI$22)</f>
        <v>#N/A</v>
      </c>
      <c r="DJ33" s="5" t="e">
        <f>INDEX(Database!$AG$8:$BG$357,$BQ33,DJ$22)</f>
        <v>#N/A</v>
      </c>
      <c r="DK33" s="35" t="e">
        <f>INDEX(Database!$AG$8:$BG$357,$BQ33,DK$22)</f>
        <v>#N/A</v>
      </c>
      <c r="DL33" s="6" t="e">
        <f>INDEX(Database!$AG$8:$BG$357,$BQ33,DL$22)</f>
        <v>#N/A</v>
      </c>
      <c r="DM33" s="35" t="e">
        <f>INDEX(Database!$AG$8:$BG$357,$BQ33,DM$22)</f>
        <v>#N/A</v>
      </c>
      <c r="DN33" s="35" t="e">
        <f>INDEX(Database!$AG$8:$BG$357,$BQ33,DN$22)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306" t="str">
        <f>IF(More_Plans,IF(Locked,IF(Selected_Plan,$BZ34,$BV34),IFERROR(PROPER(INDEX(Database!$G$8:$G$357,$BQ34)),"")),"")</f>
        <v/>
      </c>
      <c r="C34" s="306"/>
      <c r="D34" s="306"/>
      <c r="E34" s="306"/>
      <c r="F34" s="306"/>
      <c r="G34" s="260" t="str">
        <f>IF(Locked,"",IFERROR(HYPERLINK(INDEX(Database!$Y$8:$Y$357,$BQ34),"EFL"),""))</f>
        <v/>
      </c>
      <c r="H34" s="260" t="str">
        <f>IF(Locked,"",IFERROR(HYPERLINK(INDEX(Database!$U$8:$U$357,$BQ34),"TOS"),""))</f>
        <v/>
      </c>
      <c r="I34" s="299" t="str">
        <f>IFERROR(INDEX(Database!$Q$8:$Q$357,$BQ34),"")</f>
        <v/>
      </c>
      <c r="J34" s="299"/>
      <c r="K34" s="195" t="str">
        <f>IFERROR(IF(All_In,INDEX(Database!$BQ$8:$BQ$357,$BQ34),INDEX(Database!$BR$8:$BR$357,$BQ34)),"")</f>
        <v/>
      </c>
      <c r="L34" s="194" t="str">
        <f>IFERROR(INDEX(Database!$BO$8:$BO$357,$BQ34),"")</f>
        <v/>
      </c>
      <c r="M34" s="243" t="str">
        <f>IFERROR(INDEX(Database!$CX$8:$CX$357,$BQ34),"")</f>
        <v/>
      </c>
      <c r="N34" s="201" t="str">
        <f>IFERROR(INDEX(Database!$BH$8:$BH$357,$BQ34),"")</f>
        <v/>
      </c>
      <c r="O34" s="179"/>
      <c r="P34" s="179" t="str">
        <f>IFERROR(INDEX(Database!$P$8:$P$357,$BQ34),"")</f>
        <v/>
      </c>
      <c r="Q34" s="240" t="str">
        <f>IFERROR(INDEX(Database!$CR$8:$CR$357,$BQ34),"")</f>
        <v/>
      </c>
      <c r="R34" s="180" t="str">
        <f>IFERROR(INDEX(Database!$AC$8:$AC$357,$BQ34),"")</f>
        <v/>
      </c>
      <c r="S34" s="291" t="str" cm="1">
        <f t="array" ref="S34">IF(More_Plans,IF(Locked,$CD34,IF(ISNUMBER($BT34),INDEX(REP_Info!$E$6:$E$250,$BT34),"")),"")</f>
        <v/>
      </c>
      <c r="T34" s="291"/>
      <c r="U34" s="212" t="str">
        <f>IF(More_Plans,IF(ISNUMBER($BT34),YEAR(INDEX(REP_Info!$J$6:$J$250,$BT34)),""),"")</f>
        <v/>
      </c>
      <c r="V34" s="199" t="str">
        <f>IF(More_Plans,IF(ISNUMBER($BT34),ROUND(INDEX(REP_Info!$G$6:$G$250,$BT34)/1000,0)&amp;"k",""),"")</f>
        <v/>
      </c>
      <c r="W34" s="181" t="str">
        <f>IFERROR(INDEX(Database!$BJ$8:$BJ$357,$BQ34),"")</f>
        <v/>
      </c>
      <c r="X34" s="290"/>
      <c r="Y34" s="272" t="str">
        <f>IFERROR(IF(ISBLANK(INDEX(TOS!$F$6:$AP$221,$BS34,Y$42)),"",INDEX(TOS!$F$6:$AP$221,$BS34,Y$42)),"")</f>
        <v/>
      </c>
      <c r="Z34" s="270" t="str">
        <f>IFERROR(IF(ISBLANK(INDEX(TOS!$F$6:$AP$221,$BS34,Z$42)),"",INDEX(TOS!$F$6:$AP$221,$BS34,Z$42)),"")</f>
        <v/>
      </c>
      <c r="AA34" s="270" t="str">
        <f>IFERROR(IF(ISBLANK(INDEX(TOS!$F$6:$AP$221,$BS34,AA$42)),"",INDEX(TOS!$F$6:$AP$221,$BS34,AA$42)),"")</f>
        <v/>
      </c>
      <c r="AB34" s="270" t="str">
        <f>IFERROR(IF(ISBLANK(INDEX(TOS!$F$6:$AP$221,$BS34,AB$42)),"",INDEX(TOS!$F$6:$AP$221,$BS34,AB$42)),"")</f>
        <v/>
      </c>
      <c r="AC34" s="270" t="str">
        <f>IFERROR(IF(ISBLANK(INDEX(TOS!$F$6:$AP$221,$BS34,AC$42)),"",INDEX(TOS!$F$6:$AP$221,$BS34,AC$42)),"")</f>
        <v/>
      </c>
      <c r="AD34" s="270" t="str">
        <f>IFERROR(IF(ISBLANK(INDEX(TOS!$F$6:$AP$221,$BS34,AD$42)),"",INDEX(TOS!$F$6:$AP$221,$BS34,AD$42)),"")</f>
        <v/>
      </c>
      <c r="AE34" s="270" t="str">
        <f>IFERROR(IF(ISBLANK(INDEX(TOS!$F$6:$AP$221,$BS34,AE$42)),"",INDEX(TOS!$F$6:$AP$221,$BS34,AE$42)),"")</f>
        <v/>
      </c>
      <c r="AF34" s="270" t="str">
        <f>IFERROR(IF(ISBLANK(INDEX(TOS!$F$6:$AP$221,$BS34,AF$42)),"",INDEX(TOS!$F$6:$AP$221,$BS34,AF$42)),"")</f>
        <v/>
      </c>
      <c r="AG34" s="270" t="str">
        <f>IFERROR(IF(ISBLANK(INDEX(TOS!$F$6:$AP$221,$BS34,AG$42)),"",INDEX(TOS!$F$6:$AP$221,$BS34,AG$42)),"")</f>
        <v/>
      </c>
      <c r="AH34" s="270" t="str">
        <f>IFERROR(IF(ISBLANK(INDEX(TOS!$F$6:$AP$221,$BS34,AH$42)),"",INDEX(TOS!$F$6:$AP$221,$BS34,AH$42)),"")</f>
        <v/>
      </c>
      <c r="AI34" s="270" t="str">
        <f>IFERROR(IF(ISBLANK(INDEX(TOS!$F$6:$AP$221,$BS34,AI$42)),"",INDEX(TOS!$F$6:$AP$221,$BS34,AI$42)),"")</f>
        <v/>
      </c>
      <c r="AJ34" s="270" t="str">
        <f>IFERROR(IF(ISBLANK(INDEX(TOS!$F$6:$AP$221,$BS34,AJ$42)),"",INDEX(TOS!$F$6:$AP$221,$BS34,AJ$42)),"")</f>
        <v/>
      </c>
      <c r="AK34" s="270" t="str">
        <f>IFERROR(IF(ISBLANK(INDEX(TOS!$F$6:$AP$221,$BS34,AK$42)),"",INDEX(TOS!$F$6:$AP$221,$BS34,AK$42)),"")</f>
        <v/>
      </c>
      <c r="AL34" s="270" t="str">
        <f>IFERROR(IF(ISBLANK(INDEX(TOS!$F$6:$AP$221,$BS34,AL$42)),"",INDEX(TOS!$F$6:$AP$221,$BS34,AL$42)),"")</f>
        <v/>
      </c>
      <c r="AM34" s="270" t="str">
        <f>IFERROR(IF(ISBLANK(INDEX(TOS!$F$6:$AP$221,$BS34,AM$42)),"",INDEX(TOS!$F$6:$AP$221,$BS34,AM$42)),"")</f>
        <v/>
      </c>
      <c r="AN34" s="270" t="str">
        <f>IFERROR(IF(ISBLANK(INDEX(TOS!$F$6:$AP$221,$BS34,AN$42)),"",INDEX(TOS!$F$6:$AP$221,$BS34,AN$42)),"")</f>
        <v/>
      </c>
      <c r="AO34" s="270" t="str">
        <f>IFERROR(IF(ISBLANK(INDEX(TOS!$F$6:$AP$221,$BS34,AO$42)),"",INDEX(TOS!$F$6:$AP$221,$BS34,AO$42)),"")</f>
        <v/>
      </c>
      <c r="AP34" s="270" t="str">
        <f>IFERROR(IF(ISBLANK(INDEX(TOS!$F$6:$AP$221,$BS34,AP$42)),"",INDEX(TOS!$F$6:$AP$221,$BS34,AP$42)),"")</f>
        <v/>
      </c>
      <c r="AQ34" s="270" t="str">
        <f>IFERROR(IF(ISBLANK(INDEX(TOS!$F$6:$AP$221,$BS34,AQ$42)),"",INDEX(TOS!$F$6:$AP$221,$BS34,AQ$42)),"")</f>
        <v/>
      </c>
      <c r="AR34" s="270" t="str">
        <f>IFERROR(IF(ISBLANK(INDEX(TOS!$F$6:$AP$221,$BS34,AR$42)),"",INDEX(TOS!$F$6:$AP$221,$BS34,AR$42)),"")</f>
        <v/>
      </c>
      <c r="AS34" s="270" t="str">
        <f>IFERROR(IF(ISBLANK(INDEX(TOS!$F$6:$AP$221,$BS34,AS$42)),"",INDEX(TOS!$F$6:$AP$221,$BS34,AS$42)),"")</f>
        <v/>
      </c>
      <c r="AT34" s="270" t="str">
        <f>IFERROR(IF(ISBLANK(INDEX(TOS!$F$6:$AP$221,$BS34,AT$42)),"",INDEX(TOS!$F$6:$AP$221,$BS34,AT$42)),"")</f>
        <v/>
      </c>
      <c r="AU34" s="270" t="str">
        <f>IFERROR(IF(ISBLANK(INDEX(TOS!$F$6:$AP$221,$BS34,AU$42)),"",INDEX(TOS!$F$6:$AP$221,$BS34,AU$42)),"")</f>
        <v/>
      </c>
      <c r="AV34" s="270" t="str">
        <f>IFERROR(IF(ISBLANK(INDEX(TOS!$F$6:$AP$221,$BS34,AV$42)),"",INDEX(TOS!$F$6:$AP$221,$BS34,AV$42)),"")</f>
        <v/>
      </c>
      <c r="AW34" s="270" t="str">
        <f>IFERROR(IF(ISBLANK(INDEX(TOS!$F$6:$AP$221,$BS34,AW$42)),"",INDEX(TOS!$F$6:$AP$221,$BS34,AW$42)),"")</f>
        <v/>
      </c>
      <c r="AX34" s="270" t="str">
        <f>IFERROR(IF(ISBLANK(INDEX(TOS!$F$6:$AP$221,$BS34,AX$42)),"",INDEX(TOS!$F$6:$AP$221,$BS34,AX$42)),"")</f>
        <v/>
      </c>
      <c r="AY34" s="270" t="str">
        <f>IFERROR(IF(ISBLANK(INDEX(TOS!$F$6:$AP$221,$BS34,AY$42)),"",INDEX(TOS!$F$6:$AP$221,$BS34,AY$42)),"")</f>
        <v/>
      </c>
      <c r="AZ34" s="270" t="str">
        <f>IFERROR(IF(ISBLANK(INDEX(TOS!$F$6:$AP$221,$BS34,AZ$42)),"",INDEX(TOS!$F$6:$AP$221,$BS34,AZ$42)),"")</f>
        <v/>
      </c>
      <c r="BA34" s="270" t="str">
        <f>IFERROR(IF(ISBLANK(INDEX(TOS!$F$6:$AP$221,$BS34,BA$42)),"",INDEX(TOS!$F$6:$AP$221,$BS34,BA$42)),"")</f>
        <v/>
      </c>
      <c r="BB34" s="270" t="str">
        <f>IFERROR(IF(ISBLANK(INDEX(TOS!$F$6:$AP$221,$BS34,BB$42)),"",INDEX(TOS!$F$6:$AP$221,$BS34,BB$42)),"")</f>
        <v/>
      </c>
      <c r="BC34" s="270" t="str">
        <f>IFERROR(IF(ISBLANK(INDEX(TOS!$F$6:$AP$221,$BS34,BC$42)),"",INDEX(TOS!$F$6:$AP$221,$BS34,BC$42)),"")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IF(More_Plans,MATCH($A34,Database!$CG$8:$CG$357,0),NA())</f>
        <v>#N/A</v>
      </c>
      <c r="BR34" s="118">
        <f>Locked*IFERROR((($K34-INDEX(Trends!$AA$5:$AA$8,MATCH($I34,{24,12,6,3},-1)))&lt;BR$25),0)</f>
        <v>0</v>
      </c>
      <c r="BS34" t="e">
        <f>MATCH(SUBSTITUTE(INDEX(Database!$U$8:$U$357,$BQ34),"~","~~"),TOS!$C$6:$C$221,0)</f>
        <v>#N/A</v>
      </c>
      <c r="BT34" t="e">
        <f>MATCH(INDEX(Database!$F$8:$F$357,$BQ34),REP_Info!$D$6:$D$250,0)</f>
        <v>#N/A</v>
      </c>
      <c r="BU34" t="str">
        <f>IFERROR(INDEX(Database!$CV$8:$CV$357,$BQ34),"")</f>
        <v/>
      </c>
      <c r="BV34" t="s">
        <v>217</v>
      </c>
      <c r="BZ34" t="s">
        <v>218</v>
      </c>
      <c r="CD34" t="str">
        <f>""</f>
        <v/>
      </c>
      <c r="CN34" t="e">
        <f>INDEX(Database!$AG$8:$BG$357,$BQ34,CN$22)</f>
        <v>#N/A</v>
      </c>
      <c r="CO34" t="e">
        <f>IF(ISBLANK(INDEX(Database!$AG$8:$BG$357,$BQ34,CO$22)),"",INDEX(Database!$AG$8:$BG$357,$BQ34,CO$22))</f>
        <v>#N/A</v>
      </c>
      <c r="CP34" t="e">
        <f>IF(ISBLANK(INDEX(Database!$AG$8:$BG$357,$BQ34,CP$22)),"",INDEX(Database!$AG$8:$BG$357,$BQ34,CP$22))</f>
        <v>#N/A</v>
      </c>
      <c r="CQ34" t="e">
        <f>IF(ISBLANK(INDEX(Database!$AG$8:$BG$357,$BQ34,CQ$22)),"",INDEX(Database!$AG$8:$BG$357,$BQ34,CQ$22))</f>
        <v>#N/A</v>
      </c>
      <c r="CR34" t="e">
        <f>IF(ISBLANK(INDEX(Database!$AG$8:$BG$357,$BQ34,CR$22)),"",INDEX(Database!$AG$8:$BG$357,$BQ34,CR$22))</f>
        <v>#N/A</v>
      </c>
      <c r="CS34" t="e">
        <f>IF(ISBLANK(INDEX(Database!$AG$8:$BG$357,$BQ34,CS$22)),"",INDEX(Database!$AG$8:$BG$357,$BQ34,CS$22))</f>
        <v>#N/A</v>
      </c>
      <c r="CT34" t="e">
        <f>IF(ISBLANK(INDEX(Database!$AG$8:$BG$357,$BQ34,CT$22)),"",INDEX(Database!$AG$8:$BG$357,$BQ34,CT$22))</f>
        <v>#N/A</v>
      </c>
      <c r="CU34" t="e">
        <f>IF(ISBLANK(INDEX(Database!$AG$8:$BG$357,$BQ34,CU$22)),"",INDEX(Database!$AG$8:$BG$357,$BQ34,CU$22))</f>
        <v>#N/A</v>
      </c>
      <c r="CV34" t="e">
        <f>IF(ISBLANK(INDEX(Database!$AG$8:$BG$357,$BQ34,CV$22)),"",INDEX(Database!$AG$8:$BG$357,$BQ34,CV$22))</f>
        <v>#N/A</v>
      </c>
      <c r="CW34" t="e">
        <f>IF(ISBLANK(INDEX(Database!$AG$8:$BG$357,$BQ34,CW$22)),"",INDEX(Database!$AG$8:$BG$357,$BQ34,CW$22))</f>
        <v>#N/A</v>
      </c>
      <c r="CX34" t="e">
        <f>IF(ISBLANK(INDEX(Database!$AG$8:$BG$357,$BQ34,CX$22)),"",INDEX(Database!$AG$8:$BG$357,$BQ34,CX$22))</f>
        <v>#N/A</v>
      </c>
      <c r="CY34" t="e">
        <f>INDEX(Database!$AG$8:$BG$357,$BQ34,CY$22)</f>
        <v>#N/A</v>
      </c>
      <c r="CZ34" t="e">
        <f>INDEX(Database!$AG$8:$BG$357,$BQ34,CZ$22)</f>
        <v>#N/A</v>
      </c>
      <c r="DA34" t="e">
        <f>INDEX(Database!$AG$8:$BG$357,$BQ34,DA$22)</f>
        <v>#N/A</v>
      </c>
      <c r="DB34" t="e">
        <f>INDEX(Database!$AG$8:$BG$357,$BQ34,DB$22)</f>
        <v>#N/A</v>
      </c>
      <c r="DC34" t="e">
        <f>INDEX(Database!$AG$8:$BG$357,$BQ34,DC$22)</f>
        <v>#N/A</v>
      </c>
      <c r="DD34" t="e">
        <f>INDEX(Database!$AG$8:$BG$357,$BQ34,DD$22)</f>
        <v>#N/A</v>
      </c>
      <c r="DE34" s="31" t="e">
        <f>INDEX(Database!$AG$8:$BG$357,$BQ34,DE$22)</f>
        <v>#N/A</v>
      </c>
      <c r="DF34" s="31" t="e">
        <f>INDEX(Database!$AG$8:$BG$357,$BQ34,DF$22)</f>
        <v>#N/A</v>
      </c>
      <c r="DG34" s="31" t="e">
        <f>INDEX(Database!$AG$8:$BG$357,$BQ34,DG$22)</f>
        <v>#N/A</v>
      </c>
      <c r="DH34" s="31" t="e">
        <f>INDEX(Database!$AG$8:$BG$357,$BQ34,DH$22)</f>
        <v>#N/A</v>
      </c>
      <c r="DI34" s="31" t="e">
        <f>INDEX(Database!$AG$8:$BG$357,$BQ34,DI$22)</f>
        <v>#N/A</v>
      </c>
      <c r="DJ34" s="5" t="e">
        <f>INDEX(Database!$AG$8:$BG$357,$BQ34,DJ$22)</f>
        <v>#N/A</v>
      </c>
      <c r="DK34" s="35" t="e">
        <f>INDEX(Database!$AG$8:$BG$357,$BQ34,DK$22)</f>
        <v>#N/A</v>
      </c>
      <c r="DL34" s="6" t="e">
        <f>INDEX(Database!$AG$8:$BG$357,$BQ34,DL$22)</f>
        <v>#N/A</v>
      </c>
      <c r="DM34" s="35" t="e">
        <f>INDEX(Database!$AG$8:$BG$357,$BQ34,DM$22)</f>
        <v>#N/A</v>
      </c>
      <c r="DN34" s="35" t="e">
        <f>INDEX(Database!$AG$8:$BG$357,$BQ34,DN$22)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306" t="str">
        <f>IF(More_Plans,IF(Locked,IF(Selected_Plan,$BZ35,$BV35),IFERROR(PROPER(INDEX(Database!$G$8:$G$357,$BQ35)),"")),"")</f>
        <v/>
      </c>
      <c r="C35" s="306"/>
      <c r="D35" s="306"/>
      <c r="E35" s="306"/>
      <c r="F35" s="306"/>
      <c r="G35" s="260" t="str">
        <f>IF(Locked,"",IFERROR(HYPERLINK(INDEX(Database!$Y$8:$Y$357,$BQ35),"EFL"),""))</f>
        <v/>
      </c>
      <c r="H35" s="260" t="str">
        <f>IF(Locked,"",IFERROR(HYPERLINK(INDEX(Database!$U$8:$U$357,$BQ35),"TOS"),""))</f>
        <v/>
      </c>
      <c r="I35" s="299" t="str">
        <f>IFERROR(INDEX(Database!$Q$8:$Q$357,$BQ35),"")</f>
        <v/>
      </c>
      <c r="J35" s="299"/>
      <c r="K35" s="195" t="str">
        <f>IFERROR(IF(All_In,INDEX(Database!$BQ$8:$BQ$357,$BQ35),INDEX(Database!$BR$8:$BR$357,$BQ35)),"")</f>
        <v/>
      </c>
      <c r="L35" s="194" t="str">
        <f>IFERROR(INDEX(Database!$BO$8:$BO$357,$BQ35),"")</f>
        <v/>
      </c>
      <c r="M35" s="243" t="str">
        <f>IFERROR(INDEX(Database!$CX$8:$CX$357,$BQ35),"")</f>
        <v/>
      </c>
      <c r="N35" s="201" t="str">
        <f>IFERROR(INDEX(Database!$BH$8:$BH$357,$BQ35),"")</f>
        <v/>
      </c>
      <c r="O35" s="179"/>
      <c r="P35" s="179" t="str">
        <f>IFERROR(INDEX(Database!$P$8:$P$357,$BQ35),"")</f>
        <v/>
      </c>
      <c r="Q35" s="240" t="str">
        <f>IFERROR(INDEX(Database!$CR$8:$CR$357,$BQ35),"")</f>
        <v/>
      </c>
      <c r="R35" s="180" t="str">
        <f>IFERROR(INDEX(Database!$AC$8:$AC$357,$BQ35),"")</f>
        <v/>
      </c>
      <c r="S35" s="291" t="str" cm="1">
        <f t="array" ref="S35">IF(More_Plans,IF(Locked,$CD35,IF(ISNUMBER($BT35),INDEX(REP_Info!$E$6:$E$250,$BT35),"")),"")</f>
        <v/>
      </c>
      <c r="T35" s="291"/>
      <c r="U35" s="212" t="str">
        <f>IF(More_Plans,IF(ISNUMBER($BT35),YEAR(INDEX(REP_Info!$J$6:$J$250,$BT35)),""),"")</f>
        <v/>
      </c>
      <c r="V35" s="199" t="str">
        <f>IF(More_Plans,IF(ISNUMBER($BT35),ROUND(INDEX(REP_Info!$G$6:$G$250,$BT35)/1000,0)&amp;"k",""),"")</f>
        <v/>
      </c>
      <c r="W35" s="181" t="str">
        <f>IFERROR(INDEX(Database!$BJ$8:$BJ$357,$BQ35),"")</f>
        <v/>
      </c>
      <c r="X35" s="290"/>
      <c r="Y35" s="272" t="str">
        <f>IFERROR(IF(ISBLANK(INDEX(TOS!$F$6:$AP$221,$BS35,Y$42)),"",INDEX(TOS!$F$6:$AP$221,$BS35,Y$42)),"")</f>
        <v/>
      </c>
      <c r="Z35" s="270" t="str">
        <f>IFERROR(IF(ISBLANK(INDEX(TOS!$F$6:$AP$221,$BS35,Z$42)),"",INDEX(TOS!$F$6:$AP$221,$BS35,Z$42)),"")</f>
        <v/>
      </c>
      <c r="AA35" s="270" t="str">
        <f>IFERROR(IF(ISBLANK(INDEX(TOS!$F$6:$AP$221,$BS35,AA$42)),"",INDEX(TOS!$F$6:$AP$221,$BS35,AA$42)),"")</f>
        <v/>
      </c>
      <c r="AB35" s="270" t="str">
        <f>IFERROR(IF(ISBLANK(INDEX(TOS!$F$6:$AP$221,$BS35,AB$42)),"",INDEX(TOS!$F$6:$AP$221,$BS35,AB$42)),"")</f>
        <v/>
      </c>
      <c r="AC35" s="270" t="str">
        <f>IFERROR(IF(ISBLANK(INDEX(TOS!$F$6:$AP$221,$BS35,AC$42)),"",INDEX(TOS!$F$6:$AP$221,$BS35,AC$42)),"")</f>
        <v/>
      </c>
      <c r="AD35" s="270" t="str">
        <f>IFERROR(IF(ISBLANK(INDEX(TOS!$F$6:$AP$221,$BS35,AD$42)),"",INDEX(TOS!$F$6:$AP$221,$BS35,AD$42)),"")</f>
        <v/>
      </c>
      <c r="AE35" s="270" t="str">
        <f>IFERROR(IF(ISBLANK(INDEX(TOS!$F$6:$AP$221,$BS35,AE$42)),"",INDEX(TOS!$F$6:$AP$221,$BS35,AE$42)),"")</f>
        <v/>
      </c>
      <c r="AF35" s="270" t="str">
        <f>IFERROR(IF(ISBLANK(INDEX(TOS!$F$6:$AP$221,$BS35,AF$42)),"",INDEX(TOS!$F$6:$AP$221,$BS35,AF$42)),"")</f>
        <v/>
      </c>
      <c r="AG35" s="270" t="str">
        <f>IFERROR(IF(ISBLANK(INDEX(TOS!$F$6:$AP$221,$BS35,AG$42)),"",INDEX(TOS!$F$6:$AP$221,$BS35,AG$42)),"")</f>
        <v/>
      </c>
      <c r="AH35" s="270" t="str">
        <f>IFERROR(IF(ISBLANK(INDEX(TOS!$F$6:$AP$221,$BS35,AH$42)),"",INDEX(TOS!$F$6:$AP$221,$BS35,AH$42)),"")</f>
        <v/>
      </c>
      <c r="AI35" s="270" t="str">
        <f>IFERROR(IF(ISBLANK(INDEX(TOS!$F$6:$AP$221,$BS35,AI$42)),"",INDEX(TOS!$F$6:$AP$221,$BS35,AI$42)),"")</f>
        <v/>
      </c>
      <c r="AJ35" s="270" t="str">
        <f>IFERROR(IF(ISBLANK(INDEX(TOS!$F$6:$AP$221,$BS35,AJ$42)),"",INDEX(TOS!$F$6:$AP$221,$BS35,AJ$42)),"")</f>
        <v/>
      </c>
      <c r="AK35" s="270" t="str">
        <f>IFERROR(IF(ISBLANK(INDEX(TOS!$F$6:$AP$221,$BS35,AK$42)),"",INDEX(TOS!$F$6:$AP$221,$BS35,AK$42)),"")</f>
        <v/>
      </c>
      <c r="AL35" s="270" t="str">
        <f>IFERROR(IF(ISBLANK(INDEX(TOS!$F$6:$AP$221,$BS35,AL$42)),"",INDEX(TOS!$F$6:$AP$221,$BS35,AL$42)),"")</f>
        <v/>
      </c>
      <c r="AM35" s="270" t="str">
        <f>IFERROR(IF(ISBLANK(INDEX(TOS!$F$6:$AP$221,$BS35,AM$42)),"",INDEX(TOS!$F$6:$AP$221,$BS35,AM$42)),"")</f>
        <v/>
      </c>
      <c r="AN35" s="270" t="str">
        <f>IFERROR(IF(ISBLANK(INDEX(TOS!$F$6:$AP$221,$BS35,AN$42)),"",INDEX(TOS!$F$6:$AP$221,$BS35,AN$42)),"")</f>
        <v/>
      </c>
      <c r="AO35" s="270" t="str">
        <f>IFERROR(IF(ISBLANK(INDEX(TOS!$F$6:$AP$221,$BS35,AO$42)),"",INDEX(TOS!$F$6:$AP$221,$BS35,AO$42)),"")</f>
        <v/>
      </c>
      <c r="AP35" s="270" t="str">
        <f>IFERROR(IF(ISBLANK(INDEX(TOS!$F$6:$AP$221,$BS35,AP$42)),"",INDEX(TOS!$F$6:$AP$221,$BS35,AP$42)),"")</f>
        <v/>
      </c>
      <c r="AQ35" s="270" t="str">
        <f>IFERROR(IF(ISBLANK(INDEX(TOS!$F$6:$AP$221,$BS35,AQ$42)),"",INDEX(TOS!$F$6:$AP$221,$BS35,AQ$42)),"")</f>
        <v/>
      </c>
      <c r="AR35" s="270" t="str">
        <f>IFERROR(IF(ISBLANK(INDEX(TOS!$F$6:$AP$221,$BS35,AR$42)),"",INDEX(TOS!$F$6:$AP$221,$BS35,AR$42)),"")</f>
        <v/>
      </c>
      <c r="AS35" s="270" t="str">
        <f>IFERROR(IF(ISBLANK(INDEX(TOS!$F$6:$AP$221,$BS35,AS$42)),"",INDEX(TOS!$F$6:$AP$221,$BS35,AS$42)),"")</f>
        <v/>
      </c>
      <c r="AT35" s="270" t="str">
        <f>IFERROR(IF(ISBLANK(INDEX(TOS!$F$6:$AP$221,$BS35,AT$42)),"",INDEX(TOS!$F$6:$AP$221,$BS35,AT$42)),"")</f>
        <v/>
      </c>
      <c r="AU35" s="270" t="str">
        <f>IFERROR(IF(ISBLANK(INDEX(TOS!$F$6:$AP$221,$BS35,AU$42)),"",INDEX(TOS!$F$6:$AP$221,$BS35,AU$42)),"")</f>
        <v/>
      </c>
      <c r="AV35" s="270" t="str">
        <f>IFERROR(IF(ISBLANK(INDEX(TOS!$F$6:$AP$221,$BS35,AV$42)),"",INDEX(TOS!$F$6:$AP$221,$BS35,AV$42)),"")</f>
        <v/>
      </c>
      <c r="AW35" s="270" t="str">
        <f>IFERROR(IF(ISBLANK(INDEX(TOS!$F$6:$AP$221,$BS35,AW$42)),"",INDEX(TOS!$F$6:$AP$221,$BS35,AW$42)),"")</f>
        <v/>
      </c>
      <c r="AX35" s="270" t="str">
        <f>IFERROR(IF(ISBLANK(INDEX(TOS!$F$6:$AP$221,$BS35,AX$42)),"",INDEX(TOS!$F$6:$AP$221,$BS35,AX$42)),"")</f>
        <v/>
      </c>
      <c r="AY35" s="270" t="str">
        <f>IFERROR(IF(ISBLANK(INDEX(TOS!$F$6:$AP$221,$BS35,AY$42)),"",INDEX(TOS!$F$6:$AP$221,$BS35,AY$42)),"")</f>
        <v/>
      </c>
      <c r="AZ35" s="270" t="str">
        <f>IFERROR(IF(ISBLANK(INDEX(TOS!$F$6:$AP$221,$BS35,AZ$42)),"",INDEX(TOS!$F$6:$AP$221,$BS35,AZ$42)),"")</f>
        <v/>
      </c>
      <c r="BA35" s="270" t="str">
        <f>IFERROR(IF(ISBLANK(INDEX(TOS!$F$6:$AP$221,$BS35,BA$42)),"",INDEX(TOS!$F$6:$AP$221,$BS35,BA$42)),"")</f>
        <v/>
      </c>
      <c r="BB35" s="270" t="str">
        <f>IFERROR(IF(ISBLANK(INDEX(TOS!$F$6:$AP$221,$BS35,BB$42)),"",INDEX(TOS!$F$6:$AP$221,$BS35,BB$42)),"")</f>
        <v/>
      </c>
      <c r="BC35" s="270" t="str">
        <f>IFERROR(IF(ISBLANK(INDEX(TOS!$F$6:$AP$221,$BS35,BC$42)),"",INDEX(TOS!$F$6:$AP$221,$BS35,BC$42)),"")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IF(More_Plans,MATCH($A35,Database!$CG$8:$CG$357,0),NA())</f>
        <v>#N/A</v>
      </c>
      <c r="BR35" s="118">
        <f>Locked*IFERROR((($K35-INDEX(Trends!$AA$5:$AA$8,MATCH($I35,{24,12,6,3},-1)))&lt;BR$25),0)</f>
        <v>0</v>
      </c>
      <c r="BS35" t="e">
        <f>MATCH(SUBSTITUTE(INDEX(Database!$U$8:$U$357,$BQ35),"~","~~"),TOS!$C$6:$C$221,0)</f>
        <v>#N/A</v>
      </c>
      <c r="BT35" t="e">
        <f>MATCH(INDEX(Database!$F$8:$F$357,$BQ35),REP_Info!$D$6:$D$250,0)</f>
        <v>#N/A</v>
      </c>
      <c r="BU35" t="str">
        <f>IFERROR(INDEX(Database!$CV$8:$CV$357,$BQ35),"")</f>
        <v/>
      </c>
      <c r="BV35" t="str">
        <f>""</f>
        <v/>
      </c>
      <c r="BZ35" t="s">
        <v>221</v>
      </c>
      <c r="CD35" t="str">
        <f>""</f>
        <v/>
      </c>
      <c r="CN35" t="e">
        <f>INDEX(Database!$AG$8:$BG$357,$BQ35,CN$22)</f>
        <v>#N/A</v>
      </c>
      <c r="CO35" t="e">
        <f>IF(ISBLANK(INDEX(Database!$AG$8:$BG$357,$BQ35,CO$22)),"",INDEX(Database!$AG$8:$BG$357,$BQ35,CO$22))</f>
        <v>#N/A</v>
      </c>
      <c r="CP35" t="e">
        <f>IF(ISBLANK(INDEX(Database!$AG$8:$BG$357,$BQ35,CP$22)),"",INDEX(Database!$AG$8:$BG$357,$BQ35,CP$22))</f>
        <v>#N/A</v>
      </c>
      <c r="CQ35" t="e">
        <f>IF(ISBLANK(INDEX(Database!$AG$8:$BG$357,$BQ35,CQ$22)),"",INDEX(Database!$AG$8:$BG$357,$BQ35,CQ$22))</f>
        <v>#N/A</v>
      </c>
      <c r="CR35" t="e">
        <f>IF(ISBLANK(INDEX(Database!$AG$8:$BG$357,$BQ35,CR$22)),"",INDEX(Database!$AG$8:$BG$357,$BQ35,CR$22))</f>
        <v>#N/A</v>
      </c>
      <c r="CS35" t="e">
        <f>IF(ISBLANK(INDEX(Database!$AG$8:$BG$357,$BQ35,CS$22)),"",INDEX(Database!$AG$8:$BG$357,$BQ35,CS$22))</f>
        <v>#N/A</v>
      </c>
      <c r="CT35" t="e">
        <f>IF(ISBLANK(INDEX(Database!$AG$8:$BG$357,$BQ35,CT$22)),"",INDEX(Database!$AG$8:$BG$357,$BQ35,CT$22))</f>
        <v>#N/A</v>
      </c>
      <c r="CU35" t="e">
        <f>IF(ISBLANK(INDEX(Database!$AG$8:$BG$357,$BQ35,CU$22)),"",INDEX(Database!$AG$8:$BG$357,$BQ35,CU$22))</f>
        <v>#N/A</v>
      </c>
      <c r="CV35" t="e">
        <f>IF(ISBLANK(INDEX(Database!$AG$8:$BG$357,$BQ35,CV$22)),"",INDEX(Database!$AG$8:$BG$357,$BQ35,CV$22))</f>
        <v>#N/A</v>
      </c>
      <c r="CW35" t="e">
        <f>IF(ISBLANK(INDEX(Database!$AG$8:$BG$357,$BQ35,CW$22)),"",INDEX(Database!$AG$8:$BG$357,$BQ35,CW$22))</f>
        <v>#N/A</v>
      </c>
      <c r="CX35" t="e">
        <f>IF(ISBLANK(INDEX(Database!$AG$8:$BG$357,$BQ35,CX$22)),"",INDEX(Database!$AG$8:$BG$357,$BQ35,CX$22))</f>
        <v>#N/A</v>
      </c>
      <c r="CY35" t="e">
        <f>INDEX(Database!$AG$8:$BG$357,$BQ35,CY$22)</f>
        <v>#N/A</v>
      </c>
      <c r="CZ35" t="e">
        <f>INDEX(Database!$AG$8:$BG$357,$BQ35,CZ$22)</f>
        <v>#N/A</v>
      </c>
      <c r="DA35" t="e">
        <f>INDEX(Database!$AG$8:$BG$357,$BQ35,DA$22)</f>
        <v>#N/A</v>
      </c>
      <c r="DB35" t="e">
        <f>INDEX(Database!$AG$8:$BG$357,$BQ35,DB$22)</f>
        <v>#N/A</v>
      </c>
      <c r="DC35" t="e">
        <f>INDEX(Database!$AG$8:$BG$357,$BQ35,DC$22)</f>
        <v>#N/A</v>
      </c>
      <c r="DD35" t="e">
        <f>INDEX(Database!$AG$8:$BG$357,$BQ35,DD$22)</f>
        <v>#N/A</v>
      </c>
      <c r="DE35" s="31" t="e">
        <f>INDEX(Database!$AG$8:$BG$357,$BQ35,DE$22)</f>
        <v>#N/A</v>
      </c>
      <c r="DF35" s="31" t="e">
        <f>INDEX(Database!$AG$8:$BG$357,$BQ35,DF$22)</f>
        <v>#N/A</v>
      </c>
      <c r="DG35" s="31" t="e">
        <f>INDEX(Database!$AG$8:$BG$357,$BQ35,DG$22)</f>
        <v>#N/A</v>
      </c>
      <c r="DH35" s="31" t="e">
        <f>INDEX(Database!$AG$8:$BG$357,$BQ35,DH$22)</f>
        <v>#N/A</v>
      </c>
      <c r="DI35" s="31" t="e">
        <f>INDEX(Database!$AG$8:$BG$357,$BQ35,DI$22)</f>
        <v>#N/A</v>
      </c>
      <c r="DJ35" s="5" t="e">
        <f>INDEX(Database!$AG$8:$BG$357,$BQ35,DJ$22)</f>
        <v>#N/A</v>
      </c>
      <c r="DK35" s="35" t="e">
        <f>INDEX(Database!$AG$8:$BG$357,$BQ35,DK$22)</f>
        <v>#N/A</v>
      </c>
      <c r="DL35" s="6" t="e">
        <f>INDEX(Database!$AG$8:$BG$357,$BQ35,DL$22)</f>
        <v>#N/A</v>
      </c>
      <c r="DM35" s="35" t="e">
        <f>INDEX(Database!$AG$8:$BG$357,$BQ35,DM$22)</f>
        <v>#N/A</v>
      </c>
      <c r="DN35" s="35" t="e">
        <f>INDEX(Database!$AG$8:$BG$357,$BQ35,DN$22)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312" t="str">
        <f>IF($BF$35,"Unlock Code:","")</f>
        <v/>
      </c>
      <c r="C36" s="312"/>
      <c r="D36" s="312"/>
      <c r="E36" s="31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311" t="str">
        <f>IF(Sign_Up,"Step ⑤:","")</f>
        <v/>
      </c>
      <c r="B37" s="311"/>
      <c r="C37" s="311"/>
      <c r="D37" s="311"/>
      <c r="E37" s="310" t="str">
        <f>IF(Locked,"",IF(Sign_Up,IF(LEFT(INDEX(Database!$Z$8:$Z$357,Plan_DBRow),4)="http",HYPERLINK(INDEX(Database!$Z$8:$Z$357,Plan_DBRow),"Sign Up!"),HYPERLINK("Call "&amp;INDEX(Database!$AB$8:$AB$357,Plan_DBRow)&amp;" to sign up.","Call REP")),""))</f>
        <v/>
      </c>
      <c r="F37" s="310"/>
      <c r="G37" s="309" t="str">
        <f>IF(More_Plans,IF(Sign_Up,HYPERLINK("http://www.texaspowerguide.com/texas-electricity-shopping/#sign-up","📖"&amp;"- Tips"),""),"")</f>
        <v/>
      </c>
      <c r="H37" s="309"/>
      <c r="I37" s="277"/>
      <c r="J37" s="247"/>
      <c r="K37" s="247" t="str">
        <f>IF(Sign_Up,"Step ⑥:","")</f>
        <v/>
      </c>
      <c r="L37" s="313" t="str">
        <f>IF(Sign_Up,HYPERLINK("mailto:alerts@texaspowerguide.com?subject=RateAlert sign up&amp;body=Please email me free alerts for this usage and new plan:"&amp;"%0A"&amp;BU$2,"Get Price Drop Alerts  ✉"),"")</f>
        <v/>
      </c>
      <c r="M37" s="313"/>
      <c r="N37" s="313"/>
      <c r="O37" s="31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L37:O37"/>
    <mergeCell ref="I32:J32"/>
    <mergeCell ref="I31:J31"/>
    <mergeCell ref="I35:J35"/>
    <mergeCell ref="I33:J33"/>
    <mergeCell ref="I34:J34"/>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N25:O25"/>
    <mergeCell ref="B26:F26"/>
    <mergeCell ref="B23:H24"/>
    <mergeCell ref="M22:R22"/>
    <mergeCell ref="T17:W18"/>
    <mergeCell ref="B25:F25"/>
    <mergeCell ref="S33:T33"/>
    <mergeCell ref="I30:J30"/>
    <mergeCell ref="I27:J27"/>
    <mergeCell ref="I29:J29"/>
    <mergeCell ref="I28:J28"/>
    <mergeCell ref="S31:T31"/>
    <mergeCell ref="S32:T3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B3:D3"/>
    <mergeCell ref="B22:D22"/>
    <mergeCell ref="A6:H7"/>
    <mergeCell ref="F10:H21"/>
    <mergeCell ref="A9:H9"/>
    <mergeCell ref="G22:H22"/>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03"/>
  <sheetViews>
    <sheetView workbookViewId="0">
      <pane xSplit="3" ySplit="16" topLeftCell="G3504" activePane="bottomRight" state="frozen"/>
      <selection pane="topRight" activeCell="D1" sqref="D1"/>
      <selection pane="bottomLeft" activeCell="A17" sqref="A17"/>
      <selection pane="bottomRight" activeCell="V3516" sqref="V3516:AK351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1379</v>
      </c>
      <c r="B1" s="1"/>
      <c r="L1" t="s">
        <v>1380</v>
      </c>
    </row>
    <row r="2" spans="1:58" x14ac:dyDescent="0.25">
      <c r="A2" s="34" t="s">
        <v>1381</v>
      </c>
      <c r="B2" s="34"/>
      <c r="L2" t="s">
        <v>1382</v>
      </c>
    </row>
    <row r="3" spans="1:58" x14ac:dyDescent="0.25">
      <c r="L3" t="s">
        <v>1383</v>
      </c>
      <c r="T3" s="89" t="str">
        <f>IF(TDU_IDd,"","(Enter ZIP Code to include delivery costs)")</f>
        <v>(Enter ZIP Code to include delivery costs)</v>
      </c>
    </row>
    <row r="4" spans="1:58" x14ac:dyDescent="0.25">
      <c r="D4" t="s">
        <v>1384</v>
      </c>
      <c r="E4" s="1"/>
      <c r="F4" s="1"/>
      <c r="G4" s="1"/>
      <c r="H4" t="s">
        <v>203</v>
      </c>
      <c r="I4" s="1"/>
      <c r="J4" t="s">
        <v>1385</v>
      </c>
      <c r="K4" s="1"/>
      <c r="L4" s="152" t="s">
        <v>1386</v>
      </c>
      <c r="M4" s="1"/>
      <c r="N4" s="1"/>
      <c r="O4" s="1"/>
      <c r="P4" s="1"/>
      <c r="Q4" s="1"/>
      <c r="R4" s="1"/>
      <c r="S4" s="1"/>
      <c r="T4" s="89" t="str">
        <f>IF($L$5=1,"Lowest Electric Rates (Energy Only)",IF(L5=2,"             Lowest Electric Rates",""))</f>
        <v>Lowest Electric Rates (Energy Only)</v>
      </c>
      <c r="W4" s="135" t="s">
        <v>1387</v>
      </c>
      <c r="X4" s="1" t="s">
        <v>1388</v>
      </c>
      <c r="Y4" s="1" t="s">
        <v>1389</v>
      </c>
      <c r="Z4" s="1" t="s">
        <v>1390</v>
      </c>
      <c r="AA4" s="1" t="s">
        <v>1391</v>
      </c>
      <c r="AB4" s="1" t="s">
        <v>1392</v>
      </c>
      <c r="AC4" s="1" t="s">
        <v>1393</v>
      </c>
      <c r="AD4" s="1" t="s">
        <v>1394</v>
      </c>
      <c r="AE4" s="1" t="s">
        <v>1395</v>
      </c>
      <c r="AF4" s="1" t="s">
        <v>1396</v>
      </c>
      <c r="AG4" s="1" t="s">
        <v>1397</v>
      </c>
      <c r="AP4" s="153"/>
    </row>
    <row r="5" spans="1:58" x14ac:dyDescent="0.25">
      <c r="B5" s="89" t="s">
        <v>1398</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1399</v>
      </c>
      <c r="X5">
        <v>3</v>
      </c>
      <c r="Y5">
        <f>MATCH(LEFT($T$6,3)&amp;"-"&amp;X5&amp;"-"&amp;$T$11,$V$16:$AK$16,0)</f>
        <v>9</v>
      </c>
      <c r="Z5" s="152">
        <f>INDEX($V$17:$AK$3534,$T$13,$Y5)+$T$5*$U$13</f>
        <v>6.415</v>
      </c>
      <c r="AA5" s="152">
        <f>INDEX($V$17:$AK$3534,$T$13,$Y5)+$U$13</f>
        <v>12.647500000000001</v>
      </c>
      <c r="AG5" t="s">
        <v>1400</v>
      </c>
      <c r="AP5" s="153"/>
    </row>
    <row r="6" spans="1:58" x14ac:dyDescent="0.25">
      <c r="B6" s="89" t="s">
        <v>1401</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1402</v>
      </c>
      <c r="X6">
        <v>6</v>
      </c>
      <c r="Y6">
        <f>MATCH(LEFT($T$6,3)&amp;"-"&amp;X6&amp;"-"&amp;$T$11,$V$16:$AK$16,0)</f>
        <v>10</v>
      </c>
      <c r="Z6" s="152">
        <f>INDEX($V$17:$AK$3534,$T$13,$Y6)+$T$5*$U$13</f>
        <v>6.0469999999999997</v>
      </c>
      <c r="AA6" s="152">
        <f>INDEX($V$17:$AK$3534,$T$13,$Y6)+$U$13</f>
        <v>12.279499999999999</v>
      </c>
      <c r="AG6" t="s">
        <v>1403</v>
      </c>
      <c r="AP6" s="153"/>
    </row>
    <row r="7" spans="1:58" x14ac:dyDescent="0.25">
      <c r="B7" s="89" t="s">
        <v>1404</v>
      </c>
      <c r="D7">
        <f>INDEX($Y$5:$Y$11,D$5)</f>
        <v>11</v>
      </c>
      <c r="H7" t="e">
        <f>INDEX($Y$5:$Y$11,H$5)</f>
        <v>#N/A</v>
      </c>
      <c r="J7" t="e">
        <f>INDEX($Y$5:$Y$12,J$5)</f>
        <v>#N/A</v>
      </c>
      <c r="K7" s="152"/>
      <c r="L7" s="152"/>
      <c r="M7" s="152"/>
      <c r="N7" s="152"/>
      <c r="O7" s="152"/>
      <c r="P7" s="152"/>
      <c r="Q7" s="152"/>
      <c r="R7" s="152"/>
      <c r="S7" s="152"/>
      <c r="T7" s="89" t="str">
        <f>IF(LEFT($T$6,3)="CEN","Houston","DFW")</f>
        <v>DFW</v>
      </c>
      <c r="W7" s="89" t="s">
        <v>1405</v>
      </c>
      <c r="X7">
        <v>12</v>
      </c>
      <c r="Y7">
        <f>MATCH(LEFT($T$6,3)&amp;"-"&amp;X7&amp;"-"&amp;$T$11,$V$16:$AK$16,0)</f>
        <v>11</v>
      </c>
      <c r="Z7" s="152">
        <f>INDEX($V$17:$AK$3534,$T$13,$Y7)+$T$5*$U$13</f>
        <v>4.92</v>
      </c>
      <c r="AA7" s="152">
        <f>INDEX($V$17:$AK$3534,$T$13,$Y7)+$U$13</f>
        <v>11.1525</v>
      </c>
      <c r="AG7" t="s">
        <v>1406</v>
      </c>
      <c r="AP7" s="153"/>
    </row>
    <row r="8" spans="1:58" x14ac:dyDescent="0.25">
      <c r="B8" s="89" t="s">
        <v>1407</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1408</v>
      </c>
      <c r="X8">
        <v>24</v>
      </c>
      <c r="Y8">
        <f>MATCH(LEFT($T$6,3)&amp;"-"&amp;X8&amp;"-"&amp;$T$11,$V$16:$AK$16,0)</f>
        <v>12</v>
      </c>
      <c r="Z8" s="152">
        <f>INDEX($V$17:$AK$3534,$T$13,$Y8)+$T$5*$U$13</f>
        <v>5.81</v>
      </c>
      <c r="AA8" s="152">
        <f>INDEX($V$17:$AK$3534,$T$13,$Y8)+$U$13</f>
        <v>12.0425</v>
      </c>
      <c r="AG8" t="s">
        <v>1409</v>
      </c>
      <c r="AP8" s="153"/>
    </row>
    <row r="9" spans="1:58" x14ac:dyDescent="0.25">
      <c r="B9" s="89" t="s">
        <v>1410</v>
      </c>
      <c r="D9">
        <f>INDEX($AC$5:$AC$11,D$5)</f>
        <v>0</v>
      </c>
      <c r="H9" t="e">
        <f>INDEX($AC$5:$AC$11,H$5)</f>
        <v>#N/A</v>
      </c>
      <c r="J9" t="e">
        <f>INDEX($AC$5:$AC$12,J$5)</f>
        <v>#N/A</v>
      </c>
      <c r="T9" s="89" t="s">
        <v>1411</v>
      </c>
      <c r="W9" s="89" t="s">
        <v>1412</v>
      </c>
      <c r="X9">
        <v>12</v>
      </c>
      <c r="Y9">
        <f>19+(LEFT($T$6,3)="ONC")</f>
        <v>20</v>
      </c>
      <c r="AB9" s="53">
        <v>0.15</v>
      </c>
      <c r="AC9">
        <v>9.99</v>
      </c>
      <c r="AD9" s="185">
        <v>2.5000000000000001E-2</v>
      </c>
      <c r="AE9">
        <v>0.25</v>
      </c>
      <c r="AG9" t="s">
        <v>1413</v>
      </c>
      <c r="AP9" s="153"/>
    </row>
    <row r="10" spans="1:58" x14ac:dyDescent="0.25">
      <c r="B10" s="89" t="s">
        <v>1414</v>
      </c>
      <c r="D10">
        <f>INDEX($AD$5:$AD$11,D$5)</f>
        <v>0</v>
      </c>
      <c r="H10" t="e">
        <f>INDEX($AD$5:$AD$11,H$5)</f>
        <v>#N/A</v>
      </c>
      <c r="J10" t="e">
        <f>INDEX($AD$5:$AD$12,J$5)</f>
        <v>#N/A</v>
      </c>
      <c r="T10" s="89" t="s">
        <v>1415</v>
      </c>
      <c r="W10" s="89" t="s">
        <v>1416</v>
      </c>
      <c r="X10">
        <v>1</v>
      </c>
      <c r="Y10">
        <f>17+(LEFT($T$6,3)="ONC")</f>
        <v>18</v>
      </c>
      <c r="AB10" s="53">
        <v>0.15</v>
      </c>
      <c r="AC10">
        <v>9.99</v>
      </c>
      <c r="AD10" s="185">
        <v>2.5000000000000001E-2</v>
      </c>
      <c r="AE10">
        <v>0.25</v>
      </c>
      <c r="AG10" t="s">
        <v>1417</v>
      </c>
      <c r="AP10" s="153"/>
    </row>
    <row r="11" spans="1:58" x14ac:dyDescent="0.25">
      <c r="B11" s="89" t="s">
        <v>1418</v>
      </c>
      <c r="D11">
        <f>INDEX($AE$5:$AE$11,D$5)</f>
        <v>0</v>
      </c>
      <c r="H11" t="e">
        <f>INDEX($AE$5:$AE$11,H$5)</f>
        <v>#N/A</v>
      </c>
      <c r="J11" t="e">
        <f>INDEX($AE$5:$AE$12,J$5)</f>
        <v>#N/A</v>
      </c>
      <c r="T11" s="5">
        <f>IF(Calculator!BV3&lt;1500,1000,2000)</f>
        <v>2000</v>
      </c>
      <c r="W11" s="89" t="s">
        <v>1419</v>
      </c>
      <c r="X11">
        <v>1</v>
      </c>
      <c r="Y11">
        <v>21</v>
      </c>
      <c r="AB11" s="53"/>
      <c r="AD11" s="185"/>
      <c r="AG11" t="s">
        <v>1420</v>
      </c>
      <c r="AP11" s="153"/>
    </row>
    <row r="12" spans="1:58" x14ac:dyDescent="0.25">
      <c r="B12" s="156"/>
      <c r="C12" s="155">
        <f>IF($L$5=3,DATEVALUE("1/1/2020"),DATEVALUE("1/1/2017"))</f>
        <v>42736</v>
      </c>
      <c r="N12">
        <f>MIN(Plan_Length,12)</f>
        <v>12</v>
      </c>
      <c r="Q12">
        <f>MIN(Term_Max,12)</f>
        <v>12</v>
      </c>
      <c r="W12" s="89" t="s">
        <v>1421</v>
      </c>
      <c r="X12">
        <v>0</v>
      </c>
      <c r="Y12">
        <v>3</v>
      </c>
      <c r="AB12" s="126">
        <v>-1</v>
      </c>
      <c r="AD12">
        <f>1-$T$5</f>
        <v>1</v>
      </c>
      <c r="AP12" s="153"/>
      <c r="AU12">
        <v>167</v>
      </c>
      <c r="AV12">
        <v>183</v>
      </c>
    </row>
    <row r="13" spans="1:58" x14ac:dyDescent="0.25">
      <c r="B13" s="244">
        <f>MAX($B17:$B3517)</f>
        <v>46236.999305555553</v>
      </c>
      <c r="C13" s="155">
        <f>IF($L$5=3,MAX($B$17:$B$3534),B13)</f>
        <v>46236.999305555553</v>
      </c>
      <c r="D13" s="152">
        <f>IFERROR(INDEX(D$17:D$3534,$T13),"-")</f>
        <v>4.92</v>
      </c>
      <c r="E13" s="152"/>
      <c r="F13" s="152"/>
      <c r="G13" s="153">
        <f>IF(AND($L$5&lt;3,$J$16&lt;&gt;""),1,0)</f>
        <v>0</v>
      </c>
      <c r="H13" s="152" t="str">
        <f>IFERROR(INDEX(H$17:H$3534,$T13),"-")</f>
        <v>-</v>
      </c>
      <c r="I13" s="152"/>
      <c r="J13" s="152" t="str">
        <f>IFERROR(INDEX(J$17:J$3534,$T13),"-")</f>
        <v>-</v>
      </c>
      <c r="L13">
        <f>IF($L$5=3,1,0)</f>
        <v>0</v>
      </c>
      <c r="N13" s="258" t="e" cm="1">
        <f t="array" ref="N13">IF(Show_Plan,IF($T$5,INDEX(Database!$BQ$8:$BQ$357,Plan_DBRow),INDEX(Database!$BR$8:$BR$357,Plan_DBRow)),NA())</f>
        <v>#N/A</v>
      </c>
      <c r="Q13" s="258" t="e">
        <f>IF(Show_Plan,IF($Q$12&lt;=$N$12,NA(),IF($T$5,Calculator!$BW$3,Calculator!$BX$3)),NA())</f>
        <v>#N/A</v>
      </c>
      <c r="T13">
        <f>MATCH($B13,$B$17:$B$3534,0)</f>
        <v>3501</v>
      </c>
      <c r="U13" s="152">
        <f>INDEX(U$17:U$3534,$T13)</f>
        <v>6.2324999999999999</v>
      </c>
      <c r="W13" s="89" t="s">
        <v>94</v>
      </c>
      <c r="AP13" s="153"/>
      <c r="AU13">
        <v>259</v>
      </c>
      <c r="AV13">
        <v>244</v>
      </c>
    </row>
    <row r="14" spans="1:58" x14ac:dyDescent="0.25">
      <c r="K14" s="152"/>
      <c r="L14" s="152"/>
      <c r="M14" s="152"/>
      <c r="N14" s="152"/>
      <c r="O14" s="152"/>
      <c r="P14" s="152"/>
      <c r="Q14" s="152"/>
      <c r="R14" s="152"/>
      <c r="S14" s="152"/>
      <c r="V14" s="93"/>
      <c r="BB14" s="1" t="s">
        <v>1422</v>
      </c>
      <c r="BE14" s="192" t="s">
        <v>1423</v>
      </c>
    </row>
    <row r="15" spans="1:58" hidden="1" x14ac:dyDescent="0.25"/>
    <row r="16" spans="1:58" ht="78.75" customHeight="1" x14ac:dyDescent="0.25">
      <c r="C16" s="63" t="s">
        <v>1375</v>
      </c>
      <c r="D16" s="63" t="s">
        <v>1405</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1424</v>
      </c>
      <c r="U16" s="63" t="s">
        <v>1425</v>
      </c>
      <c r="V16" s="151" t="s">
        <v>1426</v>
      </c>
      <c r="W16" s="151" t="s">
        <v>1427</v>
      </c>
      <c r="X16" s="151" t="s">
        <v>1428</v>
      </c>
      <c r="Y16" s="151" t="s">
        <v>1429</v>
      </c>
      <c r="Z16" s="151" t="s">
        <v>1430</v>
      </c>
      <c r="AA16" s="151" t="s">
        <v>1431</v>
      </c>
      <c r="AB16" s="151" t="s">
        <v>1432</v>
      </c>
      <c r="AC16" s="151" t="s">
        <v>1433</v>
      </c>
      <c r="AD16" s="151" t="s">
        <v>1434</v>
      </c>
      <c r="AE16" s="151" t="s">
        <v>1435</v>
      </c>
      <c r="AF16" s="151" t="s">
        <v>1436</v>
      </c>
      <c r="AG16" s="151" t="s">
        <v>1437</v>
      </c>
      <c r="AH16" s="151" t="s">
        <v>1438</v>
      </c>
      <c r="AI16" s="151" t="s">
        <v>1439</v>
      </c>
      <c r="AJ16" s="151" t="s">
        <v>1440</v>
      </c>
      <c r="AK16" s="151" t="s">
        <v>1441</v>
      </c>
      <c r="AL16" s="187" t="s">
        <v>1442</v>
      </c>
      <c r="AM16" s="187" t="s">
        <v>1443</v>
      </c>
      <c r="AN16" s="151" t="s">
        <v>1444</v>
      </c>
      <c r="AO16" s="151" t="s">
        <v>1445</v>
      </c>
      <c r="AP16" s="151" t="s">
        <v>1446</v>
      </c>
      <c r="AQ16" s="151" t="s">
        <v>1447</v>
      </c>
      <c r="AR16" s="63" t="s">
        <v>1448</v>
      </c>
      <c r="AS16" s="63" t="s">
        <v>1449</v>
      </c>
      <c r="AT16" s="63" t="s">
        <v>1450</v>
      </c>
      <c r="AU16" s="63" t="s">
        <v>1451</v>
      </c>
      <c r="AV16" s="63" t="s">
        <v>1452</v>
      </c>
      <c r="AW16" s="151" t="s">
        <v>1453</v>
      </c>
      <c r="AX16" s="151" t="s">
        <v>1454</v>
      </c>
      <c r="AY16" s="151" t="s">
        <v>1455</v>
      </c>
      <c r="AZ16" s="151" t="s">
        <v>1456</v>
      </c>
      <c r="BA16" s="151" t="s">
        <v>1457</v>
      </c>
      <c r="BB16" s="188" t="s">
        <v>1458</v>
      </c>
      <c r="BC16" s="188" t="s">
        <v>1442</v>
      </c>
      <c r="BD16" s="188" t="s">
        <v>1459</v>
      </c>
      <c r="BE16" s="193" t="s">
        <v>1458</v>
      </c>
      <c r="BF16" s="188" t="s">
        <v>1460</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MATCH(1,(TDU_Info!$C$5:$C$110=$T$6)*(TDU_Info!$B$5:$B$110&lt;=$B17),0)</f>
        <v>103</v>
      </c>
      <c r="U17" s="152">
        <f>100*(INDEX(TDU_Info!$E$5:$E$110,$T17)/T$11+INDEX(TDU_Info!$F$5:$F$110,$T17))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MATCH(1,(TDU_Info!$C$5:$C$110=$T$6)*(TDU_Info!$B$5:$B$110&lt;=$B18),0)</f>
        <v>103</v>
      </c>
      <c r="U18" s="152">
        <f>100*(INDEX(TDU_Info!$E$5:$E$110,$T18)/T$11+INDEX(TDU_Info!$F$5:$F$110,$T18))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MATCH(1,(TDU_Info!$C$5:$C$110=$T$6)*(TDU_Info!$B$5:$B$110&lt;=$B19),0)</f>
        <v>103</v>
      </c>
      <c r="U19" s="152">
        <f>100*(INDEX(TDU_Info!$E$5:$E$110,$T19)/T$11+INDEX(TDU_Info!$F$5:$F$110,$T19))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MATCH(1,(TDU_Info!$C$5:$C$110=$T$6)*(TDU_Info!$B$5:$B$110&lt;=$B20),0)</f>
        <v>103</v>
      </c>
      <c r="U20" s="152">
        <f>100*(INDEX(TDU_Info!$E$5:$E$110,$T20)/T$11+INDEX(TDU_Info!$F$5:$F$110,$T20))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MATCH(1,(TDU_Info!$C$5:$C$110=$T$6)*(TDU_Info!$B$5:$B$110&lt;=$B21),0)</f>
        <v>103</v>
      </c>
      <c r="U21" s="152">
        <f>100*(INDEX(TDU_Info!$E$5:$E$110,$T21)/T$11+INDEX(TDU_Info!$F$5:$F$110,$T21))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MATCH(1,(TDU_Info!$C$5:$C$110=$T$6)*(TDU_Info!$B$5:$B$110&lt;=$B22),0)</f>
        <v>103</v>
      </c>
      <c r="U22" s="152">
        <f>100*(INDEX(TDU_Info!$E$5:$E$110,$T22)/T$11+INDEX(TDU_Info!$F$5:$F$110,$T22))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MATCH(1,(TDU_Info!$C$5:$C$110=$T$6)*(TDU_Info!$B$5:$B$110&lt;=$B23),0)</f>
        <v>103</v>
      </c>
      <c r="U23" s="152">
        <f>100*(INDEX(TDU_Info!$E$5:$E$110,$T23)/T$11+INDEX(TDU_Info!$F$5:$F$110,$T23))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MATCH(1,(TDU_Info!$C$5:$C$110=$T$6)*(TDU_Info!$B$5:$B$110&lt;=$B24),0)</f>
        <v>103</v>
      </c>
      <c r="U24" s="152">
        <f>100*(INDEX(TDU_Info!$E$5:$E$110,$T24)/T$11+INDEX(TDU_Info!$F$5:$F$110,$T24))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MATCH(1,(TDU_Info!$C$5:$C$110=$T$6)*(TDU_Info!$B$5:$B$110&lt;=$B25),0)</f>
        <v>103</v>
      </c>
      <c r="U25" s="152">
        <f>100*(INDEX(TDU_Info!$E$5:$E$110,$T25)/T$11+INDEX(TDU_Info!$F$5:$F$110,$T25))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MATCH(1,(TDU_Info!$C$5:$C$110=$T$6)*(TDU_Info!$B$5:$B$110&lt;=$B26),0)</f>
        <v>103</v>
      </c>
      <c r="U26" s="152">
        <f>100*(INDEX(TDU_Info!$E$5:$E$110,$T26)/T$11+INDEX(TDU_Info!$F$5:$F$110,$T26))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MATCH(1,(TDU_Info!$C$5:$C$110=$T$6)*(TDU_Info!$B$5:$B$110&lt;=$B27),0)</f>
        <v>103</v>
      </c>
      <c r="U27" s="152">
        <f>100*(INDEX(TDU_Info!$E$5:$E$110,$T27)/T$11+INDEX(TDU_Info!$F$5:$F$110,$T27))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MATCH(1,(TDU_Info!$C$5:$C$110=$T$6)*(TDU_Info!$B$5:$B$110&lt;=$B28),0)</f>
        <v>103</v>
      </c>
      <c r="U28" s="152">
        <f>100*(INDEX(TDU_Info!$E$5:$E$110,$T28)/T$11+INDEX(TDU_Info!$F$5:$F$110,$T28))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MATCH(1,(TDU_Info!$C$5:$C$110=$T$6)*(TDU_Info!$B$5:$B$110&lt;=$B29),0)</f>
        <v>103</v>
      </c>
      <c r="U29" s="152">
        <f>100*(INDEX(TDU_Info!$E$5:$E$110,$T29)/T$11+INDEX(TDU_Info!$F$5:$F$110,$T29))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MATCH(1,(TDU_Info!$C$5:$C$110=$T$6)*(TDU_Info!$B$5:$B$110&lt;=$B30),0)</f>
        <v>103</v>
      </c>
      <c r="U30" s="152">
        <f>100*(INDEX(TDU_Info!$E$5:$E$110,$T30)/T$11+INDEX(TDU_Info!$F$5:$F$110,$T30))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MATCH(1,(TDU_Info!$C$5:$C$110=$T$6)*(TDU_Info!$B$5:$B$110&lt;=$B31),0)</f>
        <v>103</v>
      </c>
      <c r="U31" s="152">
        <f>100*(INDEX(TDU_Info!$E$5:$E$110,$T31)/T$11+INDEX(TDU_Info!$F$5:$F$110,$T31))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MATCH(1,(TDU_Info!$C$5:$C$110=$T$6)*(TDU_Info!$B$5:$B$110&lt;=$B32),0)</f>
        <v>103</v>
      </c>
      <c r="U32" s="152">
        <f>100*(INDEX(TDU_Info!$E$5:$E$110,$T32)/T$11+INDEX(TDU_Info!$F$5:$F$110,$T32))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MATCH(1,(TDU_Info!$C$5:$C$110=$T$6)*(TDU_Info!$B$5:$B$110&lt;=$B33),0)</f>
        <v>103</v>
      </c>
      <c r="U33" s="152">
        <f>100*(INDEX(TDU_Info!$E$5:$E$110,$T33)/T$11+INDEX(TDU_Info!$F$5:$F$110,$T33))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MATCH(1,(TDU_Info!$C$5:$C$110=$T$6)*(TDU_Info!$B$5:$B$110&lt;=$B34),0)</f>
        <v>103</v>
      </c>
      <c r="U34" s="152">
        <f>100*(INDEX(TDU_Info!$E$5:$E$110,$T34)/T$11+INDEX(TDU_Info!$F$5:$F$110,$T34))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MATCH(1,(TDU_Info!$C$5:$C$110=$T$6)*(TDU_Info!$B$5:$B$110&lt;=$B35),0)</f>
        <v>103</v>
      </c>
      <c r="U35" s="152">
        <f>100*(INDEX(TDU_Info!$E$5:$E$110,$T35)/T$11+INDEX(TDU_Info!$F$5:$F$110,$T35))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MATCH(1,(TDU_Info!$C$5:$C$110=$T$6)*(TDU_Info!$B$5:$B$110&lt;=$B36),0)</f>
        <v>103</v>
      </c>
      <c r="U36" s="152">
        <f>100*(INDEX(TDU_Info!$E$5:$E$110,$T36)/T$11+INDEX(TDU_Info!$F$5:$F$110,$T36))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MATCH(1,(TDU_Info!$C$5:$C$110=$T$6)*(TDU_Info!$B$5:$B$110&lt;=$B37),0)</f>
        <v>103</v>
      </c>
      <c r="U37" s="152">
        <f>100*(INDEX(TDU_Info!$E$5:$E$110,$T37)/T$11+INDEX(TDU_Info!$F$5:$F$110,$T37))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MATCH(1,(TDU_Info!$C$5:$C$110=$T$6)*(TDU_Info!$B$5:$B$110&lt;=$B38),0)</f>
        <v>103</v>
      </c>
      <c r="U38" s="152">
        <f>100*(INDEX(TDU_Info!$E$5:$E$110,$T38)/T$11+INDEX(TDU_Info!$F$5:$F$110,$T38))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MATCH(1,(TDU_Info!$C$5:$C$110=$T$6)*(TDU_Info!$B$5:$B$110&lt;=$B39),0)</f>
        <v>103</v>
      </c>
      <c r="U39" s="152">
        <f>100*(INDEX(TDU_Info!$E$5:$E$110,$T39)/T$11+INDEX(TDU_Info!$F$5:$F$110,$T39))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MATCH(1,(TDU_Info!$C$5:$C$110=$T$6)*(TDU_Info!$B$5:$B$110&lt;=$B40),0)</f>
        <v>103</v>
      </c>
      <c r="U40" s="152">
        <f>100*(INDEX(TDU_Info!$E$5:$E$110,$T40)/T$11+INDEX(TDU_Info!$F$5:$F$110,$T40))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MATCH(1,(TDU_Info!$C$5:$C$110=$T$6)*(TDU_Info!$B$5:$B$110&lt;=$B41),0)</f>
        <v>103</v>
      </c>
      <c r="U41" s="152">
        <f>100*(INDEX(TDU_Info!$E$5:$E$110,$T41)/T$11+INDEX(TDU_Info!$F$5:$F$110,$T41))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MATCH(1,(TDU_Info!$C$5:$C$110=$T$6)*(TDU_Info!$B$5:$B$110&lt;=$B42),0)</f>
        <v>103</v>
      </c>
      <c r="U42" s="152">
        <f>100*(INDEX(TDU_Info!$E$5:$E$110,$T42)/T$11+INDEX(TDU_Info!$F$5:$F$110,$T42))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MATCH(1,(TDU_Info!$C$5:$C$110=$T$6)*(TDU_Info!$B$5:$B$110&lt;=$B43),0)</f>
        <v>103</v>
      </c>
      <c r="U43" s="152">
        <f>100*(INDEX(TDU_Info!$E$5:$E$110,$T43)/T$11+INDEX(TDU_Info!$F$5:$F$110,$T43))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MATCH(1,(TDU_Info!$C$5:$C$110=$T$6)*(TDU_Info!$B$5:$B$110&lt;=$B44),0)</f>
        <v>103</v>
      </c>
      <c r="U44" s="152">
        <f>100*(INDEX(TDU_Info!$E$5:$E$110,$T44)/T$11+INDEX(TDU_Info!$F$5:$F$110,$T44))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MATCH(1,(TDU_Info!$C$5:$C$110=$T$6)*(TDU_Info!$B$5:$B$110&lt;=$B45),0)</f>
        <v>103</v>
      </c>
      <c r="U45" s="152">
        <f>100*(INDEX(TDU_Info!$E$5:$E$110,$T45)/T$11+INDEX(TDU_Info!$F$5:$F$110,$T45))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MATCH(1,(TDU_Info!$C$5:$C$110=$T$6)*(TDU_Info!$B$5:$B$110&lt;=$B46),0)</f>
        <v>103</v>
      </c>
      <c r="U46" s="152">
        <f>100*(INDEX(TDU_Info!$E$5:$E$110,$T46)/T$11+INDEX(TDU_Info!$F$5:$F$110,$T46))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MATCH(1,(TDU_Info!$C$5:$C$110=$T$6)*(TDU_Info!$B$5:$B$110&lt;=$B47),0)</f>
        <v>103</v>
      </c>
      <c r="U47" s="152">
        <f>100*(INDEX(TDU_Info!$E$5:$E$110,$T47)/T$11+INDEX(TDU_Info!$F$5:$F$110,$T47))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MATCH(1,(TDU_Info!$C$5:$C$110=$T$6)*(TDU_Info!$B$5:$B$110&lt;=$B48),0)</f>
        <v>103</v>
      </c>
      <c r="U48" s="152">
        <f>100*(INDEX(TDU_Info!$E$5:$E$110,$T48)/T$11+INDEX(TDU_Info!$F$5:$F$110,$T48))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MATCH(1,(TDU_Info!$C$5:$C$110=$T$6)*(TDU_Info!$B$5:$B$110&lt;=$B49),0)</f>
        <v>103</v>
      </c>
      <c r="U49" s="152">
        <f>100*(INDEX(TDU_Info!$E$5:$E$110,$T49)/T$11+INDEX(TDU_Info!$F$5:$F$110,$T49))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MATCH(1,(TDU_Info!$C$5:$C$110=$T$6)*(TDU_Info!$B$5:$B$110&lt;=$B50),0)</f>
        <v>103</v>
      </c>
      <c r="U50" s="152">
        <f>100*(INDEX(TDU_Info!$E$5:$E$110,$T50)/T$11+INDEX(TDU_Info!$F$5:$F$110,$T50))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MATCH(1,(TDU_Info!$C$5:$C$110=$T$6)*(TDU_Info!$B$5:$B$110&lt;=$B51),0)</f>
        <v>103</v>
      </c>
      <c r="U51" s="152">
        <f>100*(INDEX(TDU_Info!$E$5:$E$110,$T51)/T$11+INDEX(TDU_Info!$F$5:$F$110,$T51))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MATCH(1,(TDU_Info!$C$5:$C$110=$T$6)*(TDU_Info!$B$5:$B$110&lt;=$B52),0)</f>
        <v>103</v>
      </c>
      <c r="U52" s="152">
        <f>100*(INDEX(TDU_Info!$E$5:$E$110,$T52)/T$11+INDEX(TDU_Info!$F$5:$F$110,$T52))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MATCH(1,(TDU_Info!$C$5:$C$110=$T$6)*(TDU_Info!$B$5:$B$110&lt;=$B53),0)</f>
        <v>103</v>
      </c>
      <c r="U53" s="152">
        <f>100*(INDEX(TDU_Info!$E$5:$E$110,$T53)/T$11+INDEX(TDU_Info!$F$5:$F$110,$T53))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MATCH(1,(TDU_Info!$C$5:$C$110=$T$6)*(TDU_Info!$B$5:$B$110&lt;=$B54),0)</f>
        <v>103</v>
      </c>
      <c r="U54" s="152">
        <f>100*(INDEX(TDU_Info!$E$5:$E$110,$T54)/T$11+INDEX(TDU_Info!$F$5:$F$110,$T54))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MATCH(1,(TDU_Info!$C$5:$C$110=$T$6)*(TDU_Info!$B$5:$B$110&lt;=$B55),0)</f>
        <v>103</v>
      </c>
      <c r="U55" s="152">
        <f>100*(INDEX(TDU_Info!$E$5:$E$110,$T55)/T$11+INDEX(TDU_Info!$F$5:$F$110,$T55))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MATCH(1,(TDU_Info!$C$5:$C$110=$T$6)*(TDU_Info!$B$5:$B$110&lt;=$B56),0)</f>
        <v>103</v>
      </c>
      <c r="U56" s="152">
        <f>100*(INDEX(TDU_Info!$E$5:$E$110,$T56)/T$11+INDEX(TDU_Info!$F$5:$F$110,$T56))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MATCH(1,(TDU_Info!$C$5:$C$110=$T$6)*(TDU_Info!$B$5:$B$110&lt;=$B57),0)</f>
        <v>103</v>
      </c>
      <c r="U57" s="152">
        <f>100*(INDEX(TDU_Info!$E$5:$E$110,$T57)/T$11+INDEX(TDU_Info!$F$5:$F$110,$T57))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MATCH(1,(TDU_Info!$C$5:$C$110=$T$6)*(TDU_Info!$B$5:$B$110&lt;=$B58),0)</f>
        <v>103</v>
      </c>
      <c r="U58" s="152">
        <f>100*(INDEX(TDU_Info!$E$5:$E$110,$T58)/T$11+INDEX(TDU_Info!$F$5:$F$110,$T58))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MATCH(1,(TDU_Info!$C$5:$C$110=$T$6)*(TDU_Info!$B$5:$B$110&lt;=$B59),0)</f>
        <v>103</v>
      </c>
      <c r="U59" s="152">
        <f>100*(INDEX(TDU_Info!$E$5:$E$110,$T59)/T$11+INDEX(TDU_Info!$F$5:$F$110,$T59))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MATCH(1,(TDU_Info!$C$5:$C$110=$T$6)*(TDU_Info!$B$5:$B$110&lt;=$B60),0)</f>
        <v>103</v>
      </c>
      <c r="U60" s="152">
        <f>100*(INDEX(TDU_Info!$E$5:$E$110,$T60)/T$11+INDEX(TDU_Info!$F$5:$F$110,$T60))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MATCH(1,(TDU_Info!$C$5:$C$110=$T$6)*(TDU_Info!$B$5:$B$110&lt;=$B61),0)</f>
        <v>103</v>
      </c>
      <c r="U61" s="152">
        <f>100*(INDEX(TDU_Info!$E$5:$E$110,$T61)/T$11+INDEX(TDU_Info!$F$5:$F$110,$T61))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MATCH(1,(TDU_Info!$C$5:$C$110=$T$6)*(TDU_Info!$B$5:$B$110&lt;=$B62),0)</f>
        <v>103</v>
      </c>
      <c r="U62" s="152">
        <f>100*(INDEX(TDU_Info!$E$5:$E$110,$T62)/T$11+INDEX(TDU_Info!$F$5:$F$110,$T62))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MATCH(1,(TDU_Info!$C$5:$C$110=$T$6)*(TDU_Info!$B$5:$B$110&lt;=$B63),0)</f>
        <v>103</v>
      </c>
      <c r="U63" s="152">
        <f>100*(INDEX(TDU_Info!$E$5:$E$110,$T63)/T$11+INDEX(TDU_Info!$F$5:$F$110,$T63))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MATCH(1,(TDU_Info!$C$5:$C$110=$T$6)*(TDU_Info!$B$5:$B$110&lt;=$B64),0)</f>
        <v>103</v>
      </c>
      <c r="U64" s="152">
        <f>100*(INDEX(TDU_Info!$E$5:$E$110,$T64)/T$11+INDEX(TDU_Info!$F$5:$F$110,$T64))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MATCH(1,(TDU_Info!$C$5:$C$110=$T$6)*(TDU_Info!$B$5:$B$110&lt;=$B65),0)</f>
        <v>103</v>
      </c>
      <c r="U65" s="152">
        <f>100*(INDEX(TDU_Info!$E$5:$E$110,$T65)/T$11+INDEX(TDU_Info!$F$5:$F$110,$T65))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MATCH(1,(TDU_Info!$C$5:$C$110=$T$6)*(TDU_Info!$B$5:$B$110&lt;=$B66),0)</f>
        <v>103</v>
      </c>
      <c r="U66" s="152">
        <f>100*(INDEX(TDU_Info!$E$5:$E$110,$T66)/T$11+INDEX(TDU_Info!$F$5:$F$110,$T66))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MATCH(1,(TDU_Info!$C$5:$C$110=$T$6)*(TDU_Info!$B$5:$B$110&lt;=$B67),0)</f>
        <v>103</v>
      </c>
      <c r="U67" s="152">
        <f>100*(INDEX(TDU_Info!$E$5:$E$110,$T67)/T$11+INDEX(TDU_Info!$F$5:$F$110,$T67))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MATCH(1,(TDU_Info!$C$5:$C$110=$T$6)*(TDU_Info!$B$5:$B$110&lt;=$B68),0)</f>
        <v>103</v>
      </c>
      <c r="U68" s="152">
        <f>100*(INDEX(TDU_Info!$E$5:$E$110,$T68)/T$11+INDEX(TDU_Info!$F$5:$F$110,$T68))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MATCH(1,(TDU_Info!$C$5:$C$110=$T$6)*(TDU_Info!$B$5:$B$110&lt;=$B69),0)</f>
        <v>103</v>
      </c>
      <c r="U69" s="152">
        <f>100*(INDEX(TDU_Info!$E$5:$E$110,$T69)/T$11+INDEX(TDU_Info!$F$5:$F$110,$T69))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MATCH(1,(TDU_Info!$C$5:$C$110=$T$6)*(TDU_Info!$B$5:$B$110&lt;=$B70),0)</f>
        <v>103</v>
      </c>
      <c r="U70" s="152">
        <f>100*(INDEX(TDU_Info!$E$5:$E$110,$T70)/T$11+INDEX(TDU_Info!$F$5:$F$110,$T70))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MATCH(1,(TDU_Info!$C$5:$C$110=$T$6)*(TDU_Info!$B$5:$B$110&lt;=$B71),0)</f>
        <v>103</v>
      </c>
      <c r="U71" s="152">
        <f>100*(INDEX(TDU_Info!$E$5:$E$110,$T71)/T$11+INDEX(TDU_Info!$F$5:$F$110,$T71))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MATCH(1,(TDU_Info!$C$5:$C$110=$T$6)*(TDU_Info!$B$5:$B$110&lt;=$B72),0)</f>
        <v>103</v>
      </c>
      <c r="U72" s="152">
        <f>100*(INDEX(TDU_Info!$E$5:$E$110,$T72)/T$11+INDEX(TDU_Info!$F$5:$F$110,$T72))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MATCH(1,(TDU_Info!$C$5:$C$110=$T$6)*(TDU_Info!$B$5:$B$110&lt;=$B73),0)</f>
        <v>103</v>
      </c>
      <c r="U73" s="152">
        <f>100*(INDEX(TDU_Info!$E$5:$E$110,$T73)/T$11+INDEX(TDU_Info!$F$5:$F$110,$T73))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MATCH(1,(TDU_Info!$C$5:$C$110=$T$6)*(TDU_Info!$B$5:$B$110&lt;=$B74),0)</f>
        <v>103</v>
      </c>
      <c r="U74" s="152">
        <f>100*(INDEX(TDU_Info!$E$5:$E$110,$T74)/T$11+INDEX(TDU_Info!$F$5:$F$110,$T74))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MATCH(1,(TDU_Info!$C$5:$C$110=$T$6)*(TDU_Info!$B$5:$B$110&lt;=$B75),0)</f>
        <v>103</v>
      </c>
      <c r="U75" s="152">
        <f>100*(INDEX(TDU_Info!$E$5:$E$110,$T75)/T$11+INDEX(TDU_Info!$F$5:$F$110,$T75))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MATCH(1,(TDU_Info!$C$5:$C$110=$T$6)*(TDU_Info!$B$5:$B$110&lt;=$B76),0)</f>
        <v>102</v>
      </c>
      <c r="U76" s="152">
        <f>100*(INDEX(TDU_Info!$E$5:$E$110,$T76)/T$11+INDEX(TDU_Info!$F$5:$F$110,$T76))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MATCH(1,(TDU_Info!$C$5:$C$110=$T$6)*(TDU_Info!$B$5:$B$110&lt;=$B77),0)</f>
        <v>102</v>
      </c>
      <c r="U77" s="152">
        <f>100*(INDEX(TDU_Info!$E$5:$E$110,$T77)/T$11+INDEX(TDU_Info!$F$5:$F$110,$T77))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MATCH(1,(TDU_Info!$C$5:$C$110=$T$6)*(TDU_Info!$B$5:$B$110&lt;=$B78),0)</f>
        <v>102</v>
      </c>
      <c r="U78" s="152">
        <f>100*(INDEX(TDU_Info!$E$5:$E$110,$T78)/T$11+INDEX(TDU_Info!$F$5:$F$110,$T78))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MATCH(1,(TDU_Info!$C$5:$C$110=$T$6)*(TDU_Info!$B$5:$B$110&lt;=$B79),0)</f>
        <v>102</v>
      </c>
      <c r="U79" s="152">
        <f>100*(INDEX(TDU_Info!$E$5:$E$110,$T79)/T$11+INDEX(TDU_Info!$F$5:$F$110,$T79))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MATCH(1,(TDU_Info!$C$5:$C$110=$T$6)*(TDU_Info!$B$5:$B$110&lt;=$B80),0)</f>
        <v>102</v>
      </c>
      <c r="U80" s="152">
        <f>100*(INDEX(TDU_Info!$E$5:$E$110,$T80)/T$11+INDEX(TDU_Info!$F$5:$F$110,$T80))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MATCH(1,(TDU_Info!$C$5:$C$110=$T$6)*(TDU_Info!$B$5:$B$110&lt;=$B81),0)</f>
        <v>102</v>
      </c>
      <c r="U81" s="152">
        <f>100*(INDEX(TDU_Info!$E$5:$E$110,$T81)/T$11+INDEX(TDU_Info!$F$5:$F$110,$T81))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MATCH(1,(TDU_Info!$C$5:$C$110=$T$6)*(TDU_Info!$B$5:$B$110&lt;=$B82),0)</f>
        <v>102</v>
      </c>
      <c r="U82" s="152">
        <f>100*(INDEX(TDU_Info!$E$5:$E$110,$T82)/T$11+INDEX(TDU_Info!$F$5:$F$110,$T82))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MATCH(1,(TDU_Info!$C$5:$C$110=$T$6)*(TDU_Info!$B$5:$B$110&lt;=$B83),0)</f>
        <v>102</v>
      </c>
      <c r="U83" s="152">
        <f>100*(INDEX(TDU_Info!$E$5:$E$110,$T83)/T$11+INDEX(TDU_Info!$F$5:$F$110,$T83))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MATCH(1,(TDU_Info!$C$5:$C$110=$T$6)*(TDU_Info!$B$5:$B$110&lt;=$B84),0)</f>
        <v>102</v>
      </c>
      <c r="U84" s="152">
        <f>100*(INDEX(TDU_Info!$E$5:$E$110,$T84)/T$11+INDEX(TDU_Info!$F$5:$F$110,$T84))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MATCH(1,(TDU_Info!$C$5:$C$110=$T$6)*(TDU_Info!$B$5:$B$110&lt;=$B85),0)</f>
        <v>102</v>
      </c>
      <c r="U85" s="152">
        <f>100*(INDEX(TDU_Info!$E$5:$E$110,$T85)/T$11+INDEX(TDU_Info!$F$5:$F$110,$T85))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MATCH(1,(TDU_Info!$C$5:$C$110=$T$6)*(TDU_Info!$B$5:$B$110&lt;=$B86),0)</f>
        <v>102</v>
      </c>
      <c r="U86" s="152">
        <f>100*(INDEX(TDU_Info!$E$5:$E$110,$T86)/T$11+INDEX(TDU_Info!$F$5:$F$110,$T86))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MATCH(1,(TDU_Info!$C$5:$C$110=$T$6)*(TDU_Info!$B$5:$B$110&lt;=$B87),0)</f>
        <v>102</v>
      </c>
      <c r="U87" s="152">
        <f>100*(INDEX(TDU_Info!$E$5:$E$110,$T87)/T$11+INDEX(TDU_Info!$F$5:$F$110,$T87))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MATCH(1,(TDU_Info!$C$5:$C$110=$T$6)*(TDU_Info!$B$5:$B$110&lt;=$B88),0)</f>
        <v>102</v>
      </c>
      <c r="U88" s="152">
        <f>100*(INDEX(TDU_Info!$E$5:$E$110,$T88)/T$11+INDEX(TDU_Info!$F$5:$F$110,$T88))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MATCH(1,(TDU_Info!$C$5:$C$110=$T$6)*(TDU_Info!$B$5:$B$110&lt;=$B89),0)</f>
        <v>102</v>
      </c>
      <c r="U89" s="152">
        <f>100*(INDEX(TDU_Info!$E$5:$E$110,$T89)/T$11+INDEX(TDU_Info!$F$5:$F$110,$T89))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MATCH(1,(TDU_Info!$C$5:$C$110=$T$6)*(TDU_Info!$B$5:$B$110&lt;=$B90),0)</f>
        <v>102</v>
      </c>
      <c r="U90" s="152">
        <f>100*(INDEX(TDU_Info!$E$5:$E$110,$T90)/T$11+INDEX(TDU_Info!$F$5:$F$110,$T90))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MATCH(1,(TDU_Info!$C$5:$C$110=$T$6)*(TDU_Info!$B$5:$B$110&lt;=$B91),0)</f>
        <v>102</v>
      </c>
      <c r="U91" s="152">
        <f>100*(INDEX(TDU_Info!$E$5:$E$110,$T91)/T$11+INDEX(TDU_Info!$F$5:$F$110,$T91))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MATCH(1,(TDU_Info!$C$5:$C$110=$T$6)*(TDU_Info!$B$5:$B$110&lt;=$B92),0)</f>
        <v>102</v>
      </c>
      <c r="U92" s="152">
        <f>100*(INDEX(TDU_Info!$E$5:$E$110,$T92)/T$11+INDEX(TDU_Info!$F$5:$F$110,$T92))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MATCH(1,(TDU_Info!$C$5:$C$110=$T$6)*(TDU_Info!$B$5:$B$110&lt;=$B93),0)</f>
        <v>102</v>
      </c>
      <c r="U93" s="152">
        <f>100*(INDEX(TDU_Info!$E$5:$E$110,$T93)/T$11+INDEX(TDU_Info!$F$5:$F$110,$T93))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MATCH(1,(TDU_Info!$C$5:$C$110=$T$6)*(TDU_Info!$B$5:$B$110&lt;=$B94),0)</f>
        <v>102</v>
      </c>
      <c r="U94" s="152">
        <f>100*(INDEX(TDU_Info!$E$5:$E$110,$T94)/T$11+INDEX(TDU_Info!$F$5:$F$110,$T94))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MATCH(1,(TDU_Info!$C$5:$C$110=$T$6)*(TDU_Info!$B$5:$B$110&lt;=$B95),0)</f>
        <v>102</v>
      </c>
      <c r="U95" s="152">
        <f>100*(INDEX(TDU_Info!$E$5:$E$110,$T95)/T$11+INDEX(TDU_Info!$F$5:$F$110,$T95))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MATCH(1,(TDU_Info!$C$5:$C$110=$T$6)*(TDU_Info!$B$5:$B$110&lt;=$B96),0)</f>
        <v>102</v>
      </c>
      <c r="U96" s="152">
        <f>100*(INDEX(TDU_Info!$E$5:$E$110,$T96)/T$11+INDEX(TDU_Info!$F$5:$F$110,$T96))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MATCH(1,(TDU_Info!$C$5:$C$110=$T$6)*(TDU_Info!$B$5:$B$110&lt;=$B97),0)</f>
        <v>102</v>
      </c>
      <c r="U97" s="152">
        <f>100*(INDEX(TDU_Info!$E$5:$E$110,$T97)/T$11+INDEX(TDU_Info!$F$5:$F$110,$T97))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MATCH(1,(TDU_Info!$C$5:$C$110=$T$6)*(TDU_Info!$B$5:$B$110&lt;=$B98),0)</f>
        <v>102</v>
      </c>
      <c r="U98" s="152">
        <f>100*(INDEX(TDU_Info!$E$5:$E$110,$T98)/T$11+INDEX(TDU_Info!$F$5:$F$110,$T98))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MATCH(1,(TDU_Info!$C$5:$C$110=$T$6)*(TDU_Info!$B$5:$B$110&lt;=$B99),0)</f>
        <v>102</v>
      </c>
      <c r="U99" s="152">
        <f>100*(INDEX(TDU_Info!$E$5:$E$110,$T99)/T$11+INDEX(TDU_Info!$F$5:$F$110,$T99))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MATCH(1,(TDU_Info!$C$5:$C$110=$T$6)*(TDU_Info!$B$5:$B$110&lt;=$B100),0)</f>
        <v>102</v>
      </c>
      <c r="U100" s="152">
        <f>100*(INDEX(TDU_Info!$E$5:$E$110,$T100)/T$11+INDEX(TDU_Info!$F$5:$F$110,$T100))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MATCH(1,(TDU_Info!$C$5:$C$110=$T$6)*(TDU_Info!$B$5:$B$110&lt;=$B101),0)</f>
        <v>102</v>
      </c>
      <c r="U101" s="152">
        <f>100*(INDEX(TDU_Info!$E$5:$E$110,$T101)/T$11+INDEX(TDU_Info!$F$5:$F$110,$T101))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MATCH(1,(TDU_Info!$C$5:$C$110=$T$6)*(TDU_Info!$B$5:$B$110&lt;=$B102),0)</f>
        <v>102</v>
      </c>
      <c r="U102" s="152">
        <f>100*(INDEX(TDU_Info!$E$5:$E$110,$T102)/T$11+INDEX(TDU_Info!$F$5:$F$110,$T102))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MATCH(1,(TDU_Info!$C$5:$C$110=$T$6)*(TDU_Info!$B$5:$B$110&lt;=$B103),0)</f>
        <v>102</v>
      </c>
      <c r="U103" s="152">
        <f>100*(INDEX(TDU_Info!$E$5:$E$110,$T103)/T$11+INDEX(TDU_Info!$F$5:$F$110,$T103))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MATCH(1,(TDU_Info!$C$5:$C$110=$T$6)*(TDU_Info!$B$5:$B$110&lt;=$B104),0)</f>
        <v>102</v>
      </c>
      <c r="U104" s="152">
        <f>100*(INDEX(TDU_Info!$E$5:$E$110,$T104)/T$11+INDEX(TDU_Info!$F$5:$F$110,$T104))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MATCH(1,(TDU_Info!$C$5:$C$110=$T$6)*(TDU_Info!$B$5:$B$110&lt;=$B105),0)</f>
        <v>102</v>
      </c>
      <c r="U105" s="152">
        <f>100*(INDEX(TDU_Info!$E$5:$E$110,$T105)/T$11+INDEX(TDU_Info!$F$5:$F$110,$T105))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MATCH(1,(TDU_Info!$C$5:$C$110=$T$6)*(TDU_Info!$B$5:$B$110&lt;=$B106),0)</f>
        <v>102</v>
      </c>
      <c r="U106" s="152">
        <f>100*(INDEX(TDU_Info!$E$5:$E$110,$T106)/T$11+INDEX(TDU_Info!$F$5:$F$110,$T106))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MATCH(1,(TDU_Info!$C$5:$C$110=$T$6)*(TDU_Info!$B$5:$B$110&lt;=$B107),0)</f>
        <v>102</v>
      </c>
      <c r="U107" s="152">
        <f>100*(INDEX(TDU_Info!$E$5:$E$110,$T107)/T$11+INDEX(TDU_Info!$F$5:$F$110,$T107))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MATCH(1,(TDU_Info!$C$5:$C$110=$T$6)*(TDU_Info!$B$5:$B$110&lt;=$B108),0)</f>
        <v>102</v>
      </c>
      <c r="U108" s="152">
        <f>100*(INDEX(TDU_Info!$E$5:$E$110,$T108)/T$11+INDEX(TDU_Info!$F$5:$F$110,$T108))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MATCH(1,(TDU_Info!$C$5:$C$110=$T$6)*(TDU_Info!$B$5:$B$110&lt;=$B109),0)</f>
        <v>102</v>
      </c>
      <c r="U109" s="152">
        <f>100*(INDEX(TDU_Info!$E$5:$E$110,$T109)/T$11+INDEX(TDU_Info!$F$5:$F$110,$T109))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MATCH(1,(TDU_Info!$C$5:$C$110=$T$6)*(TDU_Info!$B$5:$B$110&lt;=$B110),0)</f>
        <v>102</v>
      </c>
      <c r="U110" s="152">
        <f>100*(INDEX(TDU_Info!$E$5:$E$110,$T110)/T$11+INDEX(TDU_Info!$F$5:$F$110,$T110))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MATCH(1,(TDU_Info!$C$5:$C$110=$T$6)*(TDU_Info!$B$5:$B$110&lt;=$B111),0)</f>
        <v>102</v>
      </c>
      <c r="U111" s="152">
        <f>100*(INDEX(TDU_Info!$E$5:$E$110,$T111)/T$11+INDEX(TDU_Info!$F$5:$F$110,$T111))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MATCH(1,(TDU_Info!$C$5:$C$110=$T$6)*(TDU_Info!$B$5:$B$110&lt;=$B112),0)</f>
        <v>102</v>
      </c>
      <c r="U112" s="152">
        <f>100*(INDEX(TDU_Info!$E$5:$E$110,$T112)/T$11+INDEX(TDU_Info!$F$5:$F$110,$T112))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MATCH(1,(TDU_Info!$C$5:$C$110=$T$6)*(TDU_Info!$B$5:$B$110&lt;=$B113),0)</f>
        <v>102</v>
      </c>
      <c r="U113" s="152">
        <f>100*(INDEX(TDU_Info!$E$5:$E$110,$T113)/T$11+INDEX(TDU_Info!$F$5:$F$110,$T113))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MATCH(1,(TDU_Info!$C$5:$C$110=$T$6)*(TDU_Info!$B$5:$B$110&lt;=$B114),0)</f>
        <v>102</v>
      </c>
      <c r="U114" s="152">
        <f>100*(INDEX(TDU_Info!$E$5:$E$110,$T114)/T$11+INDEX(TDU_Info!$F$5:$F$110,$T114))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MATCH(1,(TDU_Info!$C$5:$C$110=$T$6)*(TDU_Info!$B$5:$B$110&lt;=$B115),0)</f>
        <v>102</v>
      </c>
      <c r="U115" s="152">
        <f>100*(INDEX(TDU_Info!$E$5:$E$110,$T115)/T$11+INDEX(TDU_Info!$F$5:$F$110,$T115))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MATCH(1,(TDU_Info!$C$5:$C$110=$T$6)*(TDU_Info!$B$5:$B$110&lt;=$B116),0)</f>
        <v>102</v>
      </c>
      <c r="U116" s="152">
        <f>100*(INDEX(TDU_Info!$E$5:$E$110,$T116)/T$11+INDEX(TDU_Info!$F$5:$F$110,$T116))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MATCH(1,(TDU_Info!$C$5:$C$110=$T$6)*(TDU_Info!$B$5:$B$110&lt;=$B117),0)</f>
        <v>102</v>
      </c>
      <c r="U117" s="152">
        <f>100*(INDEX(TDU_Info!$E$5:$E$110,$T117)/T$11+INDEX(TDU_Info!$F$5:$F$110,$T117))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MATCH(1,(TDU_Info!$C$5:$C$110=$T$6)*(TDU_Info!$B$5:$B$110&lt;=$B118),0)</f>
        <v>102</v>
      </c>
      <c r="U118" s="152">
        <f>100*(INDEX(TDU_Info!$E$5:$E$110,$T118)/T$11+INDEX(TDU_Info!$F$5:$F$110,$T118))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MATCH(1,(TDU_Info!$C$5:$C$110=$T$6)*(TDU_Info!$B$5:$B$110&lt;=$B119),0)</f>
        <v>102</v>
      </c>
      <c r="U119" s="152">
        <f>100*(INDEX(TDU_Info!$E$5:$E$110,$T119)/T$11+INDEX(TDU_Info!$F$5:$F$110,$T119))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MATCH(1,(TDU_Info!$C$5:$C$110=$T$6)*(TDU_Info!$B$5:$B$110&lt;=$B120),0)</f>
        <v>102</v>
      </c>
      <c r="U120" s="152">
        <f>100*(INDEX(TDU_Info!$E$5:$E$110,$T120)/T$11+INDEX(TDU_Info!$F$5:$F$110,$T120))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MATCH(1,(TDU_Info!$C$5:$C$110=$T$6)*(TDU_Info!$B$5:$B$110&lt;=$B121),0)</f>
        <v>102</v>
      </c>
      <c r="U121" s="152">
        <f>100*(INDEX(TDU_Info!$E$5:$E$110,$T121)/T$11+INDEX(TDU_Info!$F$5:$F$110,$T121))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MATCH(1,(TDU_Info!$C$5:$C$110=$T$6)*(TDU_Info!$B$5:$B$110&lt;=$B122),0)</f>
        <v>102</v>
      </c>
      <c r="U122" s="152">
        <f>100*(INDEX(TDU_Info!$E$5:$E$110,$T122)/T$11+INDEX(TDU_Info!$F$5:$F$110,$T122))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MATCH(1,(TDU_Info!$C$5:$C$110=$T$6)*(TDU_Info!$B$5:$B$110&lt;=$B123),0)</f>
        <v>102</v>
      </c>
      <c r="U123" s="152">
        <f>100*(INDEX(TDU_Info!$E$5:$E$110,$T123)/T$11+INDEX(TDU_Info!$F$5:$F$110,$T123))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MATCH(1,(TDU_Info!$C$5:$C$110=$T$6)*(TDU_Info!$B$5:$B$110&lt;=$B124),0)</f>
        <v>102</v>
      </c>
      <c r="U124" s="152">
        <f>100*(INDEX(TDU_Info!$E$5:$E$110,$T124)/T$11+INDEX(TDU_Info!$F$5:$F$110,$T124))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MATCH(1,(TDU_Info!$C$5:$C$110=$T$6)*(TDU_Info!$B$5:$B$110&lt;=$B125),0)</f>
        <v>102</v>
      </c>
      <c r="U125" s="152">
        <f>100*(INDEX(TDU_Info!$E$5:$E$110,$T125)/T$11+INDEX(TDU_Info!$F$5:$F$110,$T125))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MATCH(1,(TDU_Info!$C$5:$C$110=$T$6)*(TDU_Info!$B$5:$B$110&lt;=$B126),0)</f>
        <v>102</v>
      </c>
      <c r="U126" s="152">
        <f>100*(INDEX(TDU_Info!$E$5:$E$110,$T126)/T$11+INDEX(TDU_Info!$F$5:$F$110,$T126))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MATCH(1,(TDU_Info!$C$5:$C$110=$T$6)*(TDU_Info!$B$5:$B$110&lt;=$B127),0)</f>
        <v>102</v>
      </c>
      <c r="U127" s="152">
        <f>100*(INDEX(TDU_Info!$E$5:$E$110,$T127)/T$11+INDEX(TDU_Info!$F$5:$F$110,$T127))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MATCH(1,(TDU_Info!$C$5:$C$110=$T$6)*(TDU_Info!$B$5:$B$110&lt;=$B128),0)</f>
        <v>102</v>
      </c>
      <c r="U128" s="152">
        <f>100*(INDEX(TDU_Info!$E$5:$E$110,$T128)/T$11+INDEX(TDU_Info!$F$5:$F$110,$T128))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MATCH(1,(TDU_Info!$C$5:$C$110=$T$6)*(TDU_Info!$B$5:$B$110&lt;=$B129),0)</f>
        <v>102</v>
      </c>
      <c r="U129" s="152">
        <f>100*(INDEX(TDU_Info!$E$5:$E$110,$T129)/T$11+INDEX(TDU_Info!$F$5:$F$110,$T129))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MATCH(1,(TDU_Info!$C$5:$C$110=$T$6)*(TDU_Info!$B$5:$B$110&lt;=$B130),0)</f>
        <v>102</v>
      </c>
      <c r="U130" s="152">
        <f>100*(INDEX(TDU_Info!$E$5:$E$110,$T130)/T$11+INDEX(TDU_Info!$F$5:$F$110,$T130))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MATCH(1,(TDU_Info!$C$5:$C$110=$T$6)*(TDU_Info!$B$5:$B$110&lt;=$B131),0)</f>
        <v>102</v>
      </c>
      <c r="U131" s="152">
        <f>100*(INDEX(TDU_Info!$E$5:$E$110,$T131)/T$11+INDEX(TDU_Info!$F$5:$F$110,$T131))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MATCH(1,(TDU_Info!$C$5:$C$110=$T$6)*(TDU_Info!$B$5:$B$110&lt;=$B132),0)</f>
        <v>102</v>
      </c>
      <c r="U132" s="152">
        <f>100*(INDEX(TDU_Info!$E$5:$E$110,$T132)/T$11+INDEX(TDU_Info!$F$5:$F$110,$T132))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MATCH(1,(TDU_Info!$C$5:$C$110=$T$6)*(TDU_Info!$B$5:$B$110&lt;=$B133),0)</f>
        <v>102</v>
      </c>
      <c r="U133" s="152">
        <f>100*(INDEX(TDU_Info!$E$5:$E$110,$T133)/T$11+INDEX(TDU_Info!$F$5:$F$110,$T133))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MATCH(1,(TDU_Info!$C$5:$C$110=$T$6)*(TDU_Info!$B$5:$B$110&lt;=$B134),0)</f>
        <v>102</v>
      </c>
      <c r="U134" s="152">
        <f>100*(INDEX(TDU_Info!$E$5:$E$110,$T134)/T$11+INDEX(TDU_Info!$F$5:$F$110,$T134))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MATCH(1,(TDU_Info!$C$5:$C$110=$T$6)*(TDU_Info!$B$5:$B$110&lt;=$B135),0)</f>
        <v>102</v>
      </c>
      <c r="U135" s="152">
        <f>100*(INDEX(TDU_Info!$E$5:$E$110,$T135)/T$11+INDEX(TDU_Info!$F$5:$F$110,$T135))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MATCH(1,(TDU_Info!$C$5:$C$110=$T$6)*(TDU_Info!$B$5:$B$110&lt;=$B136),0)</f>
        <v>102</v>
      </c>
      <c r="U136" s="152">
        <f>100*(INDEX(TDU_Info!$E$5:$E$110,$T136)/T$11+INDEX(TDU_Info!$F$5:$F$110,$T136))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MATCH(1,(TDU_Info!$C$5:$C$110=$T$6)*(TDU_Info!$B$5:$B$110&lt;=$B137),0)</f>
        <v>102</v>
      </c>
      <c r="U137" s="152">
        <f>100*(INDEX(TDU_Info!$E$5:$E$110,$T137)/T$11+INDEX(TDU_Info!$F$5:$F$110,$T137))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MATCH(1,(TDU_Info!$C$5:$C$110=$T$6)*(TDU_Info!$B$5:$B$110&lt;=$B138),0)</f>
        <v>102</v>
      </c>
      <c r="U138" s="152">
        <f>100*(INDEX(TDU_Info!$E$5:$E$110,$T138)/T$11+INDEX(TDU_Info!$F$5:$F$110,$T138))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MATCH(1,(TDU_Info!$C$5:$C$110=$T$6)*(TDU_Info!$B$5:$B$110&lt;=$B139),0)</f>
        <v>102</v>
      </c>
      <c r="U139" s="152">
        <f>100*(INDEX(TDU_Info!$E$5:$E$110,$T139)/T$11+INDEX(TDU_Info!$F$5:$F$110,$T139))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MATCH(1,(TDU_Info!$C$5:$C$110=$T$6)*(TDU_Info!$B$5:$B$110&lt;=$B140),0)</f>
        <v>102</v>
      </c>
      <c r="U140" s="152">
        <f>100*(INDEX(TDU_Info!$E$5:$E$110,$T140)/T$11+INDEX(TDU_Info!$F$5:$F$110,$T140))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MATCH(1,(TDU_Info!$C$5:$C$110=$T$6)*(TDU_Info!$B$5:$B$110&lt;=$B141),0)</f>
        <v>102</v>
      </c>
      <c r="U141" s="152">
        <f>100*(INDEX(TDU_Info!$E$5:$E$110,$T141)/T$11+INDEX(TDU_Info!$F$5:$F$110,$T141))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MATCH(1,(TDU_Info!$C$5:$C$110=$T$6)*(TDU_Info!$B$5:$B$110&lt;=$B142),0)</f>
        <v>102</v>
      </c>
      <c r="U142" s="152">
        <f>100*(INDEX(TDU_Info!$E$5:$E$110,$T142)/T$11+INDEX(TDU_Info!$F$5:$F$110,$T142))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MATCH(1,(TDU_Info!$C$5:$C$110=$T$6)*(TDU_Info!$B$5:$B$110&lt;=$B143),0)</f>
        <v>102</v>
      </c>
      <c r="U143" s="152">
        <f>100*(INDEX(TDU_Info!$E$5:$E$110,$T143)/T$11+INDEX(TDU_Info!$F$5:$F$110,$T143))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MATCH(1,(TDU_Info!$C$5:$C$110=$T$6)*(TDU_Info!$B$5:$B$110&lt;=$B144),0)</f>
        <v>102</v>
      </c>
      <c r="U144" s="152">
        <f>100*(INDEX(TDU_Info!$E$5:$E$110,$T144)/T$11+INDEX(TDU_Info!$F$5:$F$110,$T144))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MATCH(1,(TDU_Info!$C$5:$C$110=$T$6)*(TDU_Info!$B$5:$B$110&lt;=$B145),0)</f>
        <v>102</v>
      </c>
      <c r="U145" s="152">
        <f>100*(INDEX(TDU_Info!$E$5:$E$110,$T145)/T$11+INDEX(TDU_Info!$F$5:$F$110,$T145))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MATCH(1,(TDU_Info!$C$5:$C$110=$T$6)*(TDU_Info!$B$5:$B$110&lt;=$B146),0)</f>
        <v>102</v>
      </c>
      <c r="U146" s="152">
        <f>100*(INDEX(TDU_Info!$E$5:$E$110,$T146)/T$11+INDEX(TDU_Info!$F$5:$F$110,$T146))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MATCH(1,(TDU_Info!$C$5:$C$110=$T$6)*(TDU_Info!$B$5:$B$110&lt;=$B147),0)</f>
        <v>102</v>
      </c>
      <c r="U147" s="152">
        <f>100*(INDEX(TDU_Info!$E$5:$E$110,$T147)/T$11+INDEX(TDU_Info!$F$5:$F$110,$T147))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MATCH(1,(TDU_Info!$C$5:$C$110=$T$6)*(TDU_Info!$B$5:$B$110&lt;=$B148),0)</f>
        <v>102</v>
      </c>
      <c r="U148" s="152">
        <f>100*(INDEX(TDU_Info!$E$5:$E$110,$T148)/T$11+INDEX(TDU_Info!$F$5:$F$110,$T148))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MATCH(1,(TDU_Info!$C$5:$C$110=$T$6)*(TDU_Info!$B$5:$B$110&lt;=$B149),0)</f>
        <v>102</v>
      </c>
      <c r="U149" s="152">
        <f>100*(INDEX(TDU_Info!$E$5:$E$110,$T149)/T$11+INDEX(TDU_Info!$F$5:$F$110,$T149))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MATCH(1,(TDU_Info!$C$5:$C$110=$T$6)*(TDU_Info!$B$5:$B$110&lt;=$B150),0)</f>
        <v>102</v>
      </c>
      <c r="U150" s="152">
        <f>100*(INDEX(TDU_Info!$E$5:$E$110,$T150)/T$11+INDEX(TDU_Info!$F$5:$F$110,$T150))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MATCH(1,(TDU_Info!$C$5:$C$110=$T$6)*(TDU_Info!$B$5:$B$110&lt;=$B151),0)</f>
        <v>102</v>
      </c>
      <c r="U151" s="152">
        <f>100*(INDEX(TDU_Info!$E$5:$E$110,$T151)/T$11+INDEX(TDU_Info!$F$5:$F$110,$T151))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MATCH(1,(TDU_Info!$C$5:$C$110=$T$6)*(TDU_Info!$B$5:$B$110&lt;=$B152),0)</f>
        <v>102</v>
      </c>
      <c r="U152" s="152">
        <f>100*(INDEX(TDU_Info!$E$5:$E$110,$T152)/T$11+INDEX(TDU_Info!$F$5:$F$110,$T152))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MATCH(1,(TDU_Info!$C$5:$C$110=$T$6)*(TDU_Info!$B$5:$B$110&lt;=$B153),0)</f>
        <v>102</v>
      </c>
      <c r="U153" s="152">
        <f>100*(INDEX(TDU_Info!$E$5:$E$110,$T153)/T$11+INDEX(TDU_Info!$F$5:$F$110,$T153))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MATCH(1,(TDU_Info!$C$5:$C$110=$T$6)*(TDU_Info!$B$5:$B$110&lt;=$B154),0)</f>
        <v>102</v>
      </c>
      <c r="U154" s="152">
        <f>100*(INDEX(TDU_Info!$E$5:$E$110,$T154)/T$11+INDEX(TDU_Info!$F$5:$F$110,$T154))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MATCH(1,(TDU_Info!$C$5:$C$110=$T$6)*(TDU_Info!$B$5:$B$110&lt;=$B155),0)</f>
        <v>102</v>
      </c>
      <c r="U155" s="152">
        <f>100*(INDEX(TDU_Info!$E$5:$E$110,$T155)/T$11+INDEX(TDU_Info!$F$5:$F$110,$T155))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MATCH(1,(TDU_Info!$C$5:$C$110=$T$6)*(TDU_Info!$B$5:$B$110&lt;=$B156),0)</f>
        <v>102</v>
      </c>
      <c r="U156" s="152">
        <f>100*(INDEX(TDU_Info!$E$5:$E$110,$T156)/T$11+INDEX(TDU_Info!$F$5:$F$110,$T156))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MATCH(1,(TDU_Info!$C$5:$C$110=$T$6)*(TDU_Info!$B$5:$B$110&lt;=$B157),0)</f>
        <v>102</v>
      </c>
      <c r="U157" s="152">
        <f>100*(INDEX(TDU_Info!$E$5:$E$110,$T157)/T$11+INDEX(TDU_Info!$F$5:$F$110,$T157))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MATCH(1,(TDU_Info!$C$5:$C$110=$T$6)*(TDU_Info!$B$5:$B$110&lt;=$B158),0)</f>
        <v>102</v>
      </c>
      <c r="U158" s="152">
        <f>100*(INDEX(TDU_Info!$E$5:$E$110,$T158)/T$11+INDEX(TDU_Info!$F$5:$F$110,$T158))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MATCH(1,(TDU_Info!$C$5:$C$110=$T$6)*(TDU_Info!$B$5:$B$110&lt;=$B159),0)</f>
        <v>102</v>
      </c>
      <c r="U159" s="152">
        <f>100*(INDEX(TDU_Info!$E$5:$E$110,$T159)/T$11+INDEX(TDU_Info!$F$5:$F$110,$T159))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MATCH(1,(TDU_Info!$C$5:$C$110=$T$6)*(TDU_Info!$B$5:$B$110&lt;=$B160),0)</f>
        <v>102</v>
      </c>
      <c r="U160" s="152">
        <f>100*(INDEX(TDU_Info!$E$5:$E$110,$T160)/T$11+INDEX(TDU_Info!$F$5:$F$110,$T160))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MATCH(1,(TDU_Info!$C$5:$C$110=$T$6)*(TDU_Info!$B$5:$B$110&lt;=$B161),0)</f>
        <v>102</v>
      </c>
      <c r="U161" s="152">
        <f>100*(INDEX(TDU_Info!$E$5:$E$110,$T161)/T$11+INDEX(TDU_Info!$F$5:$F$110,$T161))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MATCH(1,(TDU_Info!$C$5:$C$110=$T$6)*(TDU_Info!$B$5:$B$110&lt;=$B162),0)</f>
        <v>102</v>
      </c>
      <c r="U162" s="152">
        <f>100*(INDEX(TDU_Info!$E$5:$E$110,$T162)/T$11+INDEX(TDU_Info!$F$5:$F$110,$T162))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MATCH(1,(TDU_Info!$C$5:$C$110=$T$6)*(TDU_Info!$B$5:$B$110&lt;=$B163),0)</f>
        <v>102</v>
      </c>
      <c r="U163" s="152">
        <f>100*(INDEX(TDU_Info!$E$5:$E$110,$T163)/T$11+INDEX(TDU_Info!$F$5:$F$110,$T163))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MATCH(1,(TDU_Info!$C$5:$C$110=$T$6)*(TDU_Info!$B$5:$B$110&lt;=$B164),0)</f>
        <v>102</v>
      </c>
      <c r="U164" s="152">
        <f>100*(INDEX(TDU_Info!$E$5:$E$110,$T164)/T$11+INDEX(TDU_Info!$F$5:$F$110,$T164))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MATCH(1,(TDU_Info!$C$5:$C$110=$T$6)*(TDU_Info!$B$5:$B$110&lt;=$B165),0)</f>
        <v>102</v>
      </c>
      <c r="U165" s="152">
        <f>100*(INDEX(TDU_Info!$E$5:$E$110,$T165)/T$11+INDEX(TDU_Info!$F$5:$F$110,$T165))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MATCH(1,(TDU_Info!$C$5:$C$110=$T$6)*(TDU_Info!$B$5:$B$110&lt;=$B166),0)</f>
        <v>102</v>
      </c>
      <c r="U166" s="152">
        <f>100*(INDEX(TDU_Info!$E$5:$E$110,$T166)/T$11+INDEX(TDU_Info!$F$5:$F$110,$T166))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MATCH(1,(TDU_Info!$C$5:$C$110=$T$6)*(TDU_Info!$B$5:$B$110&lt;=$B167),0)</f>
        <v>102</v>
      </c>
      <c r="U167" s="152">
        <f>100*(INDEX(TDU_Info!$E$5:$E$110,$T167)/T$11+INDEX(TDU_Info!$F$5:$F$110,$T167))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MATCH(1,(TDU_Info!$C$5:$C$110=$T$6)*(TDU_Info!$B$5:$B$110&lt;=$B168),0)</f>
        <v>102</v>
      </c>
      <c r="U168" s="152">
        <f>100*(INDEX(TDU_Info!$E$5:$E$110,$T168)/T$11+INDEX(TDU_Info!$F$5:$F$110,$T168))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MATCH(1,(TDU_Info!$C$5:$C$110=$T$6)*(TDU_Info!$B$5:$B$110&lt;=$B169),0)</f>
        <v>102</v>
      </c>
      <c r="U169" s="152">
        <f>100*(INDEX(TDU_Info!$E$5:$E$110,$T169)/T$11+INDEX(TDU_Info!$F$5:$F$110,$T169))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MATCH(1,(TDU_Info!$C$5:$C$110=$T$6)*(TDU_Info!$B$5:$B$110&lt;=$B170),0)</f>
        <v>102</v>
      </c>
      <c r="U170" s="152">
        <f>100*(INDEX(TDU_Info!$E$5:$E$110,$T170)/T$11+INDEX(TDU_Info!$F$5:$F$110,$T170))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MATCH(1,(TDU_Info!$C$5:$C$110=$T$6)*(TDU_Info!$B$5:$B$110&lt;=$B171),0)</f>
        <v>102</v>
      </c>
      <c r="U171" s="152">
        <f>100*(INDEX(TDU_Info!$E$5:$E$110,$T171)/T$11+INDEX(TDU_Info!$F$5:$F$110,$T171))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MATCH(1,(TDU_Info!$C$5:$C$110=$T$6)*(TDU_Info!$B$5:$B$110&lt;=$B172),0)</f>
        <v>102</v>
      </c>
      <c r="U172" s="152">
        <f>100*(INDEX(TDU_Info!$E$5:$E$110,$T172)/T$11+INDEX(TDU_Info!$F$5:$F$110,$T172))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MATCH(1,(TDU_Info!$C$5:$C$110=$T$6)*(TDU_Info!$B$5:$B$110&lt;=$B173),0)</f>
        <v>102</v>
      </c>
      <c r="U173" s="152">
        <f>100*(INDEX(TDU_Info!$E$5:$E$110,$T173)/T$11+INDEX(TDU_Info!$F$5:$F$110,$T173))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MATCH(1,(TDU_Info!$C$5:$C$110=$T$6)*(TDU_Info!$B$5:$B$110&lt;=$B174),0)</f>
        <v>102</v>
      </c>
      <c r="U174" s="152">
        <f>100*(INDEX(TDU_Info!$E$5:$E$110,$T174)/T$11+INDEX(TDU_Info!$F$5:$F$110,$T174))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MATCH(1,(TDU_Info!$C$5:$C$110=$T$6)*(TDU_Info!$B$5:$B$110&lt;=$B175),0)</f>
        <v>102</v>
      </c>
      <c r="U175" s="152">
        <f>100*(INDEX(TDU_Info!$E$5:$E$110,$T175)/T$11+INDEX(TDU_Info!$F$5:$F$110,$T175))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MATCH(1,(TDU_Info!$C$5:$C$110=$T$6)*(TDU_Info!$B$5:$B$110&lt;=$B176),0)</f>
        <v>102</v>
      </c>
      <c r="U176" s="152">
        <f>100*(INDEX(TDU_Info!$E$5:$E$110,$T176)/T$11+INDEX(TDU_Info!$F$5:$F$110,$T176))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MATCH(1,(TDU_Info!$C$5:$C$110=$T$6)*(TDU_Info!$B$5:$B$110&lt;=$B177),0)</f>
        <v>102</v>
      </c>
      <c r="U177" s="152">
        <f>100*(INDEX(TDU_Info!$E$5:$E$110,$T177)/T$11+INDEX(TDU_Info!$F$5:$F$110,$T177))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MATCH(1,(TDU_Info!$C$5:$C$110=$T$6)*(TDU_Info!$B$5:$B$110&lt;=$B178),0)</f>
        <v>102</v>
      </c>
      <c r="U178" s="152">
        <f>100*(INDEX(TDU_Info!$E$5:$E$110,$T178)/T$11+INDEX(TDU_Info!$F$5:$F$110,$T178))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MATCH(1,(TDU_Info!$C$5:$C$110=$T$6)*(TDU_Info!$B$5:$B$110&lt;=$B179),0)</f>
        <v>102</v>
      </c>
      <c r="U179" s="152">
        <f>100*(INDEX(TDU_Info!$E$5:$E$110,$T179)/T$11+INDEX(TDU_Info!$F$5:$F$110,$T179))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MATCH(1,(TDU_Info!$C$5:$C$110=$T$6)*(TDU_Info!$B$5:$B$110&lt;=$B180),0)</f>
        <v>102</v>
      </c>
      <c r="U180" s="152">
        <f>100*(INDEX(TDU_Info!$E$5:$E$110,$T180)/T$11+INDEX(TDU_Info!$F$5:$F$110,$T180))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MATCH(1,(TDU_Info!$C$5:$C$110=$T$6)*(TDU_Info!$B$5:$B$110&lt;=$B181),0)</f>
        <v>102</v>
      </c>
      <c r="U181" s="152">
        <f>100*(INDEX(TDU_Info!$E$5:$E$110,$T181)/T$11+INDEX(TDU_Info!$F$5:$F$110,$T181))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MATCH(1,(TDU_Info!$C$5:$C$110=$T$6)*(TDU_Info!$B$5:$B$110&lt;=$B182),0)</f>
        <v>102</v>
      </c>
      <c r="U182" s="152">
        <f>100*(INDEX(TDU_Info!$E$5:$E$110,$T182)/T$11+INDEX(TDU_Info!$F$5:$F$110,$T182))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MATCH(1,(TDU_Info!$C$5:$C$110=$T$6)*(TDU_Info!$B$5:$B$110&lt;=$B183),0)</f>
        <v>102</v>
      </c>
      <c r="U183" s="152">
        <f>100*(INDEX(TDU_Info!$E$5:$E$110,$T183)/T$11+INDEX(TDU_Info!$F$5:$F$110,$T183))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MATCH(1,(TDU_Info!$C$5:$C$110=$T$6)*(TDU_Info!$B$5:$B$110&lt;=$B184),0)</f>
        <v>102</v>
      </c>
      <c r="U184" s="152">
        <f>100*(INDEX(TDU_Info!$E$5:$E$110,$T184)/T$11+INDEX(TDU_Info!$F$5:$F$110,$T184))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MATCH(1,(TDU_Info!$C$5:$C$110=$T$6)*(TDU_Info!$B$5:$B$110&lt;=$B185),0)</f>
        <v>102</v>
      </c>
      <c r="U185" s="152">
        <f>100*(INDEX(TDU_Info!$E$5:$E$110,$T185)/T$11+INDEX(TDU_Info!$F$5:$F$110,$T185))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MATCH(1,(TDU_Info!$C$5:$C$110=$T$6)*(TDU_Info!$B$5:$B$110&lt;=$B186),0)</f>
        <v>102</v>
      </c>
      <c r="U186" s="152">
        <f>100*(INDEX(TDU_Info!$E$5:$E$110,$T186)/T$11+INDEX(TDU_Info!$F$5:$F$110,$T186))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MATCH(1,(TDU_Info!$C$5:$C$110=$T$6)*(TDU_Info!$B$5:$B$110&lt;=$B187),0)</f>
        <v>102</v>
      </c>
      <c r="U187" s="152">
        <f>100*(INDEX(TDU_Info!$E$5:$E$110,$T187)/T$11+INDEX(TDU_Info!$F$5:$F$110,$T187))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MATCH(1,(TDU_Info!$C$5:$C$110=$T$6)*(TDU_Info!$B$5:$B$110&lt;=$B188),0)</f>
        <v>102</v>
      </c>
      <c r="U188" s="152">
        <f>100*(INDEX(TDU_Info!$E$5:$E$110,$T188)/T$11+INDEX(TDU_Info!$F$5:$F$110,$T188))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MATCH(1,(TDU_Info!$C$5:$C$110=$T$6)*(TDU_Info!$B$5:$B$110&lt;=$B189),0)</f>
        <v>102</v>
      </c>
      <c r="U189" s="152">
        <f>100*(INDEX(TDU_Info!$E$5:$E$110,$T189)/T$11+INDEX(TDU_Info!$F$5:$F$110,$T189))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MATCH(1,(TDU_Info!$C$5:$C$110=$T$6)*(TDU_Info!$B$5:$B$110&lt;=$B190),0)</f>
        <v>102</v>
      </c>
      <c r="U190" s="152">
        <f>100*(INDEX(TDU_Info!$E$5:$E$110,$T190)/T$11+INDEX(TDU_Info!$F$5:$F$110,$T190))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MATCH(1,(TDU_Info!$C$5:$C$110=$T$6)*(TDU_Info!$B$5:$B$110&lt;=$B191),0)</f>
        <v>102</v>
      </c>
      <c r="U191" s="152">
        <f>100*(INDEX(TDU_Info!$E$5:$E$110,$T191)/T$11+INDEX(TDU_Info!$F$5:$F$110,$T191))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MATCH(1,(TDU_Info!$C$5:$C$110=$T$6)*(TDU_Info!$B$5:$B$110&lt;=$B192),0)</f>
        <v>102</v>
      </c>
      <c r="U192" s="152">
        <f>100*(INDEX(TDU_Info!$E$5:$E$110,$T192)/T$11+INDEX(TDU_Info!$F$5:$F$110,$T192))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MATCH(1,(TDU_Info!$C$5:$C$110=$T$6)*(TDU_Info!$B$5:$B$110&lt;=$B193),0)</f>
        <v>102</v>
      </c>
      <c r="U193" s="152">
        <f>100*(INDEX(TDU_Info!$E$5:$E$110,$T193)/T$11+INDEX(TDU_Info!$F$5:$F$110,$T193))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MATCH(1,(TDU_Info!$C$5:$C$110=$T$6)*(TDU_Info!$B$5:$B$110&lt;=$B194),0)</f>
        <v>102</v>
      </c>
      <c r="U194" s="152">
        <f>100*(INDEX(TDU_Info!$E$5:$E$110,$T194)/T$11+INDEX(TDU_Info!$F$5:$F$110,$T194))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MATCH(1,(TDU_Info!$C$5:$C$110=$T$6)*(TDU_Info!$B$5:$B$110&lt;=$B195),0)</f>
        <v>102</v>
      </c>
      <c r="U195" s="152">
        <f>100*(INDEX(TDU_Info!$E$5:$E$110,$T195)/T$11+INDEX(TDU_Info!$F$5:$F$110,$T195))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MATCH(1,(TDU_Info!$C$5:$C$110=$T$6)*(TDU_Info!$B$5:$B$110&lt;=$B196),0)</f>
        <v>102</v>
      </c>
      <c r="U196" s="152">
        <f>100*(INDEX(TDU_Info!$E$5:$E$110,$T196)/T$11+INDEX(TDU_Info!$F$5:$F$110,$T196))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MATCH(1,(TDU_Info!$C$5:$C$110=$T$6)*(TDU_Info!$B$5:$B$110&lt;=$B197),0)</f>
        <v>102</v>
      </c>
      <c r="U197" s="152">
        <f>100*(INDEX(TDU_Info!$E$5:$E$110,$T197)/T$11+INDEX(TDU_Info!$F$5:$F$110,$T197))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MATCH(1,(TDU_Info!$C$5:$C$110=$T$6)*(TDU_Info!$B$5:$B$110&lt;=$B198),0)</f>
        <v>102</v>
      </c>
      <c r="U198" s="152">
        <f>100*(INDEX(TDU_Info!$E$5:$E$110,$T198)/T$11+INDEX(TDU_Info!$F$5:$F$110,$T198))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MATCH(1,(TDU_Info!$C$5:$C$110=$T$6)*(TDU_Info!$B$5:$B$110&lt;=$B199),0)</f>
        <v>102</v>
      </c>
      <c r="U199" s="152">
        <f>100*(INDEX(TDU_Info!$E$5:$E$110,$T199)/T$11+INDEX(TDU_Info!$F$5:$F$110,$T199))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MATCH(1,(TDU_Info!$C$5:$C$110=$T$6)*(TDU_Info!$B$5:$B$110&lt;=$B200),0)</f>
        <v>102</v>
      </c>
      <c r="U200" s="152">
        <f>100*(INDEX(TDU_Info!$E$5:$E$110,$T200)/T$11+INDEX(TDU_Info!$F$5:$F$110,$T200))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MATCH(1,(TDU_Info!$C$5:$C$110=$T$6)*(TDU_Info!$B$5:$B$110&lt;=$B201),0)</f>
        <v>102</v>
      </c>
      <c r="U201" s="152">
        <f>100*(INDEX(TDU_Info!$E$5:$E$110,$T201)/T$11+INDEX(TDU_Info!$F$5:$F$110,$T201))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MATCH(1,(TDU_Info!$C$5:$C$110=$T$6)*(TDU_Info!$B$5:$B$110&lt;=$B202),0)</f>
        <v>102</v>
      </c>
      <c r="U202" s="152">
        <f>100*(INDEX(TDU_Info!$E$5:$E$110,$T202)/T$11+INDEX(TDU_Info!$F$5:$F$110,$T202))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MATCH(1,(TDU_Info!$C$5:$C$110=$T$6)*(TDU_Info!$B$5:$B$110&lt;=$B203),0)</f>
        <v>102</v>
      </c>
      <c r="U203" s="152">
        <f>100*(INDEX(TDU_Info!$E$5:$E$110,$T203)/T$11+INDEX(TDU_Info!$F$5:$F$110,$T203))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MATCH(1,(TDU_Info!$C$5:$C$110=$T$6)*(TDU_Info!$B$5:$B$110&lt;=$B204),0)</f>
        <v>102</v>
      </c>
      <c r="U204" s="152">
        <f>100*(INDEX(TDU_Info!$E$5:$E$110,$T204)/T$11+INDEX(TDU_Info!$F$5:$F$110,$T204))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MATCH(1,(TDU_Info!$C$5:$C$110=$T$6)*(TDU_Info!$B$5:$B$110&lt;=$B205),0)</f>
        <v>102</v>
      </c>
      <c r="U205" s="152">
        <f>100*(INDEX(TDU_Info!$E$5:$E$110,$T205)/T$11+INDEX(TDU_Info!$F$5:$F$110,$T205))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MATCH(1,(TDU_Info!$C$5:$C$110=$T$6)*(TDU_Info!$B$5:$B$110&lt;=$B206),0)</f>
        <v>102</v>
      </c>
      <c r="U206" s="152">
        <f>100*(INDEX(TDU_Info!$E$5:$E$110,$T206)/T$11+INDEX(TDU_Info!$F$5:$F$110,$T206))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MATCH(1,(TDU_Info!$C$5:$C$110=$T$6)*(TDU_Info!$B$5:$B$110&lt;=$B207),0)</f>
        <v>102</v>
      </c>
      <c r="U207" s="152">
        <f>100*(INDEX(TDU_Info!$E$5:$E$110,$T207)/T$11+INDEX(TDU_Info!$F$5:$F$110,$T207))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MATCH(1,(TDU_Info!$C$5:$C$110=$T$6)*(TDU_Info!$B$5:$B$110&lt;=$B208),0)</f>
        <v>102</v>
      </c>
      <c r="U208" s="152">
        <f>100*(INDEX(TDU_Info!$E$5:$E$110,$T208)/T$11+INDEX(TDU_Info!$F$5:$F$110,$T208))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MATCH(1,(TDU_Info!$C$5:$C$110=$T$6)*(TDU_Info!$B$5:$B$110&lt;=$B209),0)</f>
        <v>102</v>
      </c>
      <c r="U209" s="152">
        <f>100*(INDEX(TDU_Info!$E$5:$E$110,$T209)/T$11+INDEX(TDU_Info!$F$5:$F$110,$T209))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MATCH(1,(TDU_Info!$C$5:$C$110=$T$6)*(TDU_Info!$B$5:$B$110&lt;=$B210),0)</f>
        <v>102</v>
      </c>
      <c r="U210" s="152">
        <f>100*(INDEX(TDU_Info!$E$5:$E$110,$T210)/T$11+INDEX(TDU_Info!$F$5:$F$110,$T210))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MATCH(1,(TDU_Info!$C$5:$C$110=$T$6)*(TDU_Info!$B$5:$B$110&lt;=$B211),0)</f>
        <v>102</v>
      </c>
      <c r="U211" s="152">
        <f>100*(INDEX(TDU_Info!$E$5:$E$110,$T211)/T$11+INDEX(TDU_Info!$F$5:$F$110,$T211))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MATCH(1,(TDU_Info!$C$5:$C$110=$T$6)*(TDU_Info!$B$5:$B$110&lt;=$B212),0)</f>
        <v>102</v>
      </c>
      <c r="U212" s="152">
        <f>100*(INDEX(TDU_Info!$E$5:$E$110,$T212)/T$11+INDEX(TDU_Info!$F$5:$F$110,$T212))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MATCH(1,(TDU_Info!$C$5:$C$110=$T$6)*(TDU_Info!$B$5:$B$110&lt;=$B213),0)</f>
        <v>102</v>
      </c>
      <c r="U213" s="152">
        <f>100*(INDEX(TDU_Info!$E$5:$E$110,$T213)/T$11+INDEX(TDU_Info!$F$5:$F$110,$T213))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MATCH(1,(TDU_Info!$C$5:$C$110=$T$6)*(TDU_Info!$B$5:$B$110&lt;=$B214),0)</f>
        <v>102</v>
      </c>
      <c r="U214" s="152">
        <f>100*(INDEX(TDU_Info!$E$5:$E$110,$T214)/T$11+INDEX(TDU_Info!$F$5:$F$110,$T214))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MATCH(1,(TDU_Info!$C$5:$C$110=$T$6)*(TDU_Info!$B$5:$B$110&lt;=$B215),0)</f>
        <v>102</v>
      </c>
      <c r="U215" s="152">
        <f>100*(INDEX(TDU_Info!$E$5:$E$110,$T215)/T$11+INDEX(TDU_Info!$F$5:$F$110,$T215))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MATCH(1,(TDU_Info!$C$5:$C$110=$T$6)*(TDU_Info!$B$5:$B$110&lt;=$B216),0)</f>
        <v>102</v>
      </c>
      <c r="U216" s="152">
        <f>100*(INDEX(TDU_Info!$E$5:$E$110,$T216)/T$11+INDEX(TDU_Info!$F$5:$F$110,$T216))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MATCH(1,(TDU_Info!$C$5:$C$110=$T$6)*(TDU_Info!$B$5:$B$110&lt;=$B217),0)</f>
        <v>102</v>
      </c>
      <c r="U217" s="152">
        <f>100*(INDEX(TDU_Info!$E$5:$E$110,$T217)/T$11+INDEX(TDU_Info!$F$5:$F$110,$T217))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MATCH(1,(TDU_Info!$C$5:$C$110=$T$6)*(TDU_Info!$B$5:$B$110&lt;=$B218),0)</f>
        <v>102</v>
      </c>
      <c r="U218" s="152">
        <f>100*(INDEX(TDU_Info!$E$5:$E$110,$T218)/T$11+INDEX(TDU_Info!$F$5:$F$110,$T218))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MATCH(1,(TDU_Info!$C$5:$C$110=$T$6)*(TDU_Info!$B$5:$B$110&lt;=$B219),0)</f>
        <v>102</v>
      </c>
      <c r="U219" s="152">
        <f>100*(INDEX(TDU_Info!$E$5:$E$110,$T219)/T$11+INDEX(TDU_Info!$F$5:$F$110,$T219))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MATCH(1,(TDU_Info!$C$5:$C$110=$T$6)*(TDU_Info!$B$5:$B$110&lt;=$B220),0)</f>
        <v>102</v>
      </c>
      <c r="U220" s="152">
        <f>100*(INDEX(TDU_Info!$E$5:$E$110,$T220)/T$11+INDEX(TDU_Info!$F$5:$F$110,$T220))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MATCH(1,(TDU_Info!$C$5:$C$110=$T$6)*(TDU_Info!$B$5:$B$110&lt;=$B221),0)</f>
        <v>102</v>
      </c>
      <c r="U221" s="152">
        <f>100*(INDEX(TDU_Info!$E$5:$E$110,$T221)/T$11+INDEX(TDU_Info!$F$5:$F$110,$T221))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MATCH(1,(TDU_Info!$C$5:$C$110=$T$6)*(TDU_Info!$B$5:$B$110&lt;=$B222),0)</f>
        <v>102</v>
      </c>
      <c r="U222" s="152">
        <f>100*(INDEX(TDU_Info!$E$5:$E$110,$T222)/T$11+INDEX(TDU_Info!$F$5:$F$110,$T222))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MATCH(1,(TDU_Info!$C$5:$C$110=$T$6)*(TDU_Info!$B$5:$B$110&lt;=$B223),0)</f>
        <v>102</v>
      </c>
      <c r="U223" s="152">
        <f>100*(INDEX(TDU_Info!$E$5:$E$110,$T223)/T$11+INDEX(TDU_Info!$F$5:$F$110,$T223))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MATCH(1,(TDU_Info!$C$5:$C$110=$T$6)*(TDU_Info!$B$5:$B$110&lt;=$B224),0)</f>
        <v>102</v>
      </c>
      <c r="U224" s="152">
        <f>100*(INDEX(TDU_Info!$E$5:$E$110,$T224)/T$11+INDEX(TDU_Info!$F$5:$F$110,$T224))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MATCH(1,(TDU_Info!$C$5:$C$110=$T$6)*(TDU_Info!$B$5:$B$110&lt;=$B225),0)</f>
        <v>102</v>
      </c>
      <c r="U225" s="152">
        <f>100*(INDEX(TDU_Info!$E$5:$E$110,$T225)/T$11+INDEX(TDU_Info!$F$5:$F$110,$T225))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MATCH(1,(TDU_Info!$C$5:$C$110=$T$6)*(TDU_Info!$B$5:$B$110&lt;=$B226),0)</f>
        <v>102</v>
      </c>
      <c r="U226" s="152">
        <f>100*(INDEX(TDU_Info!$E$5:$E$110,$T226)/T$11+INDEX(TDU_Info!$F$5:$F$110,$T226))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MATCH(1,(TDU_Info!$C$5:$C$110=$T$6)*(TDU_Info!$B$5:$B$110&lt;=$B227),0)</f>
        <v>102</v>
      </c>
      <c r="U227" s="152">
        <f>100*(INDEX(TDU_Info!$E$5:$E$110,$T227)/T$11+INDEX(TDU_Info!$F$5:$F$110,$T227))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MATCH(1,(TDU_Info!$C$5:$C$110=$T$6)*(TDU_Info!$B$5:$B$110&lt;=$B228),0)</f>
        <v>102</v>
      </c>
      <c r="U228" s="152">
        <f>100*(INDEX(TDU_Info!$E$5:$E$110,$T228)/T$11+INDEX(TDU_Info!$F$5:$F$110,$T228))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MATCH(1,(TDU_Info!$C$5:$C$110=$T$6)*(TDU_Info!$B$5:$B$110&lt;=$B229),0)</f>
        <v>102</v>
      </c>
      <c r="U229" s="152">
        <f>100*(INDEX(TDU_Info!$E$5:$E$110,$T229)/T$11+INDEX(TDU_Info!$F$5:$F$110,$T229))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MATCH(1,(TDU_Info!$C$5:$C$110=$T$6)*(TDU_Info!$B$5:$B$110&lt;=$B230),0)</f>
        <v>102</v>
      </c>
      <c r="U230" s="152">
        <f>100*(INDEX(TDU_Info!$E$5:$E$110,$T230)/T$11+INDEX(TDU_Info!$F$5:$F$110,$T230))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MATCH(1,(TDU_Info!$C$5:$C$110=$T$6)*(TDU_Info!$B$5:$B$110&lt;=$B231),0)</f>
        <v>102</v>
      </c>
      <c r="U231" s="152">
        <f>100*(INDEX(TDU_Info!$E$5:$E$110,$T231)/T$11+INDEX(TDU_Info!$F$5:$F$110,$T231))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MATCH(1,(TDU_Info!$C$5:$C$110=$T$6)*(TDU_Info!$B$5:$B$110&lt;=$B232),0)</f>
        <v>102</v>
      </c>
      <c r="U232" s="152">
        <f>100*(INDEX(TDU_Info!$E$5:$E$110,$T232)/T$11+INDEX(TDU_Info!$F$5:$F$110,$T232))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MATCH(1,(TDU_Info!$C$5:$C$110=$T$6)*(TDU_Info!$B$5:$B$110&lt;=$B233),0)</f>
        <v>102</v>
      </c>
      <c r="U233" s="152">
        <f>100*(INDEX(TDU_Info!$E$5:$E$110,$T233)/T$11+INDEX(TDU_Info!$F$5:$F$110,$T233))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MATCH(1,(TDU_Info!$C$5:$C$110=$T$6)*(TDU_Info!$B$5:$B$110&lt;=$B234),0)</f>
        <v>102</v>
      </c>
      <c r="U234" s="152">
        <f>100*(INDEX(TDU_Info!$E$5:$E$110,$T234)/T$11+INDEX(TDU_Info!$F$5:$F$110,$T234))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MATCH(1,(TDU_Info!$C$5:$C$110=$T$6)*(TDU_Info!$B$5:$B$110&lt;=$B235),0)</f>
        <v>102</v>
      </c>
      <c r="U235" s="152">
        <f>100*(INDEX(TDU_Info!$E$5:$E$110,$T235)/T$11+INDEX(TDU_Info!$F$5:$F$110,$T235))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MATCH(1,(TDU_Info!$C$5:$C$110=$T$6)*(TDU_Info!$B$5:$B$110&lt;=$B236),0)</f>
        <v>102</v>
      </c>
      <c r="U236" s="152">
        <f>100*(INDEX(TDU_Info!$E$5:$E$110,$T236)/T$11+INDEX(TDU_Info!$F$5:$F$110,$T236))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MATCH(1,(TDU_Info!$C$5:$C$110=$T$6)*(TDU_Info!$B$5:$B$110&lt;=$B237),0)</f>
        <v>102</v>
      </c>
      <c r="U237" s="152">
        <f>100*(INDEX(TDU_Info!$E$5:$E$110,$T237)/T$11+INDEX(TDU_Info!$F$5:$F$110,$T237))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MATCH(1,(TDU_Info!$C$5:$C$110=$T$6)*(TDU_Info!$B$5:$B$110&lt;=$B238),0)</f>
        <v>102</v>
      </c>
      <c r="U238" s="152">
        <f>100*(INDEX(TDU_Info!$E$5:$E$110,$T238)/T$11+INDEX(TDU_Info!$F$5:$F$110,$T238))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MATCH(1,(TDU_Info!$C$5:$C$110=$T$6)*(TDU_Info!$B$5:$B$110&lt;=$B239),0)</f>
        <v>102</v>
      </c>
      <c r="U239" s="152">
        <f>100*(INDEX(TDU_Info!$E$5:$E$110,$T239)/T$11+INDEX(TDU_Info!$F$5:$F$110,$T239))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MATCH(1,(TDU_Info!$C$5:$C$110=$T$6)*(TDU_Info!$B$5:$B$110&lt;=$B240),0)</f>
        <v>102</v>
      </c>
      <c r="U240" s="152">
        <f>100*(INDEX(TDU_Info!$E$5:$E$110,$T240)/T$11+INDEX(TDU_Info!$F$5:$F$110,$T240))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MATCH(1,(TDU_Info!$C$5:$C$110=$T$6)*(TDU_Info!$B$5:$B$110&lt;=$B241),0)</f>
        <v>102</v>
      </c>
      <c r="U241" s="152">
        <f>100*(INDEX(TDU_Info!$E$5:$E$110,$T241)/T$11+INDEX(TDU_Info!$F$5:$F$110,$T241))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MATCH(1,(TDU_Info!$C$5:$C$110=$T$6)*(TDU_Info!$B$5:$B$110&lt;=$B242),0)</f>
        <v>102</v>
      </c>
      <c r="U242" s="152">
        <f>100*(INDEX(TDU_Info!$E$5:$E$110,$T242)/T$11+INDEX(TDU_Info!$F$5:$F$110,$T242))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MATCH(1,(TDU_Info!$C$5:$C$110=$T$6)*(TDU_Info!$B$5:$B$110&lt;=$B243),0)</f>
        <v>102</v>
      </c>
      <c r="U243" s="152">
        <f>100*(INDEX(TDU_Info!$E$5:$E$110,$T243)/T$11+INDEX(TDU_Info!$F$5:$F$110,$T243))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MATCH(1,(TDU_Info!$C$5:$C$110=$T$6)*(TDU_Info!$B$5:$B$110&lt;=$B244),0)</f>
        <v>102</v>
      </c>
      <c r="U244" s="152">
        <f>100*(INDEX(TDU_Info!$E$5:$E$110,$T244)/T$11+INDEX(TDU_Info!$F$5:$F$110,$T244))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MATCH(1,(TDU_Info!$C$5:$C$110=$T$6)*(TDU_Info!$B$5:$B$110&lt;=$B245),0)</f>
        <v>102</v>
      </c>
      <c r="U245" s="152">
        <f>100*(INDEX(TDU_Info!$E$5:$E$110,$T245)/T$11+INDEX(TDU_Info!$F$5:$F$110,$T245))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MATCH(1,(TDU_Info!$C$5:$C$110=$T$6)*(TDU_Info!$B$5:$B$110&lt;=$B246),0)</f>
        <v>102</v>
      </c>
      <c r="U246" s="152">
        <f>100*(INDEX(TDU_Info!$E$5:$E$110,$T246)/T$11+INDEX(TDU_Info!$F$5:$F$110,$T246))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MATCH(1,(TDU_Info!$C$5:$C$110=$T$6)*(TDU_Info!$B$5:$B$110&lt;=$B247),0)</f>
        <v>102</v>
      </c>
      <c r="U247" s="152">
        <f>100*(INDEX(TDU_Info!$E$5:$E$110,$T247)/T$11+INDEX(TDU_Info!$F$5:$F$110,$T247))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MATCH(1,(TDU_Info!$C$5:$C$110=$T$6)*(TDU_Info!$B$5:$B$110&lt;=$B248),0)</f>
        <v>102</v>
      </c>
      <c r="U248" s="152">
        <f>100*(INDEX(TDU_Info!$E$5:$E$110,$T248)/T$11+INDEX(TDU_Info!$F$5:$F$110,$T248))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MATCH(1,(TDU_Info!$C$5:$C$110=$T$6)*(TDU_Info!$B$5:$B$110&lt;=$B249),0)</f>
        <v>102</v>
      </c>
      <c r="U249" s="152">
        <f>100*(INDEX(TDU_Info!$E$5:$E$110,$T249)/T$11+INDEX(TDU_Info!$F$5:$F$110,$T249))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MATCH(1,(TDU_Info!$C$5:$C$110=$T$6)*(TDU_Info!$B$5:$B$110&lt;=$B250),0)</f>
        <v>102</v>
      </c>
      <c r="U250" s="152">
        <f>100*(INDEX(TDU_Info!$E$5:$E$110,$T250)/T$11+INDEX(TDU_Info!$F$5:$F$110,$T250))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MATCH(1,(TDU_Info!$C$5:$C$110=$T$6)*(TDU_Info!$B$5:$B$110&lt;=$B251),0)</f>
        <v>102</v>
      </c>
      <c r="U251" s="152">
        <f>100*(INDEX(TDU_Info!$E$5:$E$110,$T251)/T$11+INDEX(TDU_Info!$F$5:$F$110,$T251))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MATCH(1,(TDU_Info!$C$5:$C$110=$T$6)*(TDU_Info!$B$5:$B$110&lt;=$B252),0)</f>
        <v>102</v>
      </c>
      <c r="U252" s="152">
        <f>100*(INDEX(TDU_Info!$E$5:$E$110,$T252)/T$11+INDEX(TDU_Info!$F$5:$F$110,$T252))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MATCH(1,(TDU_Info!$C$5:$C$110=$T$6)*(TDU_Info!$B$5:$B$110&lt;=$B253),0)</f>
        <v>102</v>
      </c>
      <c r="U253" s="152">
        <f>100*(INDEX(TDU_Info!$E$5:$E$110,$T253)/T$11+INDEX(TDU_Info!$F$5:$F$110,$T253))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MATCH(1,(TDU_Info!$C$5:$C$110=$T$6)*(TDU_Info!$B$5:$B$110&lt;=$B254),0)</f>
        <v>102</v>
      </c>
      <c r="U254" s="152">
        <f>100*(INDEX(TDU_Info!$E$5:$E$110,$T254)/T$11+INDEX(TDU_Info!$F$5:$F$110,$T254))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MATCH(1,(TDU_Info!$C$5:$C$110=$T$6)*(TDU_Info!$B$5:$B$110&lt;=$B255),0)</f>
        <v>102</v>
      </c>
      <c r="U255" s="152">
        <f>100*(INDEX(TDU_Info!$E$5:$E$110,$T255)/T$11+INDEX(TDU_Info!$F$5:$F$110,$T255))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MATCH(1,(TDU_Info!$C$5:$C$110=$T$6)*(TDU_Info!$B$5:$B$110&lt;=$B256),0)</f>
        <v>102</v>
      </c>
      <c r="U256" s="152">
        <f>100*(INDEX(TDU_Info!$E$5:$E$110,$T256)/T$11+INDEX(TDU_Info!$F$5:$F$110,$T256))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MATCH(1,(TDU_Info!$C$5:$C$110=$T$6)*(TDU_Info!$B$5:$B$110&lt;=$B257),0)</f>
        <v>102</v>
      </c>
      <c r="U257" s="152">
        <f>100*(INDEX(TDU_Info!$E$5:$E$110,$T257)/T$11+INDEX(TDU_Info!$F$5:$F$110,$T257))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MATCH(1,(TDU_Info!$C$5:$C$110=$T$6)*(TDU_Info!$B$5:$B$110&lt;=$B258),0)</f>
        <v>102</v>
      </c>
      <c r="U258" s="152">
        <f>100*(INDEX(TDU_Info!$E$5:$E$110,$T258)/T$11+INDEX(TDU_Info!$F$5:$F$110,$T258))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MATCH(1,(TDU_Info!$C$5:$C$110=$T$6)*(TDU_Info!$B$5:$B$110&lt;=$B259),0)</f>
        <v>102</v>
      </c>
      <c r="U259" s="152">
        <f>100*(INDEX(TDU_Info!$E$5:$E$110,$T259)/T$11+INDEX(TDU_Info!$F$5:$F$110,$T259))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MATCH(1,(TDU_Info!$C$5:$C$110=$T$6)*(TDU_Info!$B$5:$B$110&lt;=$B260),0)</f>
        <v>101</v>
      </c>
      <c r="U260" s="152">
        <f>100*(INDEX(TDU_Info!$E$5:$E$110,$T260)/T$11+INDEX(TDU_Info!$F$5:$F$110,$T260))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MATCH(1,(TDU_Info!$C$5:$C$110=$T$6)*(TDU_Info!$B$5:$B$110&lt;=$B261),0)</f>
        <v>101</v>
      </c>
      <c r="U261" s="152">
        <f>100*(INDEX(TDU_Info!$E$5:$E$110,$T261)/T$11+INDEX(TDU_Info!$F$5:$F$110,$T261))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MATCH(1,(TDU_Info!$C$5:$C$110=$T$6)*(TDU_Info!$B$5:$B$110&lt;=$B262),0)</f>
        <v>101</v>
      </c>
      <c r="U262" s="152">
        <f>100*(INDEX(TDU_Info!$E$5:$E$110,$T262)/T$11+INDEX(TDU_Info!$F$5:$F$110,$T262))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MATCH(1,(TDU_Info!$C$5:$C$110=$T$6)*(TDU_Info!$B$5:$B$110&lt;=$B263),0)</f>
        <v>101</v>
      </c>
      <c r="U263" s="152">
        <f>100*(INDEX(TDU_Info!$E$5:$E$110,$T263)/T$11+INDEX(TDU_Info!$F$5:$F$110,$T263))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MATCH(1,(TDU_Info!$C$5:$C$110=$T$6)*(TDU_Info!$B$5:$B$110&lt;=$B264),0)</f>
        <v>101</v>
      </c>
      <c r="U264" s="152">
        <f>100*(INDEX(TDU_Info!$E$5:$E$110,$T264)/T$11+INDEX(TDU_Info!$F$5:$F$110,$T264))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MATCH(1,(TDU_Info!$C$5:$C$110=$T$6)*(TDU_Info!$B$5:$B$110&lt;=$B265),0)</f>
        <v>101</v>
      </c>
      <c r="U265" s="152">
        <f>100*(INDEX(TDU_Info!$E$5:$E$110,$T265)/T$11+INDEX(TDU_Info!$F$5:$F$110,$T265))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MATCH(1,(TDU_Info!$C$5:$C$110=$T$6)*(TDU_Info!$B$5:$B$110&lt;=$B266),0)</f>
        <v>101</v>
      </c>
      <c r="U266" s="152">
        <f>100*(INDEX(TDU_Info!$E$5:$E$110,$T266)/T$11+INDEX(TDU_Info!$F$5:$F$110,$T266))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MATCH(1,(TDU_Info!$C$5:$C$110=$T$6)*(TDU_Info!$B$5:$B$110&lt;=$B267),0)</f>
        <v>101</v>
      </c>
      <c r="U267" s="152">
        <f>100*(INDEX(TDU_Info!$E$5:$E$110,$T267)/T$11+INDEX(TDU_Info!$F$5:$F$110,$T267))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MATCH(1,(TDU_Info!$C$5:$C$110=$T$6)*(TDU_Info!$B$5:$B$110&lt;=$B268),0)</f>
        <v>101</v>
      </c>
      <c r="U268" s="152">
        <f>100*(INDEX(TDU_Info!$E$5:$E$110,$T268)/T$11+INDEX(TDU_Info!$F$5:$F$110,$T268))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MATCH(1,(TDU_Info!$C$5:$C$110=$T$6)*(TDU_Info!$B$5:$B$110&lt;=$B269),0)</f>
        <v>101</v>
      </c>
      <c r="U269" s="152">
        <f>100*(INDEX(TDU_Info!$E$5:$E$110,$T269)/T$11+INDEX(TDU_Info!$F$5:$F$110,$T269))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MATCH(1,(TDU_Info!$C$5:$C$110=$T$6)*(TDU_Info!$B$5:$B$110&lt;=$B270),0)</f>
        <v>101</v>
      </c>
      <c r="U270" s="152">
        <f>100*(INDEX(TDU_Info!$E$5:$E$110,$T270)/T$11+INDEX(TDU_Info!$F$5:$F$110,$T270))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MATCH(1,(TDU_Info!$C$5:$C$110=$T$6)*(TDU_Info!$B$5:$B$110&lt;=$B271),0)</f>
        <v>101</v>
      </c>
      <c r="U271" s="152">
        <f>100*(INDEX(TDU_Info!$E$5:$E$110,$T271)/T$11+INDEX(TDU_Info!$F$5:$F$110,$T271))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MATCH(1,(TDU_Info!$C$5:$C$110=$T$6)*(TDU_Info!$B$5:$B$110&lt;=$B272),0)</f>
        <v>101</v>
      </c>
      <c r="U272" s="152">
        <f>100*(INDEX(TDU_Info!$E$5:$E$110,$T272)/T$11+INDEX(TDU_Info!$F$5:$F$110,$T272))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MATCH(1,(TDU_Info!$C$5:$C$110=$T$6)*(TDU_Info!$B$5:$B$110&lt;=$B273),0)</f>
        <v>101</v>
      </c>
      <c r="U273" s="152">
        <f>100*(INDEX(TDU_Info!$E$5:$E$110,$T273)/T$11+INDEX(TDU_Info!$F$5:$F$110,$T273))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MATCH(1,(TDU_Info!$C$5:$C$110=$T$6)*(TDU_Info!$B$5:$B$110&lt;=$B274),0)</f>
        <v>101</v>
      </c>
      <c r="U274" s="152">
        <f>100*(INDEX(TDU_Info!$E$5:$E$110,$T274)/T$11+INDEX(TDU_Info!$F$5:$F$110,$T274))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MATCH(1,(TDU_Info!$C$5:$C$110=$T$6)*(TDU_Info!$B$5:$B$110&lt;=$B275),0)</f>
        <v>101</v>
      </c>
      <c r="U275" s="152">
        <f>100*(INDEX(TDU_Info!$E$5:$E$110,$T275)/T$11+INDEX(TDU_Info!$F$5:$F$110,$T275))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MATCH(1,(TDU_Info!$C$5:$C$110=$T$6)*(TDU_Info!$B$5:$B$110&lt;=$B276),0)</f>
        <v>101</v>
      </c>
      <c r="U276" s="152">
        <f>100*(INDEX(TDU_Info!$E$5:$E$110,$T276)/T$11+INDEX(TDU_Info!$F$5:$F$110,$T276))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MATCH(1,(TDU_Info!$C$5:$C$110=$T$6)*(TDU_Info!$B$5:$B$110&lt;=$B277),0)</f>
        <v>101</v>
      </c>
      <c r="U277" s="152">
        <f>100*(INDEX(TDU_Info!$E$5:$E$110,$T277)/T$11+INDEX(TDU_Info!$F$5:$F$110,$T277))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MATCH(1,(TDU_Info!$C$5:$C$110=$T$6)*(TDU_Info!$B$5:$B$110&lt;=$B278),0)</f>
        <v>101</v>
      </c>
      <c r="U278" s="152">
        <f>100*(INDEX(TDU_Info!$E$5:$E$110,$T278)/T$11+INDEX(TDU_Info!$F$5:$F$110,$T278))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MATCH(1,(TDU_Info!$C$5:$C$110=$T$6)*(TDU_Info!$B$5:$B$110&lt;=$B279),0)</f>
        <v>101</v>
      </c>
      <c r="U279" s="152">
        <f>100*(INDEX(TDU_Info!$E$5:$E$110,$T279)/T$11+INDEX(TDU_Info!$F$5:$F$110,$T279))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MATCH(1,(TDU_Info!$C$5:$C$110=$T$6)*(TDU_Info!$B$5:$B$110&lt;=$B280),0)</f>
        <v>101</v>
      </c>
      <c r="U280" s="152">
        <f>100*(INDEX(TDU_Info!$E$5:$E$110,$T280)/T$11+INDEX(TDU_Info!$F$5:$F$110,$T280))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MATCH(1,(TDU_Info!$C$5:$C$110=$T$6)*(TDU_Info!$B$5:$B$110&lt;=$B281),0)</f>
        <v>101</v>
      </c>
      <c r="U281" s="152">
        <f>100*(INDEX(TDU_Info!$E$5:$E$110,$T281)/T$11+INDEX(TDU_Info!$F$5:$F$110,$T281))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MATCH(1,(TDU_Info!$C$5:$C$110=$T$6)*(TDU_Info!$B$5:$B$110&lt;=$B282),0)</f>
        <v>101</v>
      </c>
      <c r="U282" s="152">
        <f>100*(INDEX(TDU_Info!$E$5:$E$110,$T282)/T$11+INDEX(TDU_Info!$F$5:$F$110,$T282))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MATCH(1,(TDU_Info!$C$5:$C$110=$T$6)*(TDU_Info!$B$5:$B$110&lt;=$B283),0)</f>
        <v>101</v>
      </c>
      <c r="U283" s="152">
        <f>100*(INDEX(TDU_Info!$E$5:$E$110,$T283)/T$11+INDEX(TDU_Info!$F$5:$F$110,$T283))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MATCH(1,(TDU_Info!$C$5:$C$110=$T$6)*(TDU_Info!$B$5:$B$110&lt;=$B284),0)</f>
        <v>101</v>
      </c>
      <c r="U284" s="152">
        <f>100*(INDEX(TDU_Info!$E$5:$E$110,$T284)/T$11+INDEX(TDU_Info!$F$5:$F$110,$T284))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MATCH(1,(TDU_Info!$C$5:$C$110=$T$6)*(TDU_Info!$B$5:$B$110&lt;=$B285),0)</f>
        <v>101</v>
      </c>
      <c r="U285" s="152">
        <f>100*(INDEX(TDU_Info!$E$5:$E$110,$T285)/T$11+INDEX(TDU_Info!$F$5:$F$110,$T285))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MATCH(1,(TDU_Info!$C$5:$C$110=$T$6)*(TDU_Info!$B$5:$B$110&lt;=$B286),0)</f>
        <v>101</v>
      </c>
      <c r="U286" s="152">
        <f>100*(INDEX(TDU_Info!$E$5:$E$110,$T286)/T$11+INDEX(TDU_Info!$F$5:$F$110,$T286))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MATCH(1,(TDU_Info!$C$5:$C$110=$T$6)*(TDU_Info!$B$5:$B$110&lt;=$B287),0)</f>
        <v>101</v>
      </c>
      <c r="U287" s="152">
        <f>100*(INDEX(TDU_Info!$E$5:$E$110,$T287)/T$11+INDEX(TDU_Info!$F$5:$F$110,$T287))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MATCH(1,(TDU_Info!$C$5:$C$110=$T$6)*(TDU_Info!$B$5:$B$110&lt;=$B288),0)</f>
        <v>101</v>
      </c>
      <c r="U288" s="152">
        <f>100*(INDEX(TDU_Info!$E$5:$E$110,$T288)/T$11+INDEX(TDU_Info!$F$5:$F$110,$T288))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MATCH(1,(TDU_Info!$C$5:$C$110=$T$6)*(TDU_Info!$B$5:$B$110&lt;=$B289),0)</f>
        <v>101</v>
      </c>
      <c r="U289" s="152">
        <f>100*(INDEX(TDU_Info!$E$5:$E$110,$T289)/T$11+INDEX(TDU_Info!$F$5:$F$110,$T289))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MATCH(1,(TDU_Info!$C$5:$C$110=$T$6)*(TDU_Info!$B$5:$B$110&lt;=$B290),0)</f>
        <v>101</v>
      </c>
      <c r="U290" s="152">
        <f>100*(INDEX(TDU_Info!$E$5:$E$110,$T290)/T$11+INDEX(TDU_Info!$F$5:$F$110,$T290))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MATCH(1,(TDU_Info!$C$5:$C$110=$T$6)*(TDU_Info!$B$5:$B$110&lt;=$B291),0)</f>
        <v>101</v>
      </c>
      <c r="U291" s="152">
        <f>100*(INDEX(TDU_Info!$E$5:$E$110,$T291)/T$11+INDEX(TDU_Info!$F$5:$F$110,$T291))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MATCH(1,(TDU_Info!$C$5:$C$110=$T$6)*(TDU_Info!$B$5:$B$110&lt;=$B292),0)</f>
        <v>101</v>
      </c>
      <c r="U292" s="152">
        <f>100*(INDEX(TDU_Info!$E$5:$E$110,$T292)/T$11+INDEX(TDU_Info!$F$5:$F$110,$T292))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MATCH(1,(TDU_Info!$C$5:$C$110=$T$6)*(TDU_Info!$B$5:$B$110&lt;=$B293),0)</f>
        <v>101</v>
      </c>
      <c r="U293" s="152">
        <f>100*(INDEX(TDU_Info!$E$5:$E$110,$T293)/T$11+INDEX(TDU_Info!$F$5:$F$110,$T293))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MATCH(1,(TDU_Info!$C$5:$C$110=$T$6)*(TDU_Info!$B$5:$B$110&lt;=$B294),0)</f>
        <v>101</v>
      </c>
      <c r="U294" s="152">
        <f>100*(INDEX(TDU_Info!$E$5:$E$110,$T294)/T$11+INDEX(TDU_Info!$F$5:$F$110,$T294))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MATCH(1,(TDU_Info!$C$5:$C$110=$T$6)*(TDU_Info!$B$5:$B$110&lt;=$B295),0)</f>
        <v>101</v>
      </c>
      <c r="U295" s="152">
        <f>100*(INDEX(TDU_Info!$E$5:$E$110,$T295)/T$11+INDEX(TDU_Info!$F$5:$F$110,$T295))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MATCH(1,(TDU_Info!$C$5:$C$110=$T$6)*(TDU_Info!$B$5:$B$110&lt;=$B296),0)</f>
        <v>101</v>
      </c>
      <c r="U296" s="152">
        <f>100*(INDEX(TDU_Info!$E$5:$E$110,$T296)/T$11+INDEX(TDU_Info!$F$5:$F$110,$T296))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MATCH(1,(TDU_Info!$C$5:$C$110=$T$6)*(TDU_Info!$B$5:$B$110&lt;=$B297),0)</f>
        <v>101</v>
      </c>
      <c r="U297" s="152">
        <f>100*(INDEX(TDU_Info!$E$5:$E$110,$T297)/T$11+INDEX(TDU_Info!$F$5:$F$110,$T297))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MATCH(1,(TDU_Info!$C$5:$C$110=$T$6)*(TDU_Info!$B$5:$B$110&lt;=$B298),0)</f>
        <v>101</v>
      </c>
      <c r="U298" s="152">
        <f>100*(INDEX(TDU_Info!$E$5:$E$110,$T298)/T$11+INDEX(TDU_Info!$F$5:$F$110,$T298))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MATCH(1,(TDU_Info!$C$5:$C$110=$T$6)*(TDU_Info!$B$5:$B$110&lt;=$B299),0)</f>
        <v>101</v>
      </c>
      <c r="U299" s="152">
        <f>100*(INDEX(TDU_Info!$E$5:$E$110,$T299)/T$11+INDEX(TDU_Info!$F$5:$F$110,$T299))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MATCH(1,(TDU_Info!$C$5:$C$110=$T$6)*(TDU_Info!$B$5:$B$110&lt;=$B300),0)</f>
        <v>101</v>
      </c>
      <c r="U300" s="152">
        <f>100*(INDEX(TDU_Info!$E$5:$E$110,$T300)/T$11+INDEX(TDU_Info!$F$5:$F$110,$T300))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MATCH(1,(TDU_Info!$C$5:$C$110=$T$6)*(TDU_Info!$B$5:$B$110&lt;=$B301),0)</f>
        <v>101</v>
      </c>
      <c r="U301" s="152">
        <f>100*(INDEX(TDU_Info!$E$5:$E$110,$T301)/T$11+INDEX(TDU_Info!$F$5:$F$110,$T301))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MATCH(1,(TDU_Info!$C$5:$C$110=$T$6)*(TDU_Info!$B$5:$B$110&lt;=$B302),0)</f>
        <v>101</v>
      </c>
      <c r="U302" s="152">
        <f>100*(INDEX(TDU_Info!$E$5:$E$110,$T302)/T$11+INDEX(TDU_Info!$F$5:$F$110,$T302))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MATCH(1,(TDU_Info!$C$5:$C$110=$T$6)*(TDU_Info!$B$5:$B$110&lt;=$B303),0)</f>
        <v>101</v>
      </c>
      <c r="U303" s="152">
        <f>100*(INDEX(TDU_Info!$E$5:$E$110,$T303)/T$11+INDEX(TDU_Info!$F$5:$F$110,$T303))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MATCH(1,(TDU_Info!$C$5:$C$110=$T$6)*(TDU_Info!$B$5:$B$110&lt;=$B304),0)</f>
        <v>101</v>
      </c>
      <c r="U304" s="152">
        <f>100*(INDEX(TDU_Info!$E$5:$E$110,$T304)/T$11+INDEX(TDU_Info!$F$5:$F$110,$T304))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MATCH(1,(TDU_Info!$C$5:$C$110=$T$6)*(TDU_Info!$B$5:$B$110&lt;=$B305),0)</f>
        <v>101</v>
      </c>
      <c r="U305" s="152">
        <f>100*(INDEX(TDU_Info!$E$5:$E$110,$T305)/T$11+INDEX(TDU_Info!$F$5:$F$110,$T305))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MATCH(1,(TDU_Info!$C$5:$C$110=$T$6)*(TDU_Info!$B$5:$B$110&lt;=$B306),0)</f>
        <v>101</v>
      </c>
      <c r="U306" s="152">
        <f>100*(INDEX(TDU_Info!$E$5:$E$110,$T306)/T$11+INDEX(TDU_Info!$F$5:$F$110,$T306))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MATCH(1,(TDU_Info!$C$5:$C$110=$T$6)*(TDU_Info!$B$5:$B$110&lt;=$B307),0)</f>
        <v>101</v>
      </c>
      <c r="U307" s="152">
        <f>100*(INDEX(TDU_Info!$E$5:$E$110,$T307)/T$11+INDEX(TDU_Info!$F$5:$F$110,$T307))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MATCH(1,(TDU_Info!$C$5:$C$110=$T$6)*(TDU_Info!$B$5:$B$110&lt;=$B308),0)</f>
        <v>101</v>
      </c>
      <c r="U308" s="152">
        <f>100*(INDEX(TDU_Info!$E$5:$E$110,$T308)/T$11+INDEX(TDU_Info!$F$5:$F$110,$T308))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MATCH(1,(TDU_Info!$C$5:$C$110=$T$6)*(TDU_Info!$B$5:$B$110&lt;=$B309),0)</f>
        <v>101</v>
      </c>
      <c r="U309" s="152">
        <f>100*(INDEX(TDU_Info!$E$5:$E$110,$T309)/T$11+INDEX(TDU_Info!$F$5:$F$110,$T309))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MATCH(1,(TDU_Info!$C$5:$C$110=$T$6)*(TDU_Info!$B$5:$B$110&lt;=$B310),0)</f>
        <v>101</v>
      </c>
      <c r="U310" s="152">
        <f>100*(INDEX(TDU_Info!$E$5:$E$110,$T310)/T$11+INDEX(TDU_Info!$F$5:$F$110,$T310))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MATCH(1,(TDU_Info!$C$5:$C$110=$T$6)*(TDU_Info!$B$5:$B$110&lt;=$B311),0)</f>
        <v>101</v>
      </c>
      <c r="U311" s="152">
        <f>100*(INDEX(TDU_Info!$E$5:$E$110,$T311)/T$11+INDEX(TDU_Info!$F$5:$F$110,$T311))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MATCH(1,(TDU_Info!$C$5:$C$110=$T$6)*(TDU_Info!$B$5:$B$110&lt;=$B312),0)</f>
        <v>101</v>
      </c>
      <c r="U312" s="152">
        <f>100*(INDEX(TDU_Info!$E$5:$E$110,$T312)/T$11+INDEX(TDU_Info!$F$5:$F$110,$T312))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MATCH(1,(TDU_Info!$C$5:$C$110=$T$6)*(TDU_Info!$B$5:$B$110&lt;=$B313),0)</f>
        <v>101</v>
      </c>
      <c r="U313" s="152">
        <f>100*(INDEX(TDU_Info!$E$5:$E$110,$T313)/T$11+INDEX(TDU_Info!$F$5:$F$110,$T313))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MATCH(1,(TDU_Info!$C$5:$C$110=$T$6)*(TDU_Info!$B$5:$B$110&lt;=$B314),0)</f>
        <v>101</v>
      </c>
      <c r="U314" s="152">
        <f>100*(INDEX(TDU_Info!$E$5:$E$110,$T314)/T$11+INDEX(TDU_Info!$F$5:$F$110,$T314))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MATCH(1,(TDU_Info!$C$5:$C$110=$T$6)*(TDU_Info!$B$5:$B$110&lt;=$B315),0)</f>
        <v>101</v>
      </c>
      <c r="U315" s="152">
        <f>100*(INDEX(TDU_Info!$E$5:$E$110,$T315)/T$11+INDEX(TDU_Info!$F$5:$F$110,$T315))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MATCH(1,(TDU_Info!$C$5:$C$110=$T$6)*(TDU_Info!$B$5:$B$110&lt;=$B316),0)</f>
        <v>101</v>
      </c>
      <c r="U316" s="152">
        <f>100*(INDEX(TDU_Info!$E$5:$E$110,$T316)/T$11+INDEX(TDU_Info!$F$5:$F$110,$T316))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MATCH(1,(TDU_Info!$C$5:$C$110=$T$6)*(TDU_Info!$B$5:$B$110&lt;=$B317),0)</f>
        <v>101</v>
      </c>
      <c r="U317" s="152">
        <f>100*(INDEX(TDU_Info!$E$5:$E$110,$T317)/T$11+INDEX(TDU_Info!$F$5:$F$110,$T317))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MATCH(1,(TDU_Info!$C$5:$C$110=$T$6)*(TDU_Info!$B$5:$B$110&lt;=$B318),0)</f>
        <v>101</v>
      </c>
      <c r="U318" s="152">
        <f>100*(INDEX(TDU_Info!$E$5:$E$110,$T318)/T$11+INDEX(TDU_Info!$F$5:$F$110,$T318))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MATCH(1,(TDU_Info!$C$5:$C$110=$T$6)*(TDU_Info!$B$5:$B$110&lt;=$B319),0)</f>
        <v>101</v>
      </c>
      <c r="U319" s="152">
        <f>100*(INDEX(TDU_Info!$E$5:$E$110,$T319)/T$11+INDEX(TDU_Info!$F$5:$F$110,$T319))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MATCH(1,(TDU_Info!$C$5:$C$110=$T$6)*(TDU_Info!$B$5:$B$110&lt;=$B320),0)</f>
        <v>101</v>
      </c>
      <c r="U320" s="152">
        <f>100*(INDEX(TDU_Info!$E$5:$E$110,$T320)/T$11+INDEX(TDU_Info!$F$5:$F$110,$T320))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MATCH(1,(TDU_Info!$C$5:$C$110=$T$6)*(TDU_Info!$B$5:$B$110&lt;=$B321),0)</f>
        <v>101</v>
      </c>
      <c r="U321" s="152">
        <f>100*(INDEX(TDU_Info!$E$5:$E$110,$T321)/T$11+INDEX(TDU_Info!$F$5:$F$110,$T321))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MATCH(1,(TDU_Info!$C$5:$C$110=$T$6)*(TDU_Info!$B$5:$B$110&lt;=$B322),0)</f>
        <v>101</v>
      </c>
      <c r="U322" s="152">
        <f>100*(INDEX(TDU_Info!$E$5:$E$110,$T322)/T$11+INDEX(TDU_Info!$F$5:$F$110,$T322))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MATCH(1,(TDU_Info!$C$5:$C$110=$T$6)*(TDU_Info!$B$5:$B$110&lt;=$B323),0)</f>
        <v>101</v>
      </c>
      <c r="U323" s="152">
        <f>100*(INDEX(TDU_Info!$E$5:$E$110,$T323)/T$11+INDEX(TDU_Info!$F$5:$F$110,$T323))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MATCH(1,(TDU_Info!$C$5:$C$110=$T$6)*(TDU_Info!$B$5:$B$110&lt;=$B324),0)</f>
        <v>101</v>
      </c>
      <c r="U324" s="152">
        <f>100*(INDEX(TDU_Info!$E$5:$E$110,$T324)/T$11+INDEX(TDU_Info!$F$5:$F$110,$T324))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MATCH(1,(TDU_Info!$C$5:$C$110=$T$6)*(TDU_Info!$B$5:$B$110&lt;=$B325),0)</f>
        <v>101</v>
      </c>
      <c r="U325" s="152">
        <f>100*(INDEX(TDU_Info!$E$5:$E$110,$T325)/T$11+INDEX(TDU_Info!$F$5:$F$110,$T325))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MATCH(1,(TDU_Info!$C$5:$C$110=$T$6)*(TDU_Info!$B$5:$B$110&lt;=$B326),0)</f>
        <v>101</v>
      </c>
      <c r="U326" s="152">
        <f>100*(INDEX(TDU_Info!$E$5:$E$110,$T326)/T$11+INDEX(TDU_Info!$F$5:$F$110,$T326))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MATCH(1,(TDU_Info!$C$5:$C$110=$T$6)*(TDU_Info!$B$5:$B$110&lt;=$B327),0)</f>
        <v>101</v>
      </c>
      <c r="U327" s="152">
        <f>100*(INDEX(TDU_Info!$E$5:$E$110,$T327)/T$11+INDEX(TDU_Info!$F$5:$F$110,$T327))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MATCH(1,(TDU_Info!$C$5:$C$110=$T$6)*(TDU_Info!$B$5:$B$110&lt;=$B328),0)</f>
        <v>101</v>
      </c>
      <c r="U328" s="152">
        <f>100*(INDEX(TDU_Info!$E$5:$E$110,$T328)/T$11+INDEX(TDU_Info!$F$5:$F$110,$T328))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MATCH(1,(TDU_Info!$C$5:$C$110=$T$6)*(TDU_Info!$B$5:$B$110&lt;=$B329),0)</f>
        <v>101</v>
      </c>
      <c r="U329" s="152">
        <f>100*(INDEX(TDU_Info!$E$5:$E$110,$T329)/T$11+INDEX(TDU_Info!$F$5:$F$110,$T329))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MATCH(1,(TDU_Info!$C$5:$C$110=$T$6)*(TDU_Info!$B$5:$B$110&lt;=$B330),0)</f>
        <v>101</v>
      </c>
      <c r="U330" s="152">
        <f>100*(INDEX(TDU_Info!$E$5:$E$110,$T330)/T$11+INDEX(TDU_Info!$F$5:$F$110,$T330))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MATCH(1,(TDU_Info!$C$5:$C$110=$T$6)*(TDU_Info!$B$5:$B$110&lt;=$B331),0)</f>
        <v>101</v>
      </c>
      <c r="U331" s="152">
        <f>100*(INDEX(TDU_Info!$E$5:$E$110,$T331)/T$11+INDEX(TDU_Info!$F$5:$F$110,$T331))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MATCH(1,(TDU_Info!$C$5:$C$110=$T$6)*(TDU_Info!$B$5:$B$110&lt;=$B332),0)</f>
        <v>101</v>
      </c>
      <c r="U332" s="152">
        <f>100*(INDEX(TDU_Info!$E$5:$E$110,$T332)/T$11+INDEX(TDU_Info!$F$5:$F$110,$T332))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MATCH(1,(TDU_Info!$C$5:$C$110=$T$6)*(TDU_Info!$B$5:$B$110&lt;=$B333),0)</f>
        <v>101</v>
      </c>
      <c r="U333" s="152">
        <f>100*(INDEX(TDU_Info!$E$5:$E$110,$T333)/T$11+INDEX(TDU_Info!$F$5:$F$110,$T333))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MATCH(1,(TDU_Info!$C$5:$C$110=$T$6)*(TDU_Info!$B$5:$B$110&lt;=$B334),0)</f>
        <v>101</v>
      </c>
      <c r="U334" s="152">
        <f>100*(INDEX(TDU_Info!$E$5:$E$110,$T334)/T$11+INDEX(TDU_Info!$F$5:$F$110,$T334))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MATCH(1,(TDU_Info!$C$5:$C$110=$T$6)*(TDU_Info!$B$5:$B$110&lt;=$B335),0)</f>
        <v>101</v>
      </c>
      <c r="U335" s="152">
        <f>100*(INDEX(TDU_Info!$E$5:$E$110,$T335)/T$11+INDEX(TDU_Info!$F$5:$F$110,$T335))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MATCH(1,(TDU_Info!$C$5:$C$110=$T$6)*(TDU_Info!$B$5:$B$110&lt;=$B336),0)</f>
        <v>101</v>
      </c>
      <c r="U336" s="152">
        <f>100*(INDEX(TDU_Info!$E$5:$E$110,$T336)/T$11+INDEX(TDU_Info!$F$5:$F$110,$T336))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MATCH(1,(TDU_Info!$C$5:$C$110=$T$6)*(TDU_Info!$B$5:$B$110&lt;=$B337),0)</f>
        <v>101</v>
      </c>
      <c r="U337" s="152">
        <f>100*(INDEX(TDU_Info!$E$5:$E$110,$T337)/T$11+INDEX(TDU_Info!$F$5:$F$110,$T337))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MATCH(1,(TDU_Info!$C$5:$C$110=$T$6)*(TDU_Info!$B$5:$B$110&lt;=$B338),0)</f>
        <v>101</v>
      </c>
      <c r="U338" s="152">
        <f>100*(INDEX(TDU_Info!$E$5:$E$110,$T338)/T$11+INDEX(TDU_Info!$F$5:$F$110,$T338))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MATCH(1,(TDU_Info!$C$5:$C$110=$T$6)*(TDU_Info!$B$5:$B$110&lt;=$B339),0)</f>
        <v>101</v>
      </c>
      <c r="U339" s="152">
        <f>100*(INDEX(TDU_Info!$E$5:$E$110,$T339)/T$11+INDEX(TDU_Info!$F$5:$F$110,$T339))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MATCH(1,(TDU_Info!$C$5:$C$110=$T$6)*(TDU_Info!$B$5:$B$110&lt;=$B340),0)</f>
        <v>101</v>
      </c>
      <c r="U340" s="152">
        <f>100*(INDEX(TDU_Info!$E$5:$E$110,$T340)/T$11+INDEX(TDU_Info!$F$5:$F$110,$T340))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MATCH(1,(TDU_Info!$C$5:$C$110=$T$6)*(TDU_Info!$B$5:$B$110&lt;=$B341),0)</f>
        <v>101</v>
      </c>
      <c r="U341" s="152">
        <f>100*(INDEX(TDU_Info!$E$5:$E$110,$T341)/T$11+INDEX(TDU_Info!$F$5:$F$110,$T341))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MATCH(1,(TDU_Info!$C$5:$C$110=$T$6)*(TDU_Info!$B$5:$B$110&lt;=$B342),0)</f>
        <v>101</v>
      </c>
      <c r="U342" s="152">
        <f>100*(INDEX(TDU_Info!$E$5:$E$110,$T342)/T$11+INDEX(TDU_Info!$F$5:$F$110,$T342))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MATCH(1,(TDU_Info!$C$5:$C$110=$T$6)*(TDU_Info!$B$5:$B$110&lt;=$B343),0)</f>
        <v>101</v>
      </c>
      <c r="U343" s="152">
        <f>100*(INDEX(TDU_Info!$E$5:$E$110,$T343)/T$11+INDEX(TDU_Info!$F$5:$F$110,$T343))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MATCH(1,(TDU_Info!$C$5:$C$110=$T$6)*(TDU_Info!$B$5:$B$110&lt;=$B344),0)</f>
        <v>101</v>
      </c>
      <c r="U344" s="152">
        <f>100*(INDEX(TDU_Info!$E$5:$E$110,$T344)/T$11+INDEX(TDU_Info!$F$5:$F$110,$T344))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MATCH(1,(TDU_Info!$C$5:$C$110=$T$6)*(TDU_Info!$B$5:$B$110&lt;=$B345),0)</f>
        <v>101</v>
      </c>
      <c r="U345" s="152">
        <f>100*(INDEX(TDU_Info!$E$5:$E$110,$T345)/T$11+INDEX(TDU_Info!$F$5:$F$110,$T345))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MATCH(1,(TDU_Info!$C$5:$C$110=$T$6)*(TDU_Info!$B$5:$B$110&lt;=$B346),0)</f>
        <v>101</v>
      </c>
      <c r="U346" s="152">
        <f>100*(INDEX(TDU_Info!$E$5:$E$110,$T346)/T$11+INDEX(TDU_Info!$F$5:$F$110,$T346))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MATCH(1,(TDU_Info!$C$5:$C$110=$T$6)*(TDU_Info!$B$5:$B$110&lt;=$B347),0)</f>
        <v>100</v>
      </c>
      <c r="U347" s="152">
        <f>100*(INDEX(TDU_Info!$E$5:$E$110,$T347)/T$11+INDEX(TDU_Info!$F$5:$F$110,$T347))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MATCH(1,(TDU_Info!$C$5:$C$110=$T$6)*(TDU_Info!$B$5:$B$110&lt;=$B348),0)</f>
        <v>100</v>
      </c>
      <c r="U348" s="152">
        <f>100*(INDEX(TDU_Info!$E$5:$E$110,$T348)/T$11+INDEX(TDU_Info!$F$5:$F$110,$T348))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MATCH(1,(TDU_Info!$C$5:$C$110=$T$6)*(TDU_Info!$B$5:$B$110&lt;=$B349),0)</f>
        <v>100</v>
      </c>
      <c r="U349" s="152">
        <f>100*(INDEX(TDU_Info!$E$5:$E$110,$T349)/T$11+INDEX(TDU_Info!$F$5:$F$110,$T349))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MATCH(1,(TDU_Info!$C$5:$C$110=$T$6)*(TDU_Info!$B$5:$B$110&lt;=$B350),0)</f>
        <v>100</v>
      </c>
      <c r="U350" s="152">
        <f>100*(INDEX(TDU_Info!$E$5:$E$110,$T350)/T$11+INDEX(TDU_Info!$F$5:$F$110,$T350))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MATCH(1,(TDU_Info!$C$5:$C$110=$T$6)*(TDU_Info!$B$5:$B$110&lt;=$B351),0)</f>
        <v>100</v>
      </c>
      <c r="U351" s="152">
        <f>100*(INDEX(TDU_Info!$E$5:$E$110,$T351)/T$11+INDEX(TDU_Info!$F$5:$F$110,$T351))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MATCH(1,(TDU_Info!$C$5:$C$110=$T$6)*(TDU_Info!$B$5:$B$110&lt;=$B352),0)</f>
        <v>100</v>
      </c>
      <c r="U352" s="152">
        <f>100*(INDEX(TDU_Info!$E$5:$E$110,$T352)/T$11+INDEX(TDU_Info!$F$5:$F$110,$T352))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MATCH(1,(TDU_Info!$C$5:$C$110=$T$6)*(TDU_Info!$B$5:$B$110&lt;=$B353),0)</f>
        <v>100</v>
      </c>
      <c r="U353" s="152">
        <f>100*(INDEX(TDU_Info!$E$5:$E$110,$T353)/T$11+INDEX(TDU_Info!$F$5:$F$110,$T353))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MATCH(1,(TDU_Info!$C$5:$C$110=$T$6)*(TDU_Info!$B$5:$B$110&lt;=$B354),0)</f>
        <v>100</v>
      </c>
      <c r="U354" s="152">
        <f>100*(INDEX(TDU_Info!$E$5:$E$110,$T354)/T$11+INDEX(TDU_Info!$F$5:$F$110,$T354))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MATCH(1,(TDU_Info!$C$5:$C$110=$T$6)*(TDU_Info!$B$5:$B$110&lt;=$B355),0)</f>
        <v>100</v>
      </c>
      <c r="U355" s="152">
        <f>100*(INDEX(TDU_Info!$E$5:$E$110,$T355)/T$11+INDEX(TDU_Info!$F$5:$F$110,$T355))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MATCH(1,(TDU_Info!$C$5:$C$110=$T$6)*(TDU_Info!$B$5:$B$110&lt;=$B356),0)</f>
        <v>100</v>
      </c>
      <c r="U356" s="152">
        <f>100*(INDEX(TDU_Info!$E$5:$E$110,$T356)/T$11+INDEX(TDU_Info!$F$5:$F$110,$T356))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MATCH(1,(TDU_Info!$C$5:$C$110=$T$6)*(TDU_Info!$B$5:$B$110&lt;=$B357),0)</f>
        <v>100</v>
      </c>
      <c r="U357" s="152">
        <f>100*(INDEX(TDU_Info!$E$5:$E$110,$T357)/T$11+INDEX(TDU_Info!$F$5:$F$110,$T357))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MATCH(1,(TDU_Info!$C$5:$C$110=$T$6)*(TDU_Info!$B$5:$B$110&lt;=$B358),0)</f>
        <v>100</v>
      </c>
      <c r="U358" s="152">
        <f>100*(INDEX(TDU_Info!$E$5:$E$110,$T358)/T$11+INDEX(TDU_Info!$F$5:$F$110,$T358))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MATCH(1,(TDU_Info!$C$5:$C$110=$T$6)*(TDU_Info!$B$5:$B$110&lt;=$B359),0)</f>
        <v>100</v>
      </c>
      <c r="U359" s="152">
        <f>100*(INDEX(TDU_Info!$E$5:$E$110,$T359)/T$11+INDEX(TDU_Info!$F$5:$F$110,$T359))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MATCH(1,(TDU_Info!$C$5:$C$110=$T$6)*(TDU_Info!$B$5:$B$110&lt;=$B360),0)</f>
        <v>100</v>
      </c>
      <c r="U360" s="152">
        <f>100*(INDEX(TDU_Info!$E$5:$E$110,$T360)/T$11+INDEX(TDU_Info!$F$5:$F$110,$T360))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MATCH(1,(TDU_Info!$C$5:$C$110=$T$6)*(TDU_Info!$B$5:$B$110&lt;=$B361),0)</f>
        <v>100</v>
      </c>
      <c r="U361" s="152">
        <f>100*(INDEX(TDU_Info!$E$5:$E$110,$T361)/T$11+INDEX(TDU_Info!$F$5:$F$110,$T361))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MATCH(1,(TDU_Info!$C$5:$C$110=$T$6)*(TDU_Info!$B$5:$B$110&lt;=$B362),0)</f>
        <v>100</v>
      </c>
      <c r="U362" s="152">
        <f>100*(INDEX(TDU_Info!$E$5:$E$110,$T362)/T$11+INDEX(TDU_Info!$F$5:$F$110,$T362))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MATCH(1,(TDU_Info!$C$5:$C$110=$T$6)*(TDU_Info!$B$5:$B$110&lt;=$B363),0)</f>
        <v>100</v>
      </c>
      <c r="U363" s="152">
        <f>100*(INDEX(TDU_Info!$E$5:$E$110,$T363)/T$11+INDEX(TDU_Info!$F$5:$F$110,$T363))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MATCH(1,(TDU_Info!$C$5:$C$110=$T$6)*(TDU_Info!$B$5:$B$110&lt;=$B364),0)</f>
        <v>100</v>
      </c>
      <c r="U364" s="152">
        <f>100*(INDEX(TDU_Info!$E$5:$E$110,$T364)/T$11+INDEX(TDU_Info!$F$5:$F$110,$T364))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MATCH(1,(TDU_Info!$C$5:$C$110=$T$6)*(TDU_Info!$B$5:$B$110&lt;=$B365),0)</f>
        <v>100</v>
      </c>
      <c r="U365" s="152">
        <f>100*(INDEX(TDU_Info!$E$5:$E$110,$T365)/T$11+INDEX(TDU_Info!$F$5:$F$110,$T365))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MATCH(1,(TDU_Info!$C$5:$C$110=$T$6)*(TDU_Info!$B$5:$B$110&lt;=$B366),0)</f>
        <v>100</v>
      </c>
      <c r="U366" s="152">
        <f>100*(INDEX(TDU_Info!$E$5:$E$110,$T366)/T$11+INDEX(TDU_Info!$F$5:$F$110,$T366))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MATCH(1,(TDU_Info!$C$5:$C$110=$T$6)*(TDU_Info!$B$5:$B$110&lt;=$B367),0)</f>
        <v>100</v>
      </c>
      <c r="U367" s="152">
        <f>100*(INDEX(TDU_Info!$E$5:$E$110,$T367)/T$11+INDEX(TDU_Info!$F$5:$F$110,$T367))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MATCH(1,(TDU_Info!$C$5:$C$110=$T$6)*(TDU_Info!$B$5:$B$110&lt;=$B368),0)</f>
        <v>100</v>
      </c>
      <c r="U368" s="152">
        <f>100*(INDEX(TDU_Info!$E$5:$E$110,$T368)/T$11+INDEX(TDU_Info!$F$5:$F$110,$T368))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MATCH(1,(TDU_Info!$C$5:$C$110=$T$6)*(TDU_Info!$B$5:$B$110&lt;=$B369),0)</f>
        <v>100</v>
      </c>
      <c r="U369" s="152">
        <f>100*(INDEX(TDU_Info!$E$5:$E$110,$T369)/T$11+INDEX(TDU_Info!$F$5:$F$110,$T369))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MATCH(1,(TDU_Info!$C$5:$C$110=$T$6)*(TDU_Info!$B$5:$B$110&lt;=$B370),0)</f>
        <v>100</v>
      </c>
      <c r="U370" s="152">
        <f>100*(INDEX(TDU_Info!$E$5:$E$110,$T370)/T$11+INDEX(TDU_Info!$F$5:$F$110,$T370))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MATCH(1,(TDU_Info!$C$5:$C$110=$T$6)*(TDU_Info!$B$5:$B$110&lt;=$B371),0)</f>
        <v>100</v>
      </c>
      <c r="U371" s="152">
        <f>100*(INDEX(TDU_Info!$E$5:$E$110,$T371)/T$11+INDEX(TDU_Info!$F$5:$F$110,$T371))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MATCH(1,(TDU_Info!$C$5:$C$110=$T$6)*(TDU_Info!$B$5:$B$110&lt;=$B372),0)</f>
        <v>100</v>
      </c>
      <c r="U372" s="152">
        <f>100*(INDEX(TDU_Info!$E$5:$E$110,$T372)/T$11+INDEX(TDU_Info!$F$5:$F$110,$T372))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MATCH(1,(TDU_Info!$C$5:$C$110=$T$6)*(TDU_Info!$B$5:$B$110&lt;=$B373),0)</f>
        <v>100</v>
      </c>
      <c r="U373" s="152">
        <f>100*(INDEX(TDU_Info!$E$5:$E$110,$T373)/T$11+INDEX(TDU_Info!$F$5:$F$110,$T373))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MATCH(1,(TDU_Info!$C$5:$C$110=$T$6)*(TDU_Info!$B$5:$B$110&lt;=$B374),0)</f>
        <v>100</v>
      </c>
      <c r="U374" s="152">
        <f>100*(INDEX(TDU_Info!$E$5:$E$110,$T374)/T$11+INDEX(TDU_Info!$F$5:$F$110,$T374))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MATCH(1,(TDU_Info!$C$5:$C$110=$T$6)*(TDU_Info!$B$5:$B$110&lt;=$B375),0)</f>
        <v>100</v>
      </c>
      <c r="U375" s="152">
        <f>100*(INDEX(TDU_Info!$E$5:$E$110,$T375)/T$11+INDEX(TDU_Info!$F$5:$F$110,$T375))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MATCH(1,(TDU_Info!$C$5:$C$110=$T$6)*(TDU_Info!$B$5:$B$110&lt;=$B376),0)</f>
        <v>100</v>
      </c>
      <c r="U376" s="152">
        <f>100*(INDEX(TDU_Info!$E$5:$E$110,$T376)/T$11+INDEX(TDU_Info!$F$5:$F$110,$T376))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MATCH(1,(TDU_Info!$C$5:$C$110=$T$6)*(TDU_Info!$B$5:$B$110&lt;=$B377),0)</f>
        <v>100</v>
      </c>
      <c r="U377" s="152">
        <f>100*(INDEX(TDU_Info!$E$5:$E$110,$T377)/T$11+INDEX(TDU_Info!$F$5:$F$110,$T377))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MATCH(1,(TDU_Info!$C$5:$C$110=$T$6)*(TDU_Info!$B$5:$B$110&lt;=$B378),0)</f>
        <v>100</v>
      </c>
      <c r="U378" s="152">
        <f>100*(INDEX(TDU_Info!$E$5:$E$110,$T378)/T$11+INDEX(TDU_Info!$F$5:$F$110,$T378))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MATCH(1,(TDU_Info!$C$5:$C$110=$T$6)*(TDU_Info!$B$5:$B$110&lt;=$B379),0)</f>
        <v>100</v>
      </c>
      <c r="U379" s="152">
        <f>100*(INDEX(TDU_Info!$E$5:$E$110,$T379)/T$11+INDEX(TDU_Info!$F$5:$F$110,$T379))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MATCH(1,(TDU_Info!$C$5:$C$110=$T$6)*(TDU_Info!$B$5:$B$110&lt;=$B380),0)</f>
        <v>100</v>
      </c>
      <c r="U380" s="152">
        <f>100*(INDEX(TDU_Info!$E$5:$E$110,$T380)/T$11+INDEX(TDU_Info!$F$5:$F$110,$T380))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MATCH(1,(TDU_Info!$C$5:$C$110=$T$6)*(TDU_Info!$B$5:$B$110&lt;=$B381),0)</f>
        <v>100</v>
      </c>
      <c r="U381" s="152">
        <f>100*(INDEX(TDU_Info!$E$5:$E$110,$T381)/T$11+INDEX(TDU_Info!$F$5:$F$110,$T381))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MATCH(1,(TDU_Info!$C$5:$C$110=$T$6)*(TDU_Info!$B$5:$B$110&lt;=$B382),0)</f>
        <v>100</v>
      </c>
      <c r="U382" s="152">
        <f>100*(INDEX(TDU_Info!$E$5:$E$110,$T382)/T$11+INDEX(TDU_Info!$F$5:$F$110,$T382))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MATCH(1,(TDU_Info!$C$5:$C$110=$T$6)*(TDU_Info!$B$5:$B$110&lt;=$B383),0)</f>
        <v>100</v>
      </c>
      <c r="U383" s="152">
        <f>100*(INDEX(TDU_Info!$E$5:$E$110,$T383)/T$11+INDEX(TDU_Info!$F$5:$F$110,$T383))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MATCH(1,(TDU_Info!$C$5:$C$110=$T$6)*(TDU_Info!$B$5:$B$110&lt;=$B384),0)</f>
        <v>100</v>
      </c>
      <c r="U384" s="152">
        <f>100*(INDEX(TDU_Info!$E$5:$E$110,$T384)/T$11+INDEX(TDU_Info!$F$5:$F$110,$T384))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MATCH(1,(TDU_Info!$C$5:$C$110=$T$6)*(TDU_Info!$B$5:$B$110&lt;=$B385),0)</f>
        <v>100</v>
      </c>
      <c r="U385" s="152">
        <f>100*(INDEX(TDU_Info!$E$5:$E$110,$T385)/T$11+INDEX(TDU_Info!$F$5:$F$110,$T385))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MATCH(1,(TDU_Info!$C$5:$C$110=$T$6)*(TDU_Info!$B$5:$B$110&lt;=$B386),0)</f>
        <v>100</v>
      </c>
      <c r="U386" s="152">
        <f>100*(INDEX(TDU_Info!$E$5:$E$110,$T386)/T$11+INDEX(TDU_Info!$F$5:$F$110,$T386))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MATCH(1,(TDU_Info!$C$5:$C$110=$T$6)*(TDU_Info!$B$5:$B$110&lt;=$B387),0)</f>
        <v>100</v>
      </c>
      <c r="U387" s="152">
        <f>100*(INDEX(TDU_Info!$E$5:$E$110,$T387)/T$11+INDEX(TDU_Info!$F$5:$F$110,$T387))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MATCH(1,(TDU_Info!$C$5:$C$110=$T$6)*(TDU_Info!$B$5:$B$110&lt;=$B388),0)</f>
        <v>100</v>
      </c>
      <c r="U388" s="152">
        <f>100*(INDEX(TDU_Info!$E$5:$E$110,$T388)/T$11+INDEX(TDU_Info!$F$5:$F$110,$T388))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MATCH(1,(TDU_Info!$C$5:$C$110=$T$6)*(TDU_Info!$B$5:$B$110&lt;=$B389),0)</f>
        <v>100</v>
      </c>
      <c r="U389" s="152">
        <f>100*(INDEX(TDU_Info!$E$5:$E$110,$T389)/T$11+INDEX(TDU_Info!$F$5:$F$110,$T389))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MATCH(1,(TDU_Info!$C$5:$C$110=$T$6)*(TDU_Info!$B$5:$B$110&lt;=$B390),0)</f>
        <v>100</v>
      </c>
      <c r="U390" s="152">
        <f>100*(INDEX(TDU_Info!$E$5:$E$110,$T390)/T$11+INDEX(TDU_Info!$F$5:$F$110,$T390))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MATCH(1,(TDU_Info!$C$5:$C$110=$T$6)*(TDU_Info!$B$5:$B$110&lt;=$B391),0)</f>
        <v>100</v>
      </c>
      <c r="U391" s="152">
        <f>100*(INDEX(TDU_Info!$E$5:$E$110,$T391)/T$11+INDEX(TDU_Info!$F$5:$F$110,$T391))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MATCH(1,(TDU_Info!$C$5:$C$110=$T$6)*(TDU_Info!$B$5:$B$110&lt;=$B392),0)</f>
        <v>100</v>
      </c>
      <c r="U392" s="152">
        <f>100*(INDEX(TDU_Info!$E$5:$E$110,$T392)/T$11+INDEX(TDU_Info!$F$5:$F$110,$T392))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MATCH(1,(TDU_Info!$C$5:$C$110=$T$6)*(TDU_Info!$B$5:$B$110&lt;=$B393),0)</f>
        <v>100</v>
      </c>
      <c r="U393" s="152">
        <f>100*(INDEX(TDU_Info!$E$5:$E$110,$T393)/T$11+INDEX(TDU_Info!$F$5:$F$110,$T393))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MATCH(1,(TDU_Info!$C$5:$C$110=$T$6)*(TDU_Info!$B$5:$B$110&lt;=$B394),0)</f>
        <v>100</v>
      </c>
      <c r="U394" s="152">
        <f>100*(INDEX(TDU_Info!$E$5:$E$110,$T394)/T$11+INDEX(TDU_Info!$F$5:$F$110,$T394))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MATCH(1,(TDU_Info!$C$5:$C$110=$T$6)*(TDU_Info!$B$5:$B$110&lt;=$B395),0)</f>
        <v>100</v>
      </c>
      <c r="U395" s="152">
        <f>100*(INDEX(TDU_Info!$E$5:$E$110,$T395)/T$11+INDEX(TDU_Info!$F$5:$F$110,$T395))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MATCH(1,(TDU_Info!$C$5:$C$110=$T$6)*(TDU_Info!$B$5:$B$110&lt;=$B396),0)</f>
        <v>100</v>
      </c>
      <c r="U396" s="152">
        <f>100*(INDEX(TDU_Info!$E$5:$E$110,$T396)/T$11+INDEX(TDU_Info!$F$5:$F$110,$T396))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MATCH(1,(TDU_Info!$C$5:$C$110=$T$6)*(TDU_Info!$B$5:$B$110&lt;=$B397),0)</f>
        <v>100</v>
      </c>
      <c r="U397" s="152">
        <f>100*(INDEX(TDU_Info!$E$5:$E$110,$T397)/T$11+INDEX(TDU_Info!$F$5:$F$110,$T397))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MATCH(1,(TDU_Info!$C$5:$C$110=$T$6)*(TDU_Info!$B$5:$B$110&lt;=$B398),0)</f>
        <v>100</v>
      </c>
      <c r="U398" s="152">
        <f>100*(INDEX(TDU_Info!$E$5:$E$110,$T398)/T$11+INDEX(TDU_Info!$F$5:$F$110,$T398))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MATCH(1,(TDU_Info!$C$5:$C$110=$T$6)*(TDU_Info!$B$5:$B$110&lt;=$B399),0)</f>
        <v>100</v>
      </c>
      <c r="U399" s="152">
        <f>100*(INDEX(TDU_Info!$E$5:$E$110,$T399)/T$11+INDEX(TDU_Info!$F$5:$F$110,$T399))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MATCH(1,(TDU_Info!$C$5:$C$110=$T$6)*(TDU_Info!$B$5:$B$110&lt;=$B400),0)</f>
        <v>100</v>
      </c>
      <c r="U400" s="152">
        <f>100*(INDEX(TDU_Info!$E$5:$E$110,$T400)/T$11+INDEX(TDU_Info!$F$5:$F$110,$T400))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MATCH(1,(TDU_Info!$C$5:$C$110=$T$6)*(TDU_Info!$B$5:$B$110&lt;=$B401),0)</f>
        <v>100</v>
      </c>
      <c r="U401" s="152">
        <f>100*(INDEX(TDU_Info!$E$5:$E$110,$T401)/T$11+INDEX(TDU_Info!$F$5:$F$110,$T401))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MATCH(1,(TDU_Info!$C$5:$C$110=$T$6)*(TDU_Info!$B$5:$B$110&lt;=$B402),0)</f>
        <v>100</v>
      </c>
      <c r="U402" s="152">
        <f>100*(INDEX(TDU_Info!$E$5:$E$110,$T402)/T$11+INDEX(TDU_Info!$F$5:$F$110,$T402))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MATCH(1,(TDU_Info!$C$5:$C$110=$T$6)*(TDU_Info!$B$5:$B$110&lt;=$B403),0)</f>
        <v>100</v>
      </c>
      <c r="U403" s="152">
        <f>100*(INDEX(TDU_Info!$E$5:$E$110,$T403)/T$11+INDEX(TDU_Info!$F$5:$F$110,$T403))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MATCH(1,(TDU_Info!$C$5:$C$110=$T$6)*(TDU_Info!$B$5:$B$110&lt;=$B404),0)</f>
        <v>100</v>
      </c>
      <c r="U404" s="152">
        <f>100*(INDEX(TDU_Info!$E$5:$E$110,$T404)/T$11+INDEX(TDU_Info!$F$5:$F$110,$T404))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MATCH(1,(TDU_Info!$C$5:$C$110=$T$6)*(TDU_Info!$B$5:$B$110&lt;=$B405),0)</f>
        <v>100</v>
      </c>
      <c r="U405" s="152">
        <f>100*(INDEX(TDU_Info!$E$5:$E$110,$T405)/T$11+INDEX(TDU_Info!$F$5:$F$110,$T405))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MATCH(1,(TDU_Info!$C$5:$C$110=$T$6)*(TDU_Info!$B$5:$B$110&lt;=$B406),0)</f>
        <v>100</v>
      </c>
      <c r="U406" s="152">
        <f>100*(INDEX(TDU_Info!$E$5:$E$110,$T406)/T$11+INDEX(TDU_Info!$F$5:$F$110,$T406))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MATCH(1,(TDU_Info!$C$5:$C$110=$T$6)*(TDU_Info!$B$5:$B$110&lt;=$B407),0)</f>
        <v>100</v>
      </c>
      <c r="U407" s="152">
        <f>100*(INDEX(TDU_Info!$E$5:$E$110,$T407)/T$11+INDEX(TDU_Info!$F$5:$F$110,$T407))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MATCH(1,(TDU_Info!$C$5:$C$110=$T$6)*(TDU_Info!$B$5:$B$110&lt;=$B408),0)</f>
        <v>100</v>
      </c>
      <c r="U408" s="152">
        <f>100*(INDEX(TDU_Info!$E$5:$E$110,$T408)/T$11+INDEX(TDU_Info!$F$5:$F$110,$T408))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MATCH(1,(TDU_Info!$C$5:$C$110=$T$6)*(TDU_Info!$B$5:$B$110&lt;=$B409),0)</f>
        <v>100</v>
      </c>
      <c r="U409" s="152">
        <f>100*(INDEX(TDU_Info!$E$5:$E$110,$T409)/T$11+INDEX(TDU_Info!$F$5:$F$110,$T409))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MATCH(1,(TDU_Info!$C$5:$C$110=$T$6)*(TDU_Info!$B$5:$B$110&lt;=$B410),0)</f>
        <v>100</v>
      </c>
      <c r="U410" s="152">
        <f>100*(INDEX(TDU_Info!$E$5:$E$110,$T410)/T$11+INDEX(TDU_Info!$F$5:$F$110,$T410))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MATCH(1,(TDU_Info!$C$5:$C$110=$T$6)*(TDU_Info!$B$5:$B$110&lt;=$B411),0)</f>
        <v>100</v>
      </c>
      <c r="U411" s="152">
        <f>100*(INDEX(TDU_Info!$E$5:$E$110,$T411)/T$11+INDEX(TDU_Info!$F$5:$F$110,$T411))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MATCH(1,(TDU_Info!$C$5:$C$110=$T$6)*(TDU_Info!$B$5:$B$110&lt;=$B412),0)</f>
        <v>100</v>
      </c>
      <c r="U412" s="152">
        <f>100*(INDEX(TDU_Info!$E$5:$E$110,$T412)/T$11+INDEX(TDU_Info!$F$5:$F$110,$T412))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MATCH(1,(TDU_Info!$C$5:$C$110=$T$6)*(TDU_Info!$B$5:$B$110&lt;=$B413),0)</f>
        <v>100</v>
      </c>
      <c r="U413" s="152">
        <f>100*(INDEX(TDU_Info!$E$5:$E$110,$T413)/T$11+INDEX(TDU_Info!$F$5:$F$110,$T413))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MATCH(1,(TDU_Info!$C$5:$C$110=$T$6)*(TDU_Info!$B$5:$B$110&lt;=$B414),0)</f>
        <v>100</v>
      </c>
      <c r="U414" s="152">
        <f>100*(INDEX(TDU_Info!$E$5:$E$110,$T414)/T$11+INDEX(TDU_Info!$F$5:$F$110,$T414))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MATCH(1,(TDU_Info!$C$5:$C$110=$T$6)*(TDU_Info!$B$5:$B$110&lt;=$B415),0)</f>
        <v>100</v>
      </c>
      <c r="U415" s="152">
        <f>100*(INDEX(TDU_Info!$E$5:$E$110,$T415)/T$11+INDEX(TDU_Info!$F$5:$F$110,$T415))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MATCH(1,(TDU_Info!$C$5:$C$110=$T$6)*(TDU_Info!$B$5:$B$110&lt;=$B416),0)</f>
        <v>100</v>
      </c>
      <c r="U416" s="152">
        <f>100*(INDEX(TDU_Info!$E$5:$E$110,$T416)/T$11+INDEX(TDU_Info!$F$5:$F$110,$T416))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MATCH(1,(TDU_Info!$C$5:$C$110=$T$6)*(TDU_Info!$B$5:$B$110&lt;=$B417),0)</f>
        <v>100</v>
      </c>
      <c r="U417" s="152">
        <f>100*(INDEX(TDU_Info!$E$5:$E$110,$T417)/T$11+INDEX(TDU_Info!$F$5:$F$110,$T417))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MATCH(1,(TDU_Info!$C$5:$C$110=$T$6)*(TDU_Info!$B$5:$B$110&lt;=$B418),0)</f>
        <v>100</v>
      </c>
      <c r="U418" s="152">
        <f>100*(INDEX(TDU_Info!$E$5:$E$110,$T418)/T$11+INDEX(TDU_Info!$F$5:$F$110,$T418))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MATCH(1,(TDU_Info!$C$5:$C$110=$T$6)*(TDU_Info!$B$5:$B$110&lt;=$B419),0)</f>
        <v>100</v>
      </c>
      <c r="U419" s="152">
        <f>100*(INDEX(TDU_Info!$E$5:$E$110,$T419)/T$11+INDEX(TDU_Info!$F$5:$F$110,$T419))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MATCH(1,(TDU_Info!$C$5:$C$110=$T$6)*(TDU_Info!$B$5:$B$110&lt;=$B420),0)</f>
        <v>100</v>
      </c>
      <c r="U420" s="152">
        <f>100*(INDEX(TDU_Info!$E$5:$E$110,$T420)/T$11+INDEX(TDU_Info!$F$5:$F$110,$T420))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MATCH(1,(TDU_Info!$C$5:$C$110=$T$6)*(TDU_Info!$B$5:$B$110&lt;=$B421),0)</f>
        <v>100</v>
      </c>
      <c r="U421" s="152">
        <f>100*(INDEX(TDU_Info!$E$5:$E$110,$T421)/T$11+INDEX(TDU_Info!$F$5:$F$110,$T421))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MATCH(1,(TDU_Info!$C$5:$C$110=$T$6)*(TDU_Info!$B$5:$B$110&lt;=$B422),0)</f>
        <v>100</v>
      </c>
      <c r="U422" s="152">
        <f>100*(INDEX(TDU_Info!$E$5:$E$110,$T422)/T$11+INDEX(TDU_Info!$F$5:$F$110,$T422))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MATCH(1,(TDU_Info!$C$5:$C$110=$T$6)*(TDU_Info!$B$5:$B$110&lt;=$B423),0)</f>
        <v>100</v>
      </c>
      <c r="U423" s="152">
        <f>100*(INDEX(TDU_Info!$E$5:$E$110,$T423)/T$11+INDEX(TDU_Info!$F$5:$F$110,$T423))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MATCH(1,(TDU_Info!$C$5:$C$110=$T$6)*(TDU_Info!$B$5:$B$110&lt;=$B424),0)</f>
        <v>100</v>
      </c>
      <c r="U424" s="152">
        <f>100*(INDEX(TDU_Info!$E$5:$E$110,$T424)/T$11+INDEX(TDU_Info!$F$5:$F$110,$T424))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MATCH(1,(TDU_Info!$C$5:$C$110=$T$6)*(TDU_Info!$B$5:$B$110&lt;=$B425),0)</f>
        <v>100</v>
      </c>
      <c r="U425" s="152">
        <f>100*(INDEX(TDU_Info!$E$5:$E$110,$T425)/T$11+INDEX(TDU_Info!$F$5:$F$110,$T425))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MATCH(1,(TDU_Info!$C$5:$C$110=$T$6)*(TDU_Info!$B$5:$B$110&lt;=$B426),0)</f>
        <v>100</v>
      </c>
      <c r="U426" s="152">
        <f>100*(INDEX(TDU_Info!$E$5:$E$110,$T426)/T$11+INDEX(TDU_Info!$F$5:$F$110,$T426))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MATCH(1,(TDU_Info!$C$5:$C$110=$T$6)*(TDU_Info!$B$5:$B$110&lt;=$B427),0)</f>
        <v>100</v>
      </c>
      <c r="U427" s="152">
        <f>100*(INDEX(TDU_Info!$E$5:$E$110,$T427)/T$11+INDEX(TDU_Info!$F$5:$F$110,$T427))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MATCH(1,(TDU_Info!$C$5:$C$110=$T$6)*(TDU_Info!$B$5:$B$110&lt;=$B428),0)</f>
        <v>100</v>
      </c>
      <c r="U428" s="152">
        <f>100*(INDEX(TDU_Info!$E$5:$E$110,$T428)/T$11+INDEX(TDU_Info!$F$5:$F$110,$T428))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MATCH(1,(TDU_Info!$C$5:$C$110=$T$6)*(TDU_Info!$B$5:$B$110&lt;=$B429),0)</f>
        <v>100</v>
      </c>
      <c r="U429" s="152">
        <f>100*(INDEX(TDU_Info!$E$5:$E$110,$T429)/T$11+INDEX(TDU_Info!$F$5:$F$110,$T429))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MATCH(1,(TDU_Info!$C$5:$C$110=$T$6)*(TDU_Info!$B$5:$B$110&lt;=$B430),0)</f>
        <v>100</v>
      </c>
      <c r="U430" s="152">
        <f>100*(INDEX(TDU_Info!$E$5:$E$110,$T430)/T$11+INDEX(TDU_Info!$F$5:$F$110,$T430))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MATCH(1,(TDU_Info!$C$5:$C$110=$T$6)*(TDU_Info!$B$5:$B$110&lt;=$B431),0)</f>
        <v>100</v>
      </c>
      <c r="U431" s="152">
        <f>100*(INDEX(TDU_Info!$E$5:$E$110,$T431)/T$11+INDEX(TDU_Info!$F$5:$F$110,$T431))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MATCH(1,(TDU_Info!$C$5:$C$110=$T$6)*(TDU_Info!$B$5:$B$110&lt;=$B432),0)</f>
        <v>100</v>
      </c>
      <c r="U432" s="152">
        <f>100*(INDEX(TDU_Info!$E$5:$E$110,$T432)/T$11+INDEX(TDU_Info!$F$5:$F$110,$T432))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MATCH(1,(TDU_Info!$C$5:$C$110=$T$6)*(TDU_Info!$B$5:$B$110&lt;=$B433),0)</f>
        <v>100</v>
      </c>
      <c r="U433" s="152">
        <f>100*(INDEX(TDU_Info!$E$5:$E$110,$T433)/T$11+INDEX(TDU_Info!$F$5:$F$110,$T433))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MATCH(1,(TDU_Info!$C$5:$C$110=$T$6)*(TDU_Info!$B$5:$B$110&lt;=$B434),0)</f>
        <v>100</v>
      </c>
      <c r="U434" s="152">
        <f>100*(INDEX(TDU_Info!$E$5:$E$110,$T434)/T$11+INDEX(TDU_Info!$F$5:$F$110,$T434))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MATCH(1,(TDU_Info!$C$5:$C$110=$T$6)*(TDU_Info!$B$5:$B$110&lt;=$B435),0)</f>
        <v>100</v>
      </c>
      <c r="U435" s="152">
        <f>100*(INDEX(TDU_Info!$E$5:$E$110,$T435)/T$11+INDEX(TDU_Info!$F$5:$F$110,$T435))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MATCH(1,(TDU_Info!$C$5:$C$110=$T$6)*(TDU_Info!$B$5:$B$110&lt;=$B436),0)</f>
        <v>100</v>
      </c>
      <c r="U436" s="152">
        <f>100*(INDEX(TDU_Info!$E$5:$E$110,$T436)/T$11+INDEX(TDU_Info!$F$5:$F$110,$T436))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MATCH(1,(TDU_Info!$C$5:$C$110=$T$6)*(TDU_Info!$B$5:$B$110&lt;=$B437),0)</f>
        <v>100</v>
      </c>
      <c r="U437" s="152">
        <f>100*(INDEX(TDU_Info!$E$5:$E$110,$T437)/T$11+INDEX(TDU_Info!$F$5:$F$110,$T437))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MATCH(1,(TDU_Info!$C$5:$C$110=$T$6)*(TDU_Info!$B$5:$B$110&lt;=$B438),0)</f>
        <v>100</v>
      </c>
      <c r="U438" s="152">
        <f>100*(INDEX(TDU_Info!$E$5:$E$110,$T438)/T$11+INDEX(TDU_Info!$F$5:$F$110,$T438))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MATCH(1,(TDU_Info!$C$5:$C$110=$T$6)*(TDU_Info!$B$5:$B$110&lt;=$B439),0)</f>
        <v>100</v>
      </c>
      <c r="U439" s="152">
        <f>100*(INDEX(TDU_Info!$E$5:$E$110,$T439)/T$11+INDEX(TDU_Info!$F$5:$F$110,$T439))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MATCH(1,(TDU_Info!$C$5:$C$110=$T$6)*(TDU_Info!$B$5:$B$110&lt;=$B440),0)</f>
        <v>100</v>
      </c>
      <c r="U440" s="152">
        <f>100*(INDEX(TDU_Info!$E$5:$E$110,$T440)/T$11+INDEX(TDU_Info!$F$5:$F$110,$T440))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MATCH(1,(TDU_Info!$C$5:$C$110=$T$6)*(TDU_Info!$B$5:$B$110&lt;=$B441),0)</f>
        <v>99</v>
      </c>
      <c r="U441" s="152">
        <f>100*(INDEX(TDU_Info!$E$5:$E$110,$T441)/T$11+INDEX(TDU_Info!$F$5:$F$110,$T441))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MATCH(1,(TDU_Info!$C$5:$C$110=$T$6)*(TDU_Info!$B$5:$B$110&lt;=$B442),0)</f>
        <v>99</v>
      </c>
      <c r="U442" s="152">
        <f>100*(INDEX(TDU_Info!$E$5:$E$110,$T442)/T$11+INDEX(TDU_Info!$F$5:$F$110,$T442))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MATCH(1,(TDU_Info!$C$5:$C$110=$T$6)*(TDU_Info!$B$5:$B$110&lt;=$B443),0)</f>
        <v>99</v>
      </c>
      <c r="U443" s="152">
        <f>100*(INDEX(TDU_Info!$E$5:$E$110,$T443)/T$11+INDEX(TDU_Info!$F$5:$F$110,$T443))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MATCH(1,(TDU_Info!$C$5:$C$110=$T$6)*(TDU_Info!$B$5:$B$110&lt;=$B444),0)</f>
        <v>99</v>
      </c>
      <c r="U444" s="152">
        <f>100*(INDEX(TDU_Info!$E$5:$E$110,$T444)/T$11+INDEX(TDU_Info!$F$5:$F$110,$T444))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MATCH(1,(TDU_Info!$C$5:$C$110=$T$6)*(TDU_Info!$B$5:$B$110&lt;=$B445),0)</f>
        <v>99</v>
      </c>
      <c r="U445" s="152">
        <f>100*(INDEX(TDU_Info!$E$5:$E$110,$T445)/T$11+INDEX(TDU_Info!$F$5:$F$110,$T445))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MATCH(1,(TDU_Info!$C$5:$C$110=$T$6)*(TDU_Info!$B$5:$B$110&lt;=$B446),0)</f>
        <v>99</v>
      </c>
      <c r="U446" s="152">
        <f>100*(INDEX(TDU_Info!$E$5:$E$110,$T446)/T$11+INDEX(TDU_Info!$F$5:$F$110,$T446))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MATCH(1,(TDU_Info!$C$5:$C$110=$T$6)*(TDU_Info!$B$5:$B$110&lt;=$B447),0)</f>
        <v>99</v>
      </c>
      <c r="U447" s="152">
        <f>100*(INDEX(TDU_Info!$E$5:$E$110,$T447)/T$11+INDEX(TDU_Info!$F$5:$F$110,$T447))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MATCH(1,(TDU_Info!$C$5:$C$110=$T$6)*(TDU_Info!$B$5:$B$110&lt;=$B448),0)</f>
        <v>99</v>
      </c>
      <c r="U448" s="152">
        <f>100*(INDEX(TDU_Info!$E$5:$E$110,$T448)/T$11+INDEX(TDU_Info!$F$5:$F$110,$T448))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MATCH(1,(TDU_Info!$C$5:$C$110=$T$6)*(TDU_Info!$B$5:$B$110&lt;=$B449),0)</f>
        <v>99</v>
      </c>
      <c r="U449" s="152">
        <f>100*(INDEX(TDU_Info!$E$5:$E$110,$T449)/T$11+INDEX(TDU_Info!$F$5:$F$110,$T449))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MATCH(1,(TDU_Info!$C$5:$C$110=$T$6)*(TDU_Info!$B$5:$B$110&lt;=$B450),0)</f>
        <v>99</v>
      </c>
      <c r="U450" s="152">
        <f>100*(INDEX(TDU_Info!$E$5:$E$110,$T450)/T$11+INDEX(TDU_Info!$F$5:$F$110,$T450))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MATCH(1,(TDU_Info!$C$5:$C$110=$T$6)*(TDU_Info!$B$5:$B$110&lt;=$B451),0)</f>
        <v>99</v>
      </c>
      <c r="U451" s="152">
        <f>100*(INDEX(TDU_Info!$E$5:$E$110,$T451)/T$11+INDEX(TDU_Info!$F$5:$F$110,$T451))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MATCH(1,(TDU_Info!$C$5:$C$110=$T$6)*(TDU_Info!$B$5:$B$110&lt;=$B452),0)</f>
        <v>99</v>
      </c>
      <c r="U452" s="152">
        <f>100*(INDEX(TDU_Info!$E$5:$E$110,$T452)/T$11+INDEX(TDU_Info!$F$5:$F$110,$T452))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MATCH(1,(TDU_Info!$C$5:$C$110=$T$6)*(TDU_Info!$B$5:$B$110&lt;=$B453),0)</f>
        <v>99</v>
      </c>
      <c r="U453" s="152">
        <f>100*(INDEX(TDU_Info!$E$5:$E$110,$T453)/T$11+INDEX(TDU_Info!$F$5:$F$110,$T453))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MATCH(1,(TDU_Info!$C$5:$C$110=$T$6)*(TDU_Info!$B$5:$B$110&lt;=$B454),0)</f>
        <v>99</v>
      </c>
      <c r="U454" s="152">
        <f>100*(INDEX(TDU_Info!$E$5:$E$110,$T454)/T$11+INDEX(TDU_Info!$F$5:$F$110,$T454))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MATCH(1,(TDU_Info!$C$5:$C$110=$T$6)*(TDU_Info!$B$5:$B$110&lt;=$B455),0)</f>
        <v>99</v>
      </c>
      <c r="U455" s="152">
        <f>100*(INDEX(TDU_Info!$E$5:$E$110,$T455)/T$11+INDEX(TDU_Info!$F$5:$F$110,$T455))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MATCH(1,(TDU_Info!$C$5:$C$110=$T$6)*(TDU_Info!$B$5:$B$110&lt;=$B456),0)</f>
        <v>99</v>
      </c>
      <c r="U456" s="152">
        <f>100*(INDEX(TDU_Info!$E$5:$E$110,$T456)/T$11+INDEX(TDU_Info!$F$5:$F$110,$T456))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MATCH(1,(TDU_Info!$C$5:$C$110=$T$6)*(TDU_Info!$B$5:$B$110&lt;=$B457),0)</f>
        <v>99</v>
      </c>
      <c r="U457" s="152">
        <f>100*(INDEX(TDU_Info!$E$5:$E$110,$T457)/T$11+INDEX(TDU_Info!$F$5:$F$110,$T457))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MATCH(1,(TDU_Info!$C$5:$C$110=$T$6)*(TDU_Info!$B$5:$B$110&lt;=$B458),0)</f>
        <v>99</v>
      </c>
      <c r="U458" s="152">
        <f>100*(INDEX(TDU_Info!$E$5:$E$110,$T458)/T$11+INDEX(TDU_Info!$F$5:$F$110,$T458))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MATCH(1,(TDU_Info!$C$5:$C$110=$T$6)*(TDU_Info!$B$5:$B$110&lt;=$B459),0)</f>
        <v>99</v>
      </c>
      <c r="U459" s="152">
        <f>100*(INDEX(TDU_Info!$E$5:$E$110,$T459)/T$11+INDEX(TDU_Info!$F$5:$F$110,$T459))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MATCH(1,(TDU_Info!$C$5:$C$110=$T$6)*(TDU_Info!$B$5:$B$110&lt;=$B460),0)</f>
        <v>99</v>
      </c>
      <c r="U460" s="152">
        <f>100*(INDEX(TDU_Info!$E$5:$E$110,$T460)/T$11+INDEX(TDU_Info!$F$5:$F$110,$T460))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MATCH(1,(TDU_Info!$C$5:$C$110=$T$6)*(TDU_Info!$B$5:$B$110&lt;=$B461),0)</f>
        <v>99</v>
      </c>
      <c r="U461" s="152">
        <f>100*(INDEX(TDU_Info!$E$5:$E$110,$T461)/T$11+INDEX(TDU_Info!$F$5:$F$110,$T461))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MATCH(1,(TDU_Info!$C$5:$C$110=$T$6)*(TDU_Info!$B$5:$B$110&lt;=$B462),0)</f>
        <v>99</v>
      </c>
      <c r="U462" s="152">
        <f>100*(INDEX(TDU_Info!$E$5:$E$110,$T462)/T$11+INDEX(TDU_Info!$F$5:$F$110,$T462))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MATCH(1,(TDU_Info!$C$5:$C$110=$T$6)*(TDU_Info!$B$5:$B$110&lt;=$B463),0)</f>
        <v>99</v>
      </c>
      <c r="U463" s="152">
        <f>100*(INDEX(TDU_Info!$E$5:$E$110,$T463)/T$11+INDEX(TDU_Info!$F$5:$F$110,$T463))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MATCH(1,(TDU_Info!$C$5:$C$110=$T$6)*(TDU_Info!$B$5:$B$110&lt;=$B464),0)</f>
        <v>99</v>
      </c>
      <c r="U464" s="152">
        <f>100*(INDEX(TDU_Info!$E$5:$E$110,$T464)/T$11+INDEX(TDU_Info!$F$5:$F$110,$T464))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MATCH(1,(TDU_Info!$C$5:$C$110=$T$6)*(TDU_Info!$B$5:$B$110&lt;=$B465),0)</f>
        <v>99</v>
      </c>
      <c r="U465" s="152">
        <f>100*(INDEX(TDU_Info!$E$5:$E$110,$T465)/T$11+INDEX(TDU_Info!$F$5:$F$110,$T465))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MATCH(1,(TDU_Info!$C$5:$C$110=$T$6)*(TDU_Info!$B$5:$B$110&lt;=$B466),0)</f>
        <v>99</v>
      </c>
      <c r="U466" s="152">
        <f>100*(INDEX(TDU_Info!$E$5:$E$110,$T466)/T$11+INDEX(TDU_Info!$F$5:$F$110,$T466))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MATCH(1,(TDU_Info!$C$5:$C$110=$T$6)*(TDU_Info!$B$5:$B$110&lt;=$B467),0)</f>
        <v>99</v>
      </c>
      <c r="U467" s="152">
        <f>100*(INDEX(TDU_Info!$E$5:$E$110,$T467)/T$11+INDEX(TDU_Info!$F$5:$F$110,$T467))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MATCH(1,(TDU_Info!$C$5:$C$110=$T$6)*(TDU_Info!$B$5:$B$110&lt;=$B468),0)</f>
        <v>99</v>
      </c>
      <c r="U468" s="152">
        <f>100*(INDEX(TDU_Info!$E$5:$E$110,$T468)/T$11+INDEX(TDU_Info!$F$5:$F$110,$T468))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MATCH(1,(TDU_Info!$C$5:$C$110=$T$6)*(TDU_Info!$B$5:$B$110&lt;=$B469),0)</f>
        <v>99</v>
      </c>
      <c r="U469" s="152">
        <f>100*(INDEX(TDU_Info!$E$5:$E$110,$T469)/T$11+INDEX(TDU_Info!$F$5:$F$110,$T469))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MATCH(1,(TDU_Info!$C$5:$C$110=$T$6)*(TDU_Info!$B$5:$B$110&lt;=$B470),0)</f>
        <v>99</v>
      </c>
      <c r="U470" s="152">
        <f>100*(INDEX(TDU_Info!$E$5:$E$110,$T470)/T$11+INDEX(TDU_Info!$F$5:$F$110,$T470))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MATCH(1,(TDU_Info!$C$5:$C$110=$T$6)*(TDU_Info!$B$5:$B$110&lt;=$B471),0)</f>
        <v>99</v>
      </c>
      <c r="U471" s="152">
        <f>100*(INDEX(TDU_Info!$E$5:$E$110,$T471)/T$11+INDEX(TDU_Info!$F$5:$F$110,$T471))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MATCH(1,(TDU_Info!$C$5:$C$110=$T$6)*(TDU_Info!$B$5:$B$110&lt;=$B472),0)</f>
        <v>99</v>
      </c>
      <c r="U472" s="152">
        <f>100*(INDEX(TDU_Info!$E$5:$E$110,$T472)/T$11+INDEX(TDU_Info!$F$5:$F$110,$T472))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MATCH(1,(TDU_Info!$C$5:$C$110=$T$6)*(TDU_Info!$B$5:$B$110&lt;=$B473),0)</f>
        <v>99</v>
      </c>
      <c r="U473" s="152">
        <f>100*(INDEX(TDU_Info!$E$5:$E$110,$T473)/T$11+INDEX(TDU_Info!$F$5:$F$110,$T473))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MATCH(1,(TDU_Info!$C$5:$C$110=$T$6)*(TDU_Info!$B$5:$B$110&lt;=$B474),0)</f>
        <v>99</v>
      </c>
      <c r="U474" s="152">
        <f>100*(INDEX(TDU_Info!$E$5:$E$110,$T474)/T$11+INDEX(TDU_Info!$F$5:$F$110,$T474))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MATCH(1,(TDU_Info!$C$5:$C$110=$T$6)*(TDU_Info!$B$5:$B$110&lt;=$B475),0)</f>
        <v>99</v>
      </c>
      <c r="U475" s="152">
        <f>100*(INDEX(TDU_Info!$E$5:$E$110,$T475)/T$11+INDEX(TDU_Info!$F$5:$F$110,$T475))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MATCH(1,(TDU_Info!$C$5:$C$110=$T$6)*(TDU_Info!$B$5:$B$110&lt;=$B476),0)</f>
        <v>99</v>
      </c>
      <c r="U476" s="152">
        <f>100*(INDEX(TDU_Info!$E$5:$E$110,$T476)/T$11+INDEX(TDU_Info!$F$5:$F$110,$T476))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MATCH(1,(TDU_Info!$C$5:$C$110=$T$6)*(TDU_Info!$B$5:$B$110&lt;=$B477),0)</f>
        <v>99</v>
      </c>
      <c r="U477" s="152">
        <f>100*(INDEX(TDU_Info!$E$5:$E$110,$T477)/T$11+INDEX(TDU_Info!$F$5:$F$110,$T477))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MATCH(1,(TDU_Info!$C$5:$C$110=$T$6)*(TDU_Info!$B$5:$B$110&lt;=$B478),0)</f>
        <v>99</v>
      </c>
      <c r="U478" s="152">
        <f>100*(INDEX(TDU_Info!$E$5:$E$110,$T478)/T$11+INDEX(TDU_Info!$F$5:$F$110,$T478))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MATCH(1,(TDU_Info!$C$5:$C$110=$T$6)*(TDU_Info!$B$5:$B$110&lt;=$B479),0)</f>
        <v>99</v>
      </c>
      <c r="U479" s="152">
        <f>100*(INDEX(TDU_Info!$E$5:$E$110,$T479)/T$11+INDEX(TDU_Info!$F$5:$F$110,$T479))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MATCH(1,(TDU_Info!$C$5:$C$110=$T$6)*(TDU_Info!$B$5:$B$110&lt;=$B480),0)</f>
        <v>99</v>
      </c>
      <c r="U480" s="152">
        <f>100*(INDEX(TDU_Info!$E$5:$E$110,$T480)/T$11+INDEX(TDU_Info!$F$5:$F$110,$T480))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MATCH(1,(TDU_Info!$C$5:$C$110=$T$6)*(TDU_Info!$B$5:$B$110&lt;=$B481),0)</f>
        <v>99</v>
      </c>
      <c r="U481" s="152">
        <f>100*(INDEX(TDU_Info!$E$5:$E$110,$T481)/T$11+INDEX(TDU_Info!$F$5:$F$110,$T481))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MATCH(1,(TDU_Info!$C$5:$C$110=$T$6)*(TDU_Info!$B$5:$B$110&lt;=$B482),0)</f>
        <v>99</v>
      </c>
      <c r="U482" s="152">
        <f>100*(INDEX(TDU_Info!$E$5:$E$110,$T482)/T$11+INDEX(TDU_Info!$F$5:$F$110,$T482))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MATCH(1,(TDU_Info!$C$5:$C$110=$T$6)*(TDU_Info!$B$5:$B$110&lt;=$B483),0)</f>
        <v>99</v>
      </c>
      <c r="U483" s="152">
        <f>100*(INDEX(TDU_Info!$E$5:$E$110,$T483)/T$11+INDEX(TDU_Info!$F$5:$F$110,$T483))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MATCH(1,(TDU_Info!$C$5:$C$110=$T$6)*(TDU_Info!$B$5:$B$110&lt;=$B484),0)</f>
        <v>99</v>
      </c>
      <c r="U484" s="152">
        <f>100*(INDEX(TDU_Info!$E$5:$E$110,$T484)/T$11+INDEX(TDU_Info!$F$5:$F$110,$T484))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MATCH(1,(TDU_Info!$C$5:$C$110=$T$6)*(TDU_Info!$B$5:$B$110&lt;=$B485),0)</f>
        <v>99</v>
      </c>
      <c r="U485" s="152">
        <f>100*(INDEX(TDU_Info!$E$5:$E$110,$T485)/T$11+INDEX(TDU_Info!$F$5:$F$110,$T485))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MATCH(1,(TDU_Info!$C$5:$C$110=$T$6)*(TDU_Info!$B$5:$B$110&lt;=$B486),0)</f>
        <v>99</v>
      </c>
      <c r="U486" s="152">
        <f>100*(INDEX(TDU_Info!$E$5:$E$110,$T486)/T$11+INDEX(TDU_Info!$F$5:$F$110,$T486))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MATCH(1,(TDU_Info!$C$5:$C$110=$T$6)*(TDU_Info!$B$5:$B$110&lt;=$B487),0)</f>
        <v>99</v>
      </c>
      <c r="U487" s="152">
        <f>100*(INDEX(TDU_Info!$E$5:$E$110,$T487)/T$11+INDEX(TDU_Info!$F$5:$F$110,$T487))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MATCH(1,(TDU_Info!$C$5:$C$110=$T$6)*(TDU_Info!$B$5:$B$110&lt;=$B488),0)</f>
        <v>99</v>
      </c>
      <c r="U488" s="152">
        <f>100*(INDEX(TDU_Info!$E$5:$E$110,$T488)/T$11+INDEX(TDU_Info!$F$5:$F$110,$T488))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MATCH(1,(TDU_Info!$C$5:$C$110=$T$6)*(TDU_Info!$B$5:$B$110&lt;=$B489),0)</f>
        <v>99</v>
      </c>
      <c r="U489" s="152">
        <f>100*(INDEX(TDU_Info!$E$5:$E$110,$T489)/T$11+INDEX(TDU_Info!$F$5:$F$110,$T489))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MATCH(1,(TDU_Info!$C$5:$C$110=$T$6)*(TDU_Info!$B$5:$B$110&lt;=$B490),0)</f>
        <v>99</v>
      </c>
      <c r="U490" s="152">
        <f>100*(INDEX(TDU_Info!$E$5:$E$110,$T490)/T$11+INDEX(TDU_Info!$F$5:$F$110,$T490))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MATCH(1,(TDU_Info!$C$5:$C$110=$T$6)*(TDU_Info!$B$5:$B$110&lt;=$B491),0)</f>
        <v>99</v>
      </c>
      <c r="U491" s="152">
        <f>100*(INDEX(TDU_Info!$E$5:$E$110,$T491)/T$11+INDEX(TDU_Info!$F$5:$F$110,$T491))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MATCH(1,(TDU_Info!$C$5:$C$110=$T$6)*(TDU_Info!$B$5:$B$110&lt;=$B492),0)</f>
        <v>99</v>
      </c>
      <c r="U492" s="152">
        <f>100*(INDEX(TDU_Info!$E$5:$E$110,$T492)/T$11+INDEX(TDU_Info!$F$5:$F$110,$T492))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MATCH(1,(TDU_Info!$C$5:$C$110=$T$6)*(TDU_Info!$B$5:$B$110&lt;=$B493),0)</f>
        <v>99</v>
      </c>
      <c r="U493" s="152">
        <f>100*(INDEX(TDU_Info!$E$5:$E$110,$T493)/T$11+INDEX(TDU_Info!$F$5:$F$110,$T493))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MATCH(1,(TDU_Info!$C$5:$C$110=$T$6)*(TDU_Info!$B$5:$B$110&lt;=$B494),0)</f>
        <v>99</v>
      </c>
      <c r="U494" s="152">
        <f>100*(INDEX(TDU_Info!$E$5:$E$110,$T494)/T$11+INDEX(TDU_Info!$F$5:$F$110,$T494))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MATCH(1,(TDU_Info!$C$5:$C$110=$T$6)*(TDU_Info!$B$5:$B$110&lt;=$B495),0)</f>
        <v>99</v>
      </c>
      <c r="U495" s="152">
        <f>100*(INDEX(TDU_Info!$E$5:$E$110,$T495)/T$11+INDEX(TDU_Info!$F$5:$F$110,$T495))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MATCH(1,(TDU_Info!$C$5:$C$110=$T$6)*(TDU_Info!$B$5:$B$110&lt;=$B496),0)</f>
        <v>99</v>
      </c>
      <c r="U496" s="152">
        <f>100*(INDEX(TDU_Info!$E$5:$E$110,$T496)/T$11+INDEX(TDU_Info!$F$5:$F$110,$T496))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MATCH(1,(TDU_Info!$C$5:$C$110=$T$6)*(TDU_Info!$B$5:$B$110&lt;=$B497),0)</f>
        <v>99</v>
      </c>
      <c r="U497" s="152">
        <f>100*(INDEX(TDU_Info!$E$5:$E$110,$T497)/T$11+INDEX(TDU_Info!$F$5:$F$110,$T497))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MATCH(1,(TDU_Info!$C$5:$C$110=$T$6)*(TDU_Info!$B$5:$B$110&lt;=$B498),0)</f>
        <v>99</v>
      </c>
      <c r="U498" s="152">
        <f>100*(INDEX(TDU_Info!$E$5:$E$110,$T498)/T$11+INDEX(TDU_Info!$F$5:$F$110,$T498))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MATCH(1,(TDU_Info!$C$5:$C$110=$T$6)*(TDU_Info!$B$5:$B$110&lt;=$B499),0)</f>
        <v>99</v>
      </c>
      <c r="U499" s="152">
        <f>100*(INDEX(TDU_Info!$E$5:$E$110,$T499)/T$11+INDEX(TDU_Info!$F$5:$F$110,$T499))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MATCH(1,(TDU_Info!$C$5:$C$110=$T$6)*(TDU_Info!$B$5:$B$110&lt;=$B500),0)</f>
        <v>99</v>
      </c>
      <c r="U500" s="152">
        <f>100*(INDEX(TDU_Info!$E$5:$E$110,$T500)/T$11+INDEX(TDU_Info!$F$5:$F$110,$T500))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MATCH(1,(TDU_Info!$C$5:$C$110=$T$6)*(TDU_Info!$B$5:$B$110&lt;=$B501),0)</f>
        <v>99</v>
      </c>
      <c r="U501" s="152">
        <f>100*(INDEX(TDU_Info!$E$5:$E$110,$T501)/T$11+INDEX(TDU_Info!$F$5:$F$110,$T501))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MATCH(1,(TDU_Info!$C$5:$C$110=$T$6)*(TDU_Info!$B$5:$B$110&lt;=$B502),0)</f>
        <v>99</v>
      </c>
      <c r="U502" s="152">
        <f>100*(INDEX(TDU_Info!$E$5:$E$110,$T502)/T$11+INDEX(TDU_Info!$F$5:$F$110,$T502))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MATCH(1,(TDU_Info!$C$5:$C$110=$T$6)*(TDU_Info!$B$5:$B$110&lt;=$B503),0)</f>
        <v>99</v>
      </c>
      <c r="U503" s="152">
        <f>100*(INDEX(TDU_Info!$E$5:$E$110,$T503)/T$11+INDEX(TDU_Info!$F$5:$F$110,$T503))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MATCH(1,(TDU_Info!$C$5:$C$110=$T$6)*(TDU_Info!$B$5:$B$110&lt;=$B504),0)</f>
        <v>99</v>
      </c>
      <c r="U504" s="152">
        <f>100*(INDEX(TDU_Info!$E$5:$E$110,$T504)/T$11+INDEX(TDU_Info!$F$5:$F$110,$T504))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MATCH(1,(TDU_Info!$C$5:$C$110=$T$6)*(TDU_Info!$B$5:$B$110&lt;=$B505),0)</f>
        <v>99</v>
      </c>
      <c r="U505" s="152">
        <f>100*(INDEX(TDU_Info!$E$5:$E$110,$T505)/T$11+INDEX(TDU_Info!$F$5:$F$110,$T505))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MATCH(1,(TDU_Info!$C$5:$C$110=$T$6)*(TDU_Info!$B$5:$B$110&lt;=$B506),0)</f>
        <v>99</v>
      </c>
      <c r="U506" s="152">
        <f>100*(INDEX(TDU_Info!$E$5:$E$110,$T506)/T$11+INDEX(TDU_Info!$F$5:$F$110,$T506))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MATCH(1,(TDU_Info!$C$5:$C$110=$T$6)*(TDU_Info!$B$5:$B$110&lt;=$B507),0)</f>
        <v>99</v>
      </c>
      <c r="U507" s="152">
        <f>100*(INDEX(TDU_Info!$E$5:$E$110,$T507)/T$11+INDEX(TDU_Info!$F$5:$F$110,$T507))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MATCH(1,(TDU_Info!$C$5:$C$110=$T$6)*(TDU_Info!$B$5:$B$110&lt;=$B508),0)</f>
        <v>99</v>
      </c>
      <c r="U508" s="152">
        <f>100*(INDEX(TDU_Info!$E$5:$E$110,$T508)/T$11+INDEX(TDU_Info!$F$5:$F$110,$T508))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MATCH(1,(TDU_Info!$C$5:$C$110=$T$6)*(TDU_Info!$B$5:$B$110&lt;=$B509),0)</f>
        <v>99</v>
      </c>
      <c r="U509" s="152">
        <f>100*(INDEX(TDU_Info!$E$5:$E$110,$T509)/T$11+INDEX(TDU_Info!$F$5:$F$110,$T509))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MATCH(1,(TDU_Info!$C$5:$C$110=$T$6)*(TDU_Info!$B$5:$B$110&lt;=$B510),0)</f>
        <v>99</v>
      </c>
      <c r="U510" s="152">
        <f>100*(INDEX(TDU_Info!$E$5:$E$110,$T510)/T$11+INDEX(TDU_Info!$F$5:$F$110,$T510))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MATCH(1,(TDU_Info!$C$5:$C$110=$T$6)*(TDU_Info!$B$5:$B$110&lt;=$B511),0)</f>
        <v>99</v>
      </c>
      <c r="U511" s="152">
        <f>100*(INDEX(TDU_Info!$E$5:$E$110,$T511)/T$11+INDEX(TDU_Info!$F$5:$F$110,$T511))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MATCH(1,(TDU_Info!$C$5:$C$110=$T$6)*(TDU_Info!$B$5:$B$110&lt;=$B512),0)</f>
        <v>99</v>
      </c>
      <c r="U512" s="152">
        <f>100*(INDEX(TDU_Info!$E$5:$E$110,$T512)/T$11+INDEX(TDU_Info!$F$5:$F$110,$T512))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MATCH(1,(TDU_Info!$C$5:$C$110=$T$6)*(TDU_Info!$B$5:$B$110&lt;=$B513),0)</f>
        <v>99</v>
      </c>
      <c r="U513" s="152">
        <f>100*(INDEX(TDU_Info!$E$5:$E$110,$T513)/T$11+INDEX(TDU_Info!$F$5:$F$110,$T513))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MATCH(1,(TDU_Info!$C$5:$C$110=$T$6)*(TDU_Info!$B$5:$B$110&lt;=$B514),0)</f>
        <v>99</v>
      </c>
      <c r="U514" s="152">
        <f>100*(INDEX(TDU_Info!$E$5:$E$110,$T514)/T$11+INDEX(TDU_Info!$F$5:$F$110,$T514))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MATCH(1,(TDU_Info!$C$5:$C$110=$T$6)*(TDU_Info!$B$5:$B$110&lt;=$B515),0)</f>
        <v>99</v>
      </c>
      <c r="U515" s="152">
        <f>100*(INDEX(TDU_Info!$E$5:$E$110,$T515)/T$11+INDEX(TDU_Info!$F$5:$F$110,$T515))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MATCH(1,(TDU_Info!$C$5:$C$110=$T$6)*(TDU_Info!$B$5:$B$110&lt;=$B516),0)</f>
        <v>99</v>
      </c>
      <c r="U516" s="152">
        <f>100*(INDEX(TDU_Info!$E$5:$E$110,$T516)/T$11+INDEX(TDU_Info!$F$5:$F$110,$T516))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MATCH(1,(TDU_Info!$C$5:$C$110=$T$6)*(TDU_Info!$B$5:$B$110&lt;=$B517),0)</f>
        <v>99</v>
      </c>
      <c r="U517" s="152">
        <f>100*(INDEX(TDU_Info!$E$5:$E$110,$T517)/T$11+INDEX(TDU_Info!$F$5:$F$110,$T517))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MATCH(1,(TDU_Info!$C$5:$C$110=$T$6)*(TDU_Info!$B$5:$B$110&lt;=$B518),0)</f>
        <v>99</v>
      </c>
      <c r="U518" s="152">
        <f>100*(INDEX(TDU_Info!$E$5:$E$110,$T518)/T$11+INDEX(TDU_Info!$F$5:$F$110,$T518))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MATCH(1,(TDU_Info!$C$5:$C$110=$T$6)*(TDU_Info!$B$5:$B$110&lt;=$B519),0)</f>
        <v>99</v>
      </c>
      <c r="U519" s="152">
        <f>100*(INDEX(TDU_Info!$E$5:$E$110,$T519)/T$11+INDEX(TDU_Info!$F$5:$F$110,$T519))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MATCH(1,(TDU_Info!$C$5:$C$110=$T$6)*(TDU_Info!$B$5:$B$110&lt;=$B520),0)</f>
        <v>99</v>
      </c>
      <c r="U520" s="152">
        <f>100*(INDEX(TDU_Info!$E$5:$E$110,$T520)/T$11+INDEX(TDU_Info!$F$5:$F$110,$T520))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MATCH(1,(TDU_Info!$C$5:$C$110=$T$6)*(TDU_Info!$B$5:$B$110&lt;=$B521),0)</f>
        <v>99</v>
      </c>
      <c r="U521" s="152">
        <f>100*(INDEX(TDU_Info!$E$5:$E$110,$T521)/T$11+INDEX(TDU_Info!$F$5:$F$110,$T521))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MATCH(1,(TDU_Info!$C$5:$C$110=$T$6)*(TDU_Info!$B$5:$B$110&lt;=$B522),0)</f>
        <v>99</v>
      </c>
      <c r="U522" s="152">
        <f>100*(INDEX(TDU_Info!$E$5:$E$110,$T522)/T$11+INDEX(TDU_Info!$F$5:$F$110,$T522))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MATCH(1,(TDU_Info!$C$5:$C$110=$T$6)*(TDU_Info!$B$5:$B$110&lt;=$B523),0)</f>
        <v>99</v>
      </c>
      <c r="U523" s="152">
        <f>100*(INDEX(TDU_Info!$E$5:$E$110,$T523)/T$11+INDEX(TDU_Info!$F$5:$F$110,$T523))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MATCH(1,(TDU_Info!$C$5:$C$110=$T$6)*(TDU_Info!$B$5:$B$110&lt;=$B524),0)</f>
        <v>99</v>
      </c>
      <c r="U524" s="152">
        <f>100*(INDEX(TDU_Info!$E$5:$E$110,$T524)/T$11+INDEX(TDU_Info!$F$5:$F$110,$T524))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MATCH(1,(TDU_Info!$C$5:$C$110=$T$6)*(TDU_Info!$B$5:$B$110&lt;=$B525),0)</f>
        <v>99</v>
      </c>
      <c r="U525" s="152">
        <f>100*(INDEX(TDU_Info!$E$5:$E$110,$T525)/T$11+INDEX(TDU_Info!$F$5:$F$110,$T525))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MATCH(1,(TDU_Info!$C$5:$C$110=$T$6)*(TDU_Info!$B$5:$B$110&lt;=$B526),0)</f>
        <v>99</v>
      </c>
      <c r="U526" s="152">
        <f>100*(INDEX(TDU_Info!$E$5:$E$110,$T526)/T$11+INDEX(TDU_Info!$F$5:$F$110,$T526))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MATCH(1,(TDU_Info!$C$5:$C$110=$T$6)*(TDU_Info!$B$5:$B$110&lt;=$B527),0)</f>
        <v>99</v>
      </c>
      <c r="U527" s="152">
        <f>100*(INDEX(TDU_Info!$E$5:$E$110,$T527)/T$11+INDEX(TDU_Info!$F$5:$F$110,$T527))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MATCH(1,(TDU_Info!$C$5:$C$110=$T$6)*(TDU_Info!$B$5:$B$110&lt;=$B528),0)</f>
        <v>99</v>
      </c>
      <c r="U528" s="152">
        <f>100*(INDEX(TDU_Info!$E$5:$E$110,$T528)/T$11+INDEX(TDU_Info!$F$5:$F$110,$T528))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MATCH(1,(TDU_Info!$C$5:$C$110=$T$6)*(TDU_Info!$B$5:$B$110&lt;=$B529),0)</f>
        <v>99</v>
      </c>
      <c r="U529" s="152">
        <f>100*(INDEX(TDU_Info!$E$5:$E$110,$T529)/T$11+INDEX(TDU_Info!$F$5:$F$110,$T529))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MATCH(1,(TDU_Info!$C$5:$C$110=$T$6)*(TDU_Info!$B$5:$B$110&lt;=$B530),0)</f>
        <v>99</v>
      </c>
      <c r="U530" s="152">
        <f>100*(INDEX(TDU_Info!$E$5:$E$110,$T530)/T$11+INDEX(TDU_Info!$F$5:$F$110,$T530))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MATCH(1,(TDU_Info!$C$5:$C$110=$T$6)*(TDU_Info!$B$5:$B$110&lt;=$B531),0)</f>
        <v>99</v>
      </c>
      <c r="U531" s="152">
        <f>100*(INDEX(TDU_Info!$E$5:$E$110,$T531)/T$11+INDEX(TDU_Info!$F$5:$F$110,$T531))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MATCH(1,(TDU_Info!$C$5:$C$110=$T$6)*(TDU_Info!$B$5:$B$110&lt;=$B532),0)</f>
        <v>99</v>
      </c>
      <c r="U532" s="152">
        <f>100*(INDEX(TDU_Info!$E$5:$E$110,$T532)/T$11+INDEX(TDU_Info!$F$5:$F$110,$T532))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MATCH(1,(TDU_Info!$C$5:$C$110=$T$6)*(TDU_Info!$B$5:$B$110&lt;=$B533),0)</f>
        <v>99</v>
      </c>
      <c r="U533" s="152">
        <f>100*(INDEX(TDU_Info!$E$5:$E$110,$T533)/T$11+INDEX(TDU_Info!$F$5:$F$110,$T533))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MATCH(1,(TDU_Info!$C$5:$C$110=$T$6)*(TDU_Info!$B$5:$B$110&lt;=$B534),0)</f>
        <v>99</v>
      </c>
      <c r="U534" s="152">
        <f>100*(INDEX(TDU_Info!$E$5:$E$110,$T534)/T$11+INDEX(TDU_Info!$F$5:$F$110,$T534))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MATCH(1,(TDU_Info!$C$5:$C$110=$T$6)*(TDU_Info!$B$5:$B$110&lt;=$B535),0)</f>
        <v>99</v>
      </c>
      <c r="U535" s="152">
        <f>100*(INDEX(TDU_Info!$E$5:$E$110,$T535)/T$11+INDEX(TDU_Info!$F$5:$F$110,$T535))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MATCH(1,(TDU_Info!$C$5:$C$110=$T$6)*(TDU_Info!$B$5:$B$110&lt;=$B536),0)</f>
        <v>99</v>
      </c>
      <c r="U536" s="152">
        <f>100*(INDEX(TDU_Info!$E$5:$E$110,$T536)/T$11+INDEX(TDU_Info!$F$5:$F$110,$T536))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MATCH(1,(TDU_Info!$C$5:$C$110=$T$6)*(TDU_Info!$B$5:$B$110&lt;=$B537),0)</f>
        <v>99</v>
      </c>
      <c r="U537" s="152">
        <f>100*(INDEX(TDU_Info!$E$5:$E$110,$T537)/T$11+INDEX(TDU_Info!$F$5:$F$110,$T537))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MATCH(1,(TDU_Info!$C$5:$C$110=$T$6)*(TDU_Info!$B$5:$B$110&lt;=$B538),0)</f>
        <v>99</v>
      </c>
      <c r="U538" s="152">
        <f>100*(INDEX(TDU_Info!$E$5:$E$110,$T538)/T$11+INDEX(TDU_Info!$F$5:$F$110,$T538))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MATCH(1,(TDU_Info!$C$5:$C$110=$T$6)*(TDU_Info!$B$5:$B$110&lt;=$B539),0)</f>
        <v>99</v>
      </c>
      <c r="U539" s="152">
        <f>100*(INDEX(TDU_Info!$E$5:$E$110,$T539)/T$11+INDEX(TDU_Info!$F$5:$F$110,$T539))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MATCH(1,(TDU_Info!$C$5:$C$110=$T$6)*(TDU_Info!$B$5:$B$110&lt;=$B540),0)</f>
        <v>99</v>
      </c>
      <c r="U540" s="152">
        <f>100*(INDEX(TDU_Info!$E$5:$E$110,$T540)/T$11+INDEX(TDU_Info!$F$5:$F$110,$T540))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MATCH(1,(TDU_Info!$C$5:$C$110=$T$6)*(TDU_Info!$B$5:$B$110&lt;=$B541),0)</f>
        <v>99</v>
      </c>
      <c r="U541" s="152">
        <f>100*(INDEX(TDU_Info!$E$5:$E$110,$T541)/T$11+INDEX(TDU_Info!$F$5:$F$110,$T541))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MATCH(1,(TDU_Info!$C$5:$C$110=$T$6)*(TDU_Info!$B$5:$B$110&lt;=$B542),0)</f>
        <v>99</v>
      </c>
      <c r="U542" s="152">
        <f>100*(INDEX(TDU_Info!$E$5:$E$110,$T542)/T$11+INDEX(TDU_Info!$F$5:$F$110,$T542))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MATCH(1,(TDU_Info!$C$5:$C$110=$T$6)*(TDU_Info!$B$5:$B$110&lt;=$B543),0)</f>
        <v>99</v>
      </c>
      <c r="U543" s="152">
        <f>100*(INDEX(TDU_Info!$E$5:$E$110,$T543)/T$11+INDEX(TDU_Info!$F$5:$F$110,$T543))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MATCH(1,(TDU_Info!$C$5:$C$110=$T$6)*(TDU_Info!$B$5:$B$110&lt;=$B544),0)</f>
        <v>99</v>
      </c>
      <c r="U544" s="152">
        <f>100*(INDEX(TDU_Info!$E$5:$E$110,$T544)/T$11+INDEX(TDU_Info!$F$5:$F$110,$T544))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MATCH(1,(TDU_Info!$C$5:$C$110=$T$6)*(TDU_Info!$B$5:$B$110&lt;=$B545),0)</f>
        <v>99</v>
      </c>
      <c r="U545" s="152">
        <f>100*(INDEX(TDU_Info!$E$5:$E$110,$T545)/T$11+INDEX(TDU_Info!$F$5:$F$110,$T545))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MATCH(1,(TDU_Info!$C$5:$C$110=$T$6)*(TDU_Info!$B$5:$B$110&lt;=$B546),0)</f>
        <v>99</v>
      </c>
      <c r="U546" s="152">
        <f>100*(INDEX(TDU_Info!$E$5:$E$110,$T546)/T$11+INDEX(TDU_Info!$F$5:$F$110,$T546))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MATCH(1,(TDU_Info!$C$5:$C$110=$T$6)*(TDU_Info!$B$5:$B$110&lt;=$B547),0)</f>
        <v>99</v>
      </c>
      <c r="U547" s="152">
        <f>100*(INDEX(TDU_Info!$E$5:$E$110,$T547)/T$11+INDEX(TDU_Info!$F$5:$F$110,$T547))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MATCH(1,(TDU_Info!$C$5:$C$110=$T$6)*(TDU_Info!$B$5:$B$110&lt;=$B548),0)</f>
        <v>99</v>
      </c>
      <c r="U548" s="152">
        <f>100*(INDEX(TDU_Info!$E$5:$E$110,$T548)/T$11+INDEX(TDU_Info!$F$5:$F$110,$T548))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MATCH(1,(TDU_Info!$C$5:$C$110=$T$6)*(TDU_Info!$B$5:$B$110&lt;=$B549),0)</f>
        <v>99</v>
      </c>
      <c r="U549" s="152">
        <f>100*(INDEX(TDU_Info!$E$5:$E$110,$T549)/T$11+INDEX(TDU_Info!$F$5:$F$110,$T549))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MATCH(1,(TDU_Info!$C$5:$C$110=$T$6)*(TDU_Info!$B$5:$B$110&lt;=$B550),0)</f>
        <v>99</v>
      </c>
      <c r="U550" s="152">
        <f>100*(INDEX(TDU_Info!$E$5:$E$110,$T550)/T$11+INDEX(TDU_Info!$F$5:$F$110,$T550))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MATCH(1,(TDU_Info!$C$5:$C$110=$T$6)*(TDU_Info!$B$5:$B$110&lt;=$B551),0)</f>
        <v>99</v>
      </c>
      <c r="U551" s="152">
        <f>100*(INDEX(TDU_Info!$E$5:$E$110,$T551)/T$11+INDEX(TDU_Info!$F$5:$F$110,$T551))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MATCH(1,(TDU_Info!$C$5:$C$110=$T$6)*(TDU_Info!$B$5:$B$110&lt;=$B552),0)</f>
        <v>99</v>
      </c>
      <c r="U552" s="152">
        <f>100*(INDEX(TDU_Info!$E$5:$E$110,$T552)/T$11+INDEX(TDU_Info!$F$5:$F$110,$T552))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MATCH(1,(TDU_Info!$C$5:$C$110=$T$6)*(TDU_Info!$B$5:$B$110&lt;=$B553),0)</f>
        <v>99</v>
      </c>
      <c r="U553" s="152">
        <f>100*(INDEX(TDU_Info!$E$5:$E$110,$T553)/T$11+INDEX(TDU_Info!$F$5:$F$110,$T553))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MATCH(1,(TDU_Info!$C$5:$C$110=$T$6)*(TDU_Info!$B$5:$B$110&lt;=$B554),0)</f>
        <v>99</v>
      </c>
      <c r="U554" s="152">
        <f>100*(INDEX(TDU_Info!$E$5:$E$110,$T554)/T$11+INDEX(TDU_Info!$F$5:$F$110,$T554))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MATCH(1,(TDU_Info!$C$5:$C$110=$T$6)*(TDU_Info!$B$5:$B$110&lt;=$B555),0)</f>
        <v>99</v>
      </c>
      <c r="U555" s="152">
        <f>100*(INDEX(TDU_Info!$E$5:$E$110,$T555)/T$11+INDEX(TDU_Info!$F$5:$F$110,$T555))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MATCH(1,(TDU_Info!$C$5:$C$110=$T$6)*(TDU_Info!$B$5:$B$110&lt;=$B556),0)</f>
        <v>99</v>
      </c>
      <c r="U556" s="152">
        <f>100*(INDEX(TDU_Info!$E$5:$E$110,$T556)/T$11+INDEX(TDU_Info!$F$5:$F$110,$T556))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MATCH(1,(TDU_Info!$C$5:$C$110=$T$6)*(TDU_Info!$B$5:$B$110&lt;=$B557),0)</f>
        <v>99</v>
      </c>
      <c r="U557" s="152">
        <f>100*(INDEX(TDU_Info!$E$5:$E$110,$T557)/T$11+INDEX(TDU_Info!$F$5:$F$110,$T557))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MATCH(1,(TDU_Info!$C$5:$C$110=$T$6)*(TDU_Info!$B$5:$B$110&lt;=$B558),0)</f>
        <v>99</v>
      </c>
      <c r="U558" s="152">
        <f>100*(INDEX(TDU_Info!$E$5:$E$110,$T558)/T$11+INDEX(TDU_Info!$F$5:$F$110,$T558))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MATCH(1,(TDU_Info!$C$5:$C$110=$T$6)*(TDU_Info!$B$5:$B$110&lt;=$B559),0)</f>
        <v>99</v>
      </c>
      <c r="U559" s="152">
        <f>100*(INDEX(TDU_Info!$E$5:$E$110,$T559)/T$11+INDEX(TDU_Info!$F$5:$F$110,$T559))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MATCH(1,(TDU_Info!$C$5:$C$110=$T$6)*(TDU_Info!$B$5:$B$110&lt;=$B560),0)</f>
        <v>99</v>
      </c>
      <c r="U560" s="152">
        <f>100*(INDEX(TDU_Info!$E$5:$E$110,$T560)/T$11+INDEX(TDU_Info!$F$5:$F$110,$T560))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MATCH(1,(TDU_Info!$C$5:$C$110=$T$6)*(TDU_Info!$B$5:$B$110&lt;=$B561),0)</f>
        <v>99</v>
      </c>
      <c r="U561" s="152">
        <f>100*(INDEX(TDU_Info!$E$5:$E$110,$T561)/T$11+INDEX(TDU_Info!$F$5:$F$110,$T561))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MATCH(1,(TDU_Info!$C$5:$C$110=$T$6)*(TDU_Info!$B$5:$B$110&lt;=$B562),0)</f>
        <v>99</v>
      </c>
      <c r="U562" s="152">
        <f>100*(INDEX(TDU_Info!$E$5:$E$110,$T562)/T$11+INDEX(TDU_Info!$F$5:$F$110,$T562))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MATCH(1,(TDU_Info!$C$5:$C$110=$T$6)*(TDU_Info!$B$5:$B$110&lt;=$B563),0)</f>
        <v>99</v>
      </c>
      <c r="U563" s="152">
        <f>100*(INDEX(TDU_Info!$E$5:$E$110,$T563)/T$11+INDEX(TDU_Info!$F$5:$F$110,$T563))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MATCH(1,(TDU_Info!$C$5:$C$110=$T$6)*(TDU_Info!$B$5:$B$110&lt;=$B564),0)</f>
        <v>99</v>
      </c>
      <c r="U564" s="152">
        <f>100*(INDEX(TDU_Info!$E$5:$E$110,$T564)/T$11+INDEX(TDU_Info!$F$5:$F$110,$T564))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MATCH(1,(TDU_Info!$C$5:$C$110=$T$6)*(TDU_Info!$B$5:$B$110&lt;=$B565),0)</f>
        <v>99</v>
      </c>
      <c r="U565" s="152">
        <f>100*(INDEX(TDU_Info!$E$5:$E$110,$T565)/T$11+INDEX(TDU_Info!$F$5:$F$110,$T565))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MATCH(1,(TDU_Info!$C$5:$C$110=$T$6)*(TDU_Info!$B$5:$B$110&lt;=$B566),0)</f>
        <v>99</v>
      </c>
      <c r="U566" s="152">
        <f>100*(INDEX(TDU_Info!$E$5:$E$110,$T566)/T$11+INDEX(TDU_Info!$F$5:$F$110,$T566))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MATCH(1,(TDU_Info!$C$5:$C$110=$T$6)*(TDU_Info!$B$5:$B$110&lt;=$B567),0)</f>
        <v>99</v>
      </c>
      <c r="U567" s="152">
        <f>100*(INDEX(TDU_Info!$E$5:$E$110,$T567)/T$11+INDEX(TDU_Info!$F$5:$F$110,$T567))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MATCH(1,(TDU_Info!$C$5:$C$110=$T$6)*(TDU_Info!$B$5:$B$110&lt;=$B568),0)</f>
        <v>99</v>
      </c>
      <c r="U568" s="152">
        <f>100*(INDEX(TDU_Info!$E$5:$E$110,$T568)/T$11+INDEX(TDU_Info!$F$5:$F$110,$T568))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MATCH(1,(TDU_Info!$C$5:$C$110=$T$6)*(TDU_Info!$B$5:$B$110&lt;=$B569),0)</f>
        <v>99</v>
      </c>
      <c r="U569" s="152">
        <f>100*(INDEX(TDU_Info!$E$5:$E$110,$T569)/T$11+INDEX(TDU_Info!$F$5:$F$110,$T569))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MATCH(1,(TDU_Info!$C$5:$C$110=$T$6)*(TDU_Info!$B$5:$B$110&lt;=$B570),0)</f>
        <v>99</v>
      </c>
      <c r="U570" s="152">
        <f>100*(INDEX(TDU_Info!$E$5:$E$110,$T570)/T$11+INDEX(TDU_Info!$F$5:$F$110,$T570))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MATCH(1,(TDU_Info!$C$5:$C$110=$T$6)*(TDU_Info!$B$5:$B$110&lt;=$B571),0)</f>
        <v>99</v>
      </c>
      <c r="U571" s="152">
        <f>100*(INDEX(TDU_Info!$E$5:$E$110,$T571)/T$11+INDEX(TDU_Info!$F$5:$F$110,$T571))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MATCH(1,(TDU_Info!$C$5:$C$110=$T$6)*(TDU_Info!$B$5:$B$110&lt;=$B572),0)</f>
        <v>99</v>
      </c>
      <c r="U572" s="152">
        <f>100*(INDEX(TDU_Info!$E$5:$E$110,$T572)/T$11+INDEX(TDU_Info!$F$5:$F$110,$T572))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MATCH(1,(TDU_Info!$C$5:$C$110=$T$6)*(TDU_Info!$B$5:$B$110&lt;=$B573),0)</f>
        <v>99</v>
      </c>
      <c r="U573" s="152">
        <f>100*(INDEX(TDU_Info!$E$5:$E$110,$T573)/T$11+INDEX(TDU_Info!$F$5:$F$110,$T573))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MATCH(1,(TDU_Info!$C$5:$C$110=$T$6)*(TDU_Info!$B$5:$B$110&lt;=$B574),0)</f>
        <v>99</v>
      </c>
      <c r="U574" s="152">
        <f>100*(INDEX(TDU_Info!$E$5:$E$110,$T574)/T$11+INDEX(TDU_Info!$F$5:$F$110,$T574))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MATCH(1,(TDU_Info!$C$5:$C$110=$T$6)*(TDU_Info!$B$5:$B$110&lt;=$B575),0)</f>
        <v>99</v>
      </c>
      <c r="U575" s="152">
        <f>100*(INDEX(TDU_Info!$E$5:$E$110,$T575)/T$11+INDEX(TDU_Info!$F$5:$F$110,$T575))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MATCH(1,(TDU_Info!$C$5:$C$110=$T$6)*(TDU_Info!$B$5:$B$110&lt;=$B576),0)</f>
        <v>99</v>
      </c>
      <c r="U576" s="152">
        <f>100*(INDEX(TDU_Info!$E$5:$E$110,$T576)/T$11+INDEX(TDU_Info!$F$5:$F$110,$T576))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MATCH(1,(TDU_Info!$C$5:$C$110=$T$6)*(TDU_Info!$B$5:$B$110&lt;=$B577),0)</f>
        <v>99</v>
      </c>
      <c r="U577" s="152">
        <f>100*(INDEX(TDU_Info!$E$5:$E$110,$T577)/T$11+INDEX(TDU_Info!$F$5:$F$110,$T577))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MATCH(1,(TDU_Info!$C$5:$C$110=$T$6)*(TDU_Info!$B$5:$B$110&lt;=$B578),0)</f>
        <v>99</v>
      </c>
      <c r="U578" s="152">
        <f>100*(INDEX(TDU_Info!$E$5:$E$110,$T578)/T$11+INDEX(TDU_Info!$F$5:$F$110,$T578))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MATCH(1,(TDU_Info!$C$5:$C$110=$T$6)*(TDU_Info!$B$5:$B$110&lt;=$B579),0)</f>
        <v>99</v>
      </c>
      <c r="U579" s="152">
        <f>100*(INDEX(TDU_Info!$E$5:$E$110,$T579)/T$11+INDEX(TDU_Info!$F$5:$F$110,$T579))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MATCH(1,(TDU_Info!$C$5:$C$110=$T$6)*(TDU_Info!$B$5:$B$110&lt;=$B580),0)</f>
        <v>99</v>
      </c>
      <c r="U580" s="152">
        <f>100*(INDEX(TDU_Info!$E$5:$E$110,$T580)/T$11+INDEX(TDU_Info!$F$5:$F$110,$T580))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MATCH(1,(TDU_Info!$C$5:$C$110=$T$6)*(TDU_Info!$B$5:$B$110&lt;=$B581),0)</f>
        <v>99</v>
      </c>
      <c r="U581" s="152">
        <f>100*(INDEX(TDU_Info!$E$5:$E$110,$T581)/T$11+INDEX(TDU_Info!$F$5:$F$110,$T581))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MATCH(1,(TDU_Info!$C$5:$C$110=$T$6)*(TDU_Info!$B$5:$B$110&lt;=$B582),0)</f>
        <v>99</v>
      </c>
      <c r="U582" s="152">
        <f>100*(INDEX(TDU_Info!$E$5:$E$110,$T582)/T$11+INDEX(TDU_Info!$F$5:$F$110,$T582))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MATCH(1,(TDU_Info!$C$5:$C$110=$T$6)*(TDU_Info!$B$5:$B$110&lt;=$B583),0)</f>
        <v>99</v>
      </c>
      <c r="U583" s="152">
        <f>100*(INDEX(TDU_Info!$E$5:$E$110,$T583)/T$11+INDEX(TDU_Info!$F$5:$F$110,$T583))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MATCH(1,(TDU_Info!$C$5:$C$110=$T$6)*(TDU_Info!$B$5:$B$110&lt;=$B584),0)</f>
        <v>99</v>
      </c>
      <c r="U584" s="152">
        <f>100*(INDEX(TDU_Info!$E$5:$E$110,$T584)/T$11+INDEX(TDU_Info!$F$5:$F$110,$T584))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MATCH(1,(TDU_Info!$C$5:$C$110=$T$6)*(TDU_Info!$B$5:$B$110&lt;=$B585),0)</f>
        <v>99</v>
      </c>
      <c r="U585" s="152">
        <f>100*(INDEX(TDU_Info!$E$5:$E$110,$T585)/T$11+INDEX(TDU_Info!$F$5:$F$110,$T585))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MATCH(1,(TDU_Info!$C$5:$C$110=$T$6)*(TDU_Info!$B$5:$B$110&lt;=$B586),0)</f>
        <v>99</v>
      </c>
      <c r="U586" s="152">
        <f>100*(INDEX(TDU_Info!$E$5:$E$110,$T586)/T$11+INDEX(TDU_Info!$F$5:$F$110,$T586))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MATCH(1,(TDU_Info!$C$5:$C$110=$T$6)*(TDU_Info!$B$5:$B$110&lt;=$B587),0)</f>
        <v>99</v>
      </c>
      <c r="U587" s="152">
        <f>100*(INDEX(TDU_Info!$E$5:$E$110,$T587)/T$11+INDEX(TDU_Info!$F$5:$F$110,$T587))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MATCH(1,(TDU_Info!$C$5:$C$110=$T$6)*(TDU_Info!$B$5:$B$110&lt;=$B588),0)</f>
        <v>99</v>
      </c>
      <c r="U588" s="152">
        <f>100*(INDEX(TDU_Info!$E$5:$E$110,$T588)/T$11+INDEX(TDU_Info!$F$5:$F$110,$T588))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MATCH(1,(TDU_Info!$C$5:$C$110=$T$6)*(TDU_Info!$B$5:$B$110&lt;=$B589),0)</f>
        <v>99</v>
      </c>
      <c r="U589" s="152">
        <f>100*(INDEX(TDU_Info!$E$5:$E$110,$T589)/T$11+INDEX(TDU_Info!$F$5:$F$110,$T589))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MATCH(1,(TDU_Info!$C$5:$C$110=$T$6)*(TDU_Info!$B$5:$B$110&lt;=$B590),0)</f>
        <v>99</v>
      </c>
      <c r="U590" s="152">
        <f>100*(INDEX(TDU_Info!$E$5:$E$110,$T590)/T$11+INDEX(TDU_Info!$F$5:$F$110,$T590))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MATCH(1,(TDU_Info!$C$5:$C$110=$T$6)*(TDU_Info!$B$5:$B$110&lt;=$B591),0)</f>
        <v>99</v>
      </c>
      <c r="U591" s="152">
        <f>100*(INDEX(TDU_Info!$E$5:$E$110,$T591)/T$11+INDEX(TDU_Info!$F$5:$F$110,$T591))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MATCH(1,(TDU_Info!$C$5:$C$110=$T$6)*(TDU_Info!$B$5:$B$110&lt;=$B592),0)</f>
        <v>99</v>
      </c>
      <c r="U592" s="152">
        <f>100*(INDEX(TDU_Info!$E$5:$E$110,$T592)/T$11+INDEX(TDU_Info!$F$5:$F$110,$T592))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MATCH(1,(TDU_Info!$C$5:$C$110=$T$6)*(TDU_Info!$B$5:$B$110&lt;=$B593),0)</f>
        <v>99</v>
      </c>
      <c r="U593" s="152">
        <f>100*(INDEX(TDU_Info!$E$5:$E$110,$T593)/T$11+INDEX(TDU_Info!$F$5:$F$110,$T593))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MATCH(1,(TDU_Info!$C$5:$C$110=$T$6)*(TDU_Info!$B$5:$B$110&lt;=$B594),0)</f>
        <v>99</v>
      </c>
      <c r="U594" s="152">
        <f>100*(INDEX(TDU_Info!$E$5:$E$110,$T594)/T$11+INDEX(TDU_Info!$F$5:$F$110,$T594))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MATCH(1,(TDU_Info!$C$5:$C$110=$T$6)*(TDU_Info!$B$5:$B$110&lt;=$B595),0)</f>
        <v>99</v>
      </c>
      <c r="U595" s="152">
        <f>100*(INDEX(TDU_Info!$E$5:$E$110,$T595)/T$11+INDEX(TDU_Info!$F$5:$F$110,$T595))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MATCH(1,(TDU_Info!$C$5:$C$110=$T$6)*(TDU_Info!$B$5:$B$110&lt;=$B596),0)</f>
        <v>99</v>
      </c>
      <c r="U596" s="152">
        <f>100*(INDEX(TDU_Info!$E$5:$E$110,$T596)/T$11+INDEX(TDU_Info!$F$5:$F$110,$T596))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MATCH(1,(TDU_Info!$C$5:$C$110=$T$6)*(TDU_Info!$B$5:$B$110&lt;=$B597),0)</f>
        <v>99</v>
      </c>
      <c r="U597" s="152">
        <f>100*(INDEX(TDU_Info!$E$5:$E$110,$T597)/T$11+INDEX(TDU_Info!$F$5:$F$110,$T597))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MATCH(1,(TDU_Info!$C$5:$C$110=$T$6)*(TDU_Info!$B$5:$B$110&lt;=$B598),0)</f>
        <v>99</v>
      </c>
      <c r="U598" s="152">
        <f>100*(INDEX(TDU_Info!$E$5:$E$110,$T598)/T$11+INDEX(TDU_Info!$F$5:$F$110,$T598))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MATCH(1,(TDU_Info!$C$5:$C$110=$T$6)*(TDU_Info!$B$5:$B$110&lt;=$B599),0)</f>
        <v>99</v>
      </c>
      <c r="U599" s="152">
        <f>100*(INDEX(TDU_Info!$E$5:$E$110,$T599)/T$11+INDEX(TDU_Info!$F$5:$F$110,$T599))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MATCH(1,(TDU_Info!$C$5:$C$110=$T$6)*(TDU_Info!$B$5:$B$110&lt;=$B600),0)</f>
        <v>99</v>
      </c>
      <c r="U600" s="152">
        <f>100*(INDEX(TDU_Info!$E$5:$E$110,$T600)/T$11+INDEX(TDU_Info!$F$5:$F$110,$T600))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MATCH(1,(TDU_Info!$C$5:$C$110=$T$6)*(TDU_Info!$B$5:$B$110&lt;=$B601),0)</f>
        <v>99</v>
      </c>
      <c r="U601" s="152">
        <f>100*(INDEX(TDU_Info!$E$5:$E$110,$T601)/T$11+INDEX(TDU_Info!$F$5:$F$110,$T601))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MATCH(1,(TDU_Info!$C$5:$C$110=$T$6)*(TDU_Info!$B$5:$B$110&lt;=$B602),0)</f>
        <v>99</v>
      </c>
      <c r="U602" s="152">
        <f>100*(INDEX(TDU_Info!$E$5:$E$110,$T602)/T$11+INDEX(TDU_Info!$F$5:$F$110,$T602))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MATCH(1,(TDU_Info!$C$5:$C$110=$T$6)*(TDU_Info!$B$5:$B$110&lt;=$B603),0)</f>
        <v>99</v>
      </c>
      <c r="U603" s="152">
        <f>100*(INDEX(TDU_Info!$E$5:$E$110,$T603)/T$11+INDEX(TDU_Info!$F$5:$F$110,$T603))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MATCH(1,(TDU_Info!$C$5:$C$110=$T$6)*(TDU_Info!$B$5:$B$110&lt;=$B604),0)</f>
        <v>99</v>
      </c>
      <c r="U604" s="152">
        <f>100*(INDEX(TDU_Info!$E$5:$E$110,$T604)/T$11+INDEX(TDU_Info!$F$5:$F$110,$T604))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MATCH(1,(TDU_Info!$C$5:$C$110=$T$6)*(TDU_Info!$B$5:$B$110&lt;=$B605),0)</f>
        <v>99</v>
      </c>
      <c r="U605" s="152">
        <f>100*(INDEX(TDU_Info!$E$5:$E$110,$T605)/T$11+INDEX(TDU_Info!$F$5:$F$110,$T605))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MATCH(1,(TDU_Info!$C$5:$C$110=$T$6)*(TDU_Info!$B$5:$B$110&lt;=$B606),0)</f>
        <v>99</v>
      </c>
      <c r="U606" s="152">
        <f>100*(INDEX(TDU_Info!$E$5:$E$110,$T606)/T$11+INDEX(TDU_Info!$F$5:$F$110,$T606))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MATCH(1,(TDU_Info!$C$5:$C$110=$T$6)*(TDU_Info!$B$5:$B$110&lt;=$B607),0)</f>
        <v>99</v>
      </c>
      <c r="U607" s="152">
        <f>100*(INDEX(TDU_Info!$E$5:$E$110,$T607)/T$11+INDEX(TDU_Info!$F$5:$F$110,$T607))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MATCH(1,(TDU_Info!$C$5:$C$110=$T$6)*(TDU_Info!$B$5:$B$110&lt;=$B608),0)</f>
        <v>99</v>
      </c>
      <c r="U608" s="152">
        <f>100*(INDEX(TDU_Info!$E$5:$E$110,$T608)/T$11+INDEX(TDU_Info!$F$5:$F$110,$T608))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MATCH(1,(TDU_Info!$C$5:$C$110=$T$6)*(TDU_Info!$B$5:$B$110&lt;=$B609),0)</f>
        <v>99</v>
      </c>
      <c r="U609" s="152">
        <f>100*(INDEX(TDU_Info!$E$5:$E$110,$T609)/T$11+INDEX(TDU_Info!$F$5:$F$110,$T609))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MATCH(1,(TDU_Info!$C$5:$C$110=$T$6)*(TDU_Info!$B$5:$B$110&lt;=$B610),0)</f>
        <v>99</v>
      </c>
      <c r="U610" s="152">
        <f>100*(INDEX(TDU_Info!$E$5:$E$110,$T610)/T$11+INDEX(TDU_Info!$F$5:$F$110,$T610))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MATCH(1,(TDU_Info!$C$5:$C$110=$T$6)*(TDU_Info!$B$5:$B$110&lt;=$B611),0)</f>
        <v>99</v>
      </c>
      <c r="U611" s="152">
        <f>100*(INDEX(TDU_Info!$E$5:$E$110,$T611)/T$11+INDEX(TDU_Info!$F$5:$F$110,$T611))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MATCH(1,(TDU_Info!$C$5:$C$110=$T$6)*(TDU_Info!$B$5:$B$110&lt;=$B612),0)</f>
        <v>99</v>
      </c>
      <c r="U612" s="152">
        <f>100*(INDEX(TDU_Info!$E$5:$E$110,$T612)/T$11+INDEX(TDU_Info!$F$5:$F$110,$T612))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MATCH(1,(TDU_Info!$C$5:$C$110=$T$6)*(TDU_Info!$B$5:$B$110&lt;=$B613),0)</f>
        <v>99</v>
      </c>
      <c r="U613" s="152">
        <f>100*(INDEX(TDU_Info!$E$5:$E$110,$T613)/T$11+INDEX(TDU_Info!$F$5:$F$110,$T613))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MATCH(1,(TDU_Info!$C$5:$C$110=$T$6)*(TDU_Info!$B$5:$B$110&lt;=$B614),0)</f>
        <v>99</v>
      </c>
      <c r="U614" s="152">
        <f>100*(INDEX(TDU_Info!$E$5:$E$110,$T614)/T$11+INDEX(TDU_Info!$F$5:$F$110,$T614))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MATCH(1,(TDU_Info!$C$5:$C$110=$T$6)*(TDU_Info!$B$5:$B$110&lt;=$B615),0)</f>
        <v>99</v>
      </c>
      <c r="U615" s="152">
        <f>100*(INDEX(TDU_Info!$E$5:$E$110,$T615)/T$11+INDEX(TDU_Info!$F$5:$F$110,$T615))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MATCH(1,(TDU_Info!$C$5:$C$110=$T$6)*(TDU_Info!$B$5:$B$110&lt;=$B616),0)</f>
        <v>99</v>
      </c>
      <c r="U616" s="152">
        <f>100*(INDEX(TDU_Info!$E$5:$E$110,$T616)/T$11+INDEX(TDU_Info!$F$5:$F$110,$T616))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MATCH(1,(TDU_Info!$C$5:$C$110=$T$6)*(TDU_Info!$B$5:$B$110&lt;=$B617),0)</f>
        <v>99</v>
      </c>
      <c r="U617" s="152">
        <f>100*(INDEX(TDU_Info!$E$5:$E$110,$T617)/T$11+INDEX(TDU_Info!$F$5:$F$110,$T617))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MATCH(1,(TDU_Info!$C$5:$C$110=$T$6)*(TDU_Info!$B$5:$B$110&lt;=$B618),0)</f>
        <v>99</v>
      </c>
      <c r="U618" s="152">
        <f>100*(INDEX(TDU_Info!$E$5:$E$110,$T618)/T$11+INDEX(TDU_Info!$F$5:$F$110,$T618))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MATCH(1,(TDU_Info!$C$5:$C$110=$T$6)*(TDU_Info!$B$5:$B$110&lt;=$B619),0)</f>
        <v>99</v>
      </c>
      <c r="U619" s="152">
        <f>100*(INDEX(TDU_Info!$E$5:$E$110,$T619)/T$11+INDEX(TDU_Info!$F$5:$F$110,$T619))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MATCH(1,(TDU_Info!$C$5:$C$110=$T$6)*(TDU_Info!$B$5:$B$110&lt;=$B620),0)</f>
        <v>99</v>
      </c>
      <c r="U620" s="152">
        <f>100*(INDEX(TDU_Info!$E$5:$E$110,$T620)/T$11+INDEX(TDU_Info!$F$5:$F$110,$T620))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MATCH(1,(TDU_Info!$C$5:$C$110=$T$6)*(TDU_Info!$B$5:$B$110&lt;=$B621),0)</f>
        <v>99</v>
      </c>
      <c r="U621" s="152">
        <f>100*(INDEX(TDU_Info!$E$5:$E$110,$T621)/T$11+INDEX(TDU_Info!$F$5:$F$110,$T621))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MATCH(1,(TDU_Info!$C$5:$C$110=$T$6)*(TDU_Info!$B$5:$B$110&lt;=$B622),0)</f>
        <v>99</v>
      </c>
      <c r="U622" s="152">
        <f>100*(INDEX(TDU_Info!$E$5:$E$110,$T622)/T$11+INDEX(TDU_Info!$F$5:$F$110,$T622))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MATCH(1,(TDU_Info!$C$5:$C$110=$T$6)*(TDU_Info!$B$5:$B$110&lt;=$B623),0)</f>
        <v>99</v>
      </c>
      <c r="U623" s="152">
        <f>100*(INDEX(TDU_Info!$E$5:$E$110,$T623)/T$11+INDEX(TDU_Info!$F$5:$F$110,$T623))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MATCH(1,(TDU_Info!$C$5:$C$110=$T$6)*(TDU_Info!$B$5:$B$110&lt;=$B624),0)</f>
        <v>99</v>
      </c>
      <c r="U624" s="152">
        <f>100*(INDEX(TDU_Info!$E$5:$E$110,$T624)/T$11+INDEX(TDU_Info!$F$5:$F$110,$T624))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MATCH(1,(TDU_Info!$C$5:$C$110=$T$6)*(TDU_Info!$B$5:$B$110&lt;=$B625),0)</f>
        <v>98</v>
      </c>
      <c r="U625" s="152">
        <f>100*(INDEX(TDU_Info!$E$5:$E$110,$T625)/T$11+INDEX(TDU_Info!$F$5:$F$110,$T625))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MATCH(1,(TDU_Info!$C$5:$C$110=$T$6)*(TDU_Info!$B$5:$B$110&lt;=$B626),0)</f>
        <v>98</v>
      </c>
      <c r="U626" s="152">
        <f>100*(INDEX(TDU_Info!$E$5:$E$110,$T626)/T$11+INDEX(TDU_Info!$F$5:$F$110,$T626))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MATCH(1,(TDU_Info!$C$5:$C$110=$T$6)*(TDU_Info!$B$5:$B$110&lt;=$B627),0)</f>
        <v>98</v>
      </c>
      <c r="U627" s="152">
        <f>100*(INDEX(TDU_Info!$E$5:$E$110,$T627)/T$11+INDEX(TDU_Info!$F$5:$F$110,$T627))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MATCH(1,(TDU_Info!$C$5:$C$110=$T$6)*(TDU_Info!$B$5:$B$110&lt;=$B628),0)</f>
        <v>98</v>
      </c>
      <c r="U628" s="152">
        <f>100*(INDEX(TDU_Info!$E$5:$E$110,$T628)/T$11+INDEX(TDU_Info!$F$5:$F$110,$T628))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MATCH(1,(TDU_Info!$C$5:$C$110=$T$6)*(TDU_Info!$B$5:$B$110&lt;=$B629),0)</f>
        <v>98</v>
      </c>
      <c r="U629" s="152">
        <f>100*(INDEX(TDU_Info!$E$5:$E$110,$T629)/T$11+INDEX(TDU_Info!$F$5:$F$110,$T629))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MATCH(1,(TDU_Info!$C$5:$C$110=$T$6)*(TDU_Info!$B$5:$B$110&lt;=$B630),0)</f>
        <v>98</v>
      </c>
      <c r="U630" s="152">
        <f>100*(INDEX(TDU_Info!$E$5:$E$110,$T630)/T$11+INDEX(TDU_Info!$F$5:$F$110,$T630))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MATCH(1,(TDU_Info!$C$5:$C$110=$T$6)*(TDU_Info!$B$5:$B$110&lt;=$B631),0)</f>
        <v>98</v>
      </c>
      <c r="U631" s="152">
        <f>100*(INDEX(TDU_Info!$E$5:$E$110,$T631)/T$11+INDEX(TDU_Info!$F$5:$F$110,$T631))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MATCH(1,(TDU_Info!$C$5:$C$110=$T$6)*(TDU_Info!$B$5:$B$110&lt;=$B632),0)</f>
        <v>98</v>
      </c>
      <c r="U632" s="152">
        <f>100*(INDEX(TDU_Info!$E$5:$E$110,$T632)/T$11+INDEX(TDU_Info!$F$5:$F$110,$T632))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MATCH(1,(TDU_Info!$C$5:$C$110=$T$6)*(TDU_Info!$B$5:$B$110&lt;=$B633),0)</f>
        <v>98</v>
      </c>
      <c r="U633" s="152">
        <f>100*(INDEX(TDU_Info!$E$5:$E$110,$T633)/T$11+INDEX(TDU_Info!$F$5:$F$110,$T633))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MATCH(1,(TDU_Info!$C$5:$C$110=$T$6)*(TDU_Info!$B$5:$B$110&lt;=$B634),0)</f>
        <v>98</v>
      </c>
      <c r="U634" s="152">
        <f>100*(INDEX(TDU_Info!$E$5:$E$110,$T634)/T$11+INDEX(TDU_Info!$F$5:$F$110,$T634))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MATCH(1,(TDU_Info!$C$5:$C$110=$T$6)*(TDU_Info!$B$5:$B$110&lt;=$B635),0)</f>
        <v>98</v>
      </c>
      <c r="U635" s="152">
        <f>100*(INDEX(TDU_Info!$E$5:$E$110,$T635)/T$11+INDEX(TDU_Info!$F$5:$F$110,$T635))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MATCH(1,(TDU_Info!$C$5:$C$110=$T$6)*(TDU_Info!$B$5:$B$110&lt;=$B636),0)</f>
        <v>98</v>
      </c>
      <c r="U636" s="152">
        <f>100*(INDEX(TDU_Info!$E$5:$E$110,$T636)/T$11+INDEX(TDU_Info!$F$5:$F$110,$T636))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MATCH(1,(TDU_Info!$C$5:$C$110=$T$6)*(TDU_Info!$B$5:$B$110&lt;=$B637),0)</f>
        <v>98</v>
      </c>
      <c r="U637" s="152">
        <f>100*(INDEX(TDU_Info!$E$5:$E$110,$T637)/T$11+INDEX(TDU_Info!$F$5:$F$110,$T637))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MATCH(1,(TDU_Info!$C$5:$C$110=$T$6)*(TDU_Info!$B$5:$B$110&lt;=$B638),0)</f>
        <v>98</v>
      </c>
      <c r="U638" s="152">
        <f>100*(INDEX(TDU_Info!$E$5:$E$110,$T638)/T$11+INDEX(TDU_Info!$F$5:$F$110,$T638))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MATCH(1,(TDU_Info!$C$5:$C$110=$T$6)*(TDU_Info!$B$5:$B$110&lt;=$B639),0)</f>
        <v>98</v>
      </c>
      <c r="U639" s="152">
        <f>100*(INDEX(TDU_Info!$E$5:$E$110,$T639)/T$11+INDEX(TDU_Info!$F$5:$F$110,$T639))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MATCH(1,(TDU_Info!$C$5:$C$110=$T$6)*(TDU_Info!$B$5:$B$110&lt;=$B640),0)</f>
        <v>98</v>
      </c>
      <c r="U640" s="152">
        <f>100*(INDEX(TDU_Info!$E$5:$E$110,$T640)/T$11+INDEX(TDU_Info!$F$5:$F$110,$T640))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MATCH(1,(TDU_Info!$C$5:$C$110=$T$6)*(TDU_Info!$B$5:$B$110&lt;=$B641),0)</f>
        <v>98</v>
      </c>
      <c r="U641" s="152">
        <f>100*(INDEX(TDU_Info!$E$5:$E$110,$T641)/T$11+INDEX(TDU_Info!$F$5:$F$110,$T641))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MATCH(1,(TDU_Info!$C$5:$C$110=$T$6)*(TDU_Info!$B$5:$B$110&lt;=$B642),0)</f>
        <v>98</v>
      </c>
      <c r="U642" s="152">
        <f>100*(INDEX(TDU_Info!$E$5:$E$110,$T642)/T$11+INDEX(TDU_Info!$F$5:$F$110,$T642))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MATCH(1,(TDU_Info!$C$5:$C$110=$T$6)*(TDU_Info!$B$5:$B$110&lt;=$B643),0)</f>
        <v>98</v>
      </c>
      <c r="U643" s="152">
        <f>100*(INDEX(TDU_Info!$E$5:$E$110,$T643)/T$11+INDEX(TDU_Info!$F$5:$F$110,$T643))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MATCH(1,(TDU_Info!$C$5:$C$110=$T$6)*(TDU_Info!$B$5:$B$110&lt;=$B644),0)</f>
        <v>98</v>
      </c>
      <c r="U644" s="152">
        <f>100*(INDEX(TDU_Info!$E$5:$E$110,$T644)/T$11+INDEX(TDU_Info!$F$5:$F$110,$T644))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MATCH(1,(TDU_Info!$C$5:$C$110=$T$6)*(TDU_Info!$B$5:$B$110&lt;=$B645),0)</f>
        <v>98</v>
      </c>
      <c r="U645" s="152">
        <f>100*(INDEX(TDU_Info!$E$5:$E$110,$T645)/T$11+INDEX(TDU_Info!$F$5:$F$110,$T645))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MATCH(1,(TDU_Info!$C$5:$C$110=$T$6)*(TDU_Info!$B$5:$B$110&lt;=$B646),0)</f>
        <v>98</v>
      </c>
      <c r="U646" s="152">
        <f>100*(INDEX(TDU_Info!$E$5:$E$110,$T646)/T$11+INDEX(TDU_Info!$F$5:$F$110,$T646))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MATCH(1,(TDU_Info!$C$5:$C$110=$T$6)*(TDU_Info!$B$5:$B$110&lt;=$B647),0)</f>
        <v>98</v>
      </c>
      <c r="U647" s="152">
        <f>100*(INDEX(TDU_Info!$E$5:$E$110,$T647)/T$11+INDEX(TDU_Info!$F$5:$F$110,$T647))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MATCH(1,(TDU_Info!$C$5:$C$110=$T$6)*(TDU_Info!$B$5:$B$110&lt;=$B648),0)</f>
        <v>98</v>
      </c>
      <c r="U648" s="152">
        <f>100*(INDEX(TDU_Info!$E$5:$E$110,$T648)/T$11+INDEX(TDU_Info!$F$5:$F$110,$T648))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MATCH(1,(TDU_Info!$C$5:$C$110=$T$6)*(TDU_Info!$B$5:$B$110&lt;=$B649),0)</f>
        <v>98</v>
      </c>
      <c r="U649" s="152">
        <f>100*(INDEX(TDU_Info!$E$5:$E$110,$T649)/T$11+INDEX(TDU_Info!$F$5:$F$110,$T649))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MATCH(1,(TDU_Info!$C$5:$C$110=$T$6)*(TDU_Info!$B$5:$B$110&lt;=$B650),0)</f>
        <v>98</v>
      </c>
      <c r="U650" s="152">
        <f>100*(INDEX(TDU_Info!$E$5:$E$110,$T650)/T$11+INDEX(TDU_Info!$F$5:$F$110,$T650))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MATCH(1,(TDU_Info!$C$5:$C$110=$T$6)*(TDU_Info!$B$5:$B$110&lt;=$B651),0)</f>
        <v>98</v>
      </c>
      <c r="U651" s="152">
        <f>100*(INDEX(TDU_Info!$E$5:$E$110,$T651)/T$11+INDEX(TDU_Info!$F$5:$F$110,$T651))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MATCH(1,(TDU_Info!$C$5:$C$110=$T$6)*(TDU_Info!$B$5:$B$110&lt;=$B652),0)</f>
        <v>98</v>
      </c>
      <c r="U652" s="152">
        <f>100*(INDEX(TDU_Info!$E$5:$E$110,$T652)/T$11+INDEX(TDU_Info!$F$5:$F$110,$T652))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MATCH(1,(TDU_Info!$C$5:$C$110=$T$6)*(TDU_Info!$B$5:$B$110&lt;=$B653),0)</f>
        <v>98</v>
      </c>
      <c r="U653" s="152">
        <f>100*(INDEX(TDU_Info!$E$5:$E$110,$T653)/T$11+INDEX(TDU_Info!$F$5:$F$110,$T653))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MATCH(1,(TDU_Info!$C$5:$C$110=$T$6)*(TDU_Info!$B$5:$B$110&lt;=$B654),0)</f>
        <v>98</v>
      </c>
      <c r="U654" s="152">
        <f>100*(INDEX(TDU_Info!$E$5:$E$110,$T654)/T$11+INDEX(TDU_Info!$F$5:$F$110,$T654))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MATCH(1,(TDU_Info!$C$5:$C$110=$T$6)*(TDU_Info!$B$5:$B$110&lt;=$B655),0)</f>
        <v>98</v>
      </c>
      <c r="U655" s="152">
        <f>100*(INDEX(TDU_Info!$E$5:$E$110,$T655)/T$11+INDEX(TDU_Info!$F$5:$F$110,$T655))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MATCH(1,(TDU_Info!$C$5:$C$110=$T$6)*(TDU_Info!$B$5:$B$110&lt;=$B656),0)</f>
        <v>98</v>
      </c>
      <c r="U656" s="152">
        <f>100*(INDEX(TDU_Info!$E$5:$E$110,$T656)/T$11+INDEX(TDU_Info!$F$5:$F$110,$T656))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MATCH(1,(TDU_Info!$C$5:$C$110=$T$6)*(TDU_Info!$B$5:$B$110&lt;=$B657),0)</f>
        <v>98</v>
      </c>
      <c r="U657" s="152">
        <f>100*(INDEX(TDU_Info!$E$5:$E$110,$T657)/T$11+INDEX(TDU_Info!$F$5:$F$110,$T657))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MATCH(1,(TDU_Info!$C$5:$C$110=$T$6)*(TDU_Info!$B$5:$B$110&lt;=$B658),0)</f>
        <v>98</v>
      </c>
      <c r="U658" s="152">
        <f>100*(INDEX(TDU_Info!$E$5:$E$110,$T658)/T$11+INDEX(TDU_Info!$F$5:$F$110,$T658))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MATCH(1,(TDU_Info!$C$5:$C$110=$T$6)*(TDU_Info!$B$5:$B$110&lt;=$B659),0)</f>
        <v>98</v>
      </c>
      <c r="U659" s="152">
        <f>100*(INDEX(TDU_Info!$E$5:$E$110,$T659)/T$11+INDEX(TDU_Info!$F$5:$F$110,$T659))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MATCH(1,(TDU_Info!$C$5:$C$110=$T$6)*(TDU_Info!$B$5:$B$110&lt;=$B660),0)</f>
        <v>98</v>
      </c>
      <c r="U660" s="152">
        <f>100*(INDEX(TDU_Info!$E$5:$E$110,$T660)/T$11+INDEX(TDU_Info!$F$5:$F$110,$T660))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MATCH(1,(TDU_Info!$C$5:$C$110=$T$6)*(TDU_Info!$B$5:$B$110&lt;=$B661),0)</f>
        <v>98</v>
      </c>
      <c r="U661" s="152">
        <f>100*(INDEX(TDU_Info!$E$5:$E$110,$T661)/T$11+INDEX(TDU_Info!$F$5:$F$110,$T661))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MATCH(1,(TDU_Info!$C$5:$C$110=$T$6)*(TDU_Info!$B$5:$B$110&lt;=$B662),0)</f>
        <v>97</v>
      </c>
      <c r="U662" s="152">
        <f>100*(INDEX(TDU_Info!$E$5:$E$110,$T662)/T$11+INDEX(TDU_Info!$F$5:$F$110,$T662))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MATCH(1,(TDU_Info!$C$5:$C$110=$T$6)*(TDU_Info!$B$5:$B$110&lt;=$B663),0)</f>
        <v>97</v>
      </c>
      <c r="U663" s="152">
        <f>100*(INDEX(TDU_Info!$E$5:$E$110,$T663)/T$11+INDEX(TDU_Info!$F$5:$F$110,$T663))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MATCH(1,(TDU_Info!$C$5:$C$110=$T$6)*(TDU_Info!$B$5:$B$110&lt;=$B664),0)</f>
        <v>97</v>
      </c>
      <c r="U664" s="152">
        <f>100*(INDEX(TDU_Info!$E$5:$E$110,$T664)/T$11+INDEX(TDU_Info!$F$5:$F$110,$T664))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MATCH(1,(TDU_Info!$C$5:$C$110=$T$6)*(TDU_Info!$B$5:$B$110&lt;=$B665),0)</f>
        <v>97</v>
      </c>
      <c r="U665" s="152">
        <f>100*(INDEX(TDU_Info!$E$5:$E$110,$T665)/T$11+INDEX(TDU_Info!$F$5:$F$110,$T665))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MATCH(1,(TDU_Info!$C$5:$C$110=$T$6)*(TDU_Info!$B$5:$B$110&lt;=$B666),0)</f>
        <v>97</v>
      </c>
      <c r="U666" s="152">
        <f>100*(INDEX(TDU_Info!$E$5:$E$110,$T666)/T$11+INDEX(TDU_Info!$F$5:$F$110,$T666))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MATCH(1,(TDU_Info!$C$5:$C$110=$T$6)*(TDU_Info!$B$5:$B$110&lt;=$B667),0)</f>
        <v>97</v>
      </c>
      <c r="U667" s="152">
        <f>100*(INDEX(TDU_Info!$E$5:$E$110,$T667)/T$11+INDEX(TDU_Info!$F$5:$F$110,$T667))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MATCH(1,(TDU_Info!$C$5:$C$110=$T$6)*(TDU_Info!$B$5:$B$110&lt;=$B668),0)</f>
        <v>97</v>
      </c>
      <c r="U668" s="152">
        <f>100*(INDEX(TDU_Info!$E$5:$E$110,$T668)/T$11+INDEX(TDU_Info!$F$5:$F$110,$T668))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MATCH(1,(TDU_Info!$C$5:$C$110=$T$6)*(TDU_Info!$B$5:$B$110&lt;=$B669),0)</f>
        <v>97</v>
      </c>
      <c r="U669" s="152">
        <f>100*(INDEX(TDU_Info!$E$5:$E$110,$T669)/T$11+INDEX(TDU_Info!$F$5:$F$110,$T669))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MATCH(1,(TDU_Info!$C$5:$C$110=$T$6)*(TDU_Info!$B$5:$B$110&lt;=$B670),0)</f>
        <v>97</v>
      </c>
      <c r="U670" s="152">
        <f>100*(INDEX(TDU_Info!$E$5:$E$110,$T670)/T$11+INDEX(TDU_Info!$F$5:$F$110,$T670))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MATCH(1,(TDU_Info!$C$5:$C$110=$T$6)*(TDU_Info!$B$5:$B$110&lt;=$B671),0)</f>
        <v>97</v>
      </c>
      <c r="U671" s="152">
        <f>100*(INDEX(TDU_Info!$E$5:$E$110,$T671)/T$11+INDEX(TDU_Info!$F$5:$F$110,$T671))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MATCH(1,(TDU_Info!$C$5:$C$110=$T$6)*(TDU_Info!$B$5:$B$110&lt;=$B672),0)</f>
        <v>97</v>
      </c>
      <c r="U672" s="152">
        <f>100*(INDEX(TDU_Info!$E$5:$E$110,$T672)/T$11+INDEX(TDU_Info!$F$5:$F$110,$T672))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MATCH(1,(TDU_Info!$C$5:$C$110=$T$6)*(TDU_Info!$B$5:$B$110&lt;=$B673),0)</f>
        <v>97</v>
      </c>
      <c r="U673" s="152">
        <f>100*(INDEX(TDU_Info!$E$5:$E$110,$T673)/T$11+INDEX(TDU_Info!$F$5:$F$110,$T673))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MATCH(1,(TDU_Info!$C$5:$C$110=$T$6)*(TDU_Info!$B$5:$B$110&lt;=$B674),0)</f>
        <v>97</v>
      </c>
      <c r="U674" s="152">
        <f>100*(INDEX(TDU_Info!$E$5:$E$110,$T674)/T$11+INDEX(TDU_Info!$F$5:$F$110,$T674))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MATCH(1,(TDU_Info!$C$5:$C$110=$T$6)*(TDU_Info!$B$5:$B$110&lt;=$B675),0)</f>
        <v>97</v>
      </c>
      <c r="U675" s="152">
        <f>100*(INDEX(TDU_Info!$E$5:$E$110,$T675)/T$11+INDEX(TDU_Info!$F$5:$F$110,$T675))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MATCH(1,(TDU_Info!$C$5:$C$110=$T$6)*(TDU_Info!$B$5:$B$110&lt;=$B676),0)</f>
        <v>97</v>
      </c>
      <c r="U676" s="152">
        <f>100*(INDEX(TDU_Info!$E$5:$E$110,$T676)/T$11+INDEX(TDU_Info!$F$5:$F$110,$T676))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MATCH(1,(TDU_Info!$C$5:$C$110=$T$6)*(TDU_Info!$B$5:$B$110&lt;=$B677),0)</f>
        <v>97</v>
      </c>
      <c r="U677" s="152">
        <f>100*(INDEX(TDU_Info!$E$5:$E$110,$T677)/T$11+INDEX(TDU_Info!$F$5:$F$110,$T677))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MATCH(1,(TDU_Info!$C$5:$C$110=$T$6)*(TDU_Info!$B$5:$B$110&lt;=$B678),0)</f>
        <v>97</v>
      </c>
      <c r="U678" s="152">
        <f>100*(INDEX(TDU_Info!$E$5:$E$110,$T678)/T$11+INDEX(TDU_Info!$F$5:$F$110,$T678))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MATCH(1,(TDU_Info!$C$5:$C$110=$T$6)*(TDU_Info!$B$5:$B$110&lt;=$B679),0)</f>
        <v>97</v>
      </c>
      <c r="U679" s="152">
        <f>100*(INDEX(TDU_Info!$E$5:$E$110,$T679)/T$11+INDEX(TDU_Info!$F$5:$F$110,$T679))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MATCH(1,(TDU_Info!$C$5:$C$110=$T$6)*(TDU_Info!$B$5:$B$110&lt;=$B680),0)</f>
        <v>97</v>
      </c>
      <c r="U680" s="152">
        <f>100*(INDEX(TDU_Info!$E$5:$E$110,$T680)/T$11+INDEX(TDU_Info!$F$5:$F$110,$T680))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MATCH(1,(TDU_Info!$C$5:$C$110=$T$6)*(TDU_Info!$B$5:$B$110&lt;=$B681),0)</f>
        <v>97</v>
      </c>
      <c r="U681" s="152">
        <f>100*(INDEX(TDU_Info!$E$5:$E$110,$T681)/T$11+INDEX(TDU_Info!$F$5:$F$110,$T681))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MATCH(1,(TDU_Info!$C$5:$C$110=$T$6)*(TDU_Info!$B$5:$B$110&lt;=$B682),0)</f>
        <v>97</v>
      </c>
      <c r="U682" s="152">
        <f>100*(INDEX(TDU_Info!$E$5:$E$110,$T682)/T$11+INDEX(TDU_Info!$F$5:$F$110,$T682))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MATCH(1,(TDU_Info!$C$5:$C$110=$T$6)*(TDU_Info!$B$5:$B$110&lt;=$B683),0)</f>
        <v>97</v>
      </c>
      <c r="U683" s="152">
        <f>100*(INDEX(TDU_Info!$E$5:$E$110,$T683)/T$11+INDEX(TDU_Info!$F$5:$F$110,$T683))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MATCH(1,(TDU_Info!$C$5:$C$110=$T$6)*(TDU_Info!$B$5:$B$110&lt;=$B684),0)</f>
        <v>97</v>
      </c>
      <c r="U684" s="152">
        <f>100*(INDEX(TDU_Info!$E$5:$E$110,$T684)/T$11+INDEX(TDU_Info!$F$5:$F$110,$T684))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MATCH(1,(TDU_Info!$C$5:$C$110=$T$6)*(TDU_Info!$B$5:$B$110&lt;=$B685),0)</f>
        <v>97</v>
      </c>
      <c r="U685" s="152">
        <f>100*(INDEX(TDU_Info!$E$5:$E$110,$T685)/T$11+INDEX(TDU_Info!$F$5:$F$110,$T685))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MATCH(1,(TDU_Info!$C$5:$C$110=$T$6)*(TDU_Info!$B$5:$B$110&lt;=$B686),0)</f>
        <v>97</v>
      </c>
      <c r="U686" s="152">
        <f>100*(INDEX(TDU_Info!$E$5:$E$110,$T686)/T$11+INDEX(TDU_Info!$F$5:$F$110,$T686))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MATCH(1,(TDU_Info!$C$5:$C$110=$T$6)*(TDU_Info!$B$5:$B$110&lt;=$B687),0)</f>
        <v>97</v>
      </c>
      <c r="U687" s="152">
        <f>100*(INDEX(TDU_Info!$E$5:$E$110,$T687)/T$11+INDEX(TDU_Info!$F$5:$F$110,$T687))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MATCH(1,(TDU_Info!$C$5:$C$110=$T$6)*(TDU_Info!$B$5:$B$110&lt;=$B688),0)</f>
        <v>97</v>
      </c>
      <c r="U688" s="152">
        <f>100*(INDEX(TDU_Info!$E$5:$E$110,$T688)/T$11+INDEX(TDU_Info!$F$5:$F$110,$T688))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MATCH(1,(TDU_Info!$C$5:$C$110=$T$6)*(TDU_Info!$B$5:$B$110&lt;=$B689),0)</f>
        <v>97</v>
      </c>
      <c r="U689" s="152">
        <f>100*(INDEX(TDU_Info!$E$5:$E$110,$T689)/T$11+INDEX(TDU_Info!$F$5:$F$110,$T689))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MATCH(1,(TDU_Info!$C$5:$C$110=$T$6)*(TDU_Info!$B$5:$B$110&lt;=$B690),0)</f>
        <v>97</v>
      </c>
      <c r="U690" s="152">
        <f>100*(INDEX(TDU_Info!$E$5:$E$110,$T690)/T$11+INDEX(TDU_Info!$F$5:$F$110,$T690))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MATCH(1,(TDU_Info!$C$5:$C$110=$T$6)*(TDU_Info!$B$5:$B$110&lt;=$B691),0)</f>
        <v>97</v>
      </c>
      <c r="U691" s="152">
        <f>100*(INDEX(TDU_Info!$E$5:$E$110,$T691)/T$11+INDEX(TDU_Info!$F$5:$F$110,$T691))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MATCH(1,(TDU_Info!$C$5:$C$110=$T$6)*(TDU_Info!$B$5:$B$110&lt;=$B692),0)</f>
        <v>97</v>
      </c>
      <c r="U692" s="152">
        <f>100*(INDEX(TDU_Info!$E$5:$E$110,$T692)/T$11+INDEX(TDU_Info!$F$5:$F$110,$T692))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MATCH(1,(TDU_Info!$C$5:$C$110=$T$6)*(TDU_Info!$B$5:$B$110&lt;=$B693),0)</f>
        <v>97</v>
      </c>
      <c r="U693" s="152">
        <f>100*(INDEX(TDU_Info!$E$5:$E$110,$T693)/T$11+INDEX(TDU_Info!$F$5:$F$110,$T693))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MATCH(1,(TDU_Info!$C$5:$C$110=$T$6)*(TDU_Info!$B$5:$B$110&lt;=$B694),0)</f>
        <v>97</v>
      </c>
      <c r="U694" s="152">
        <f>100*(INDEX(TDU_Info!$E$5:$E$110,$T694)/T$11+INDEX(TDU_Info!$F$5:$F$110,$T694))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MATCH(1,(TDU_Info!$C$5:$C$110=$T$6)*(TDU_Info!$B$5:$B$110&lt;=$B695),0)</f>
        <v>97</v>
      </c>
      <c r="U695" s="152">
        <f>100*(INDEX(TDU_Info!$E$5:$E$110,$T695)/T$11+INDEX(TDU_Info!$F$5:$F$110,$T695))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MATCH(1,(TDU_Info!$C$5:$C$110=$T$6)*(TDU_Info!$B$5:$B$110&lt;=$B696),0)</f>
        <v>97</v>
      </c>
      <c r="U696" s="152">
        <f>100*(INDEX(TDU_Info!$E$5:$E$110,$T696)/T$11+INDEX(TDU_Info!$F$5:$F$110,$T696))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MATCH(1,(TDU_Info!$C$5:$C$110=$T$6)*(TDU_Info!$B$5:$B$110&lt;=$B697),0)</f>
        <v>97</v>
      </c>
      <c r="U697" s="152">
        <f>100*(INDEX(TDU_Info!$E$5:$E$110,$T697)/T$11+INDEX(TDU_Info!$F$5:$F$110,$T697))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MATCH(1,(TDU_Info!$C$5:$C$110=$T$6)*(TDU_Info!$B$5:$B$110&lt;=$B698),0)</f>
        <v>97</v>
      </c>
      <c r="U698" s="152">
        <f>100*(INDEX(TDU_Info!$E$5:$E$110,$T698)/T$11+INDEX(TDU_Info!$F$5:$F$110,$T698))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MATCH(1,(TDU_Info!$C$5:$C$110=$T$6)*(TDU_Info!$B$5:$B$110&lt;=$B699),0)</f>
        <v>97</v>
      </c>
      <c r="U699" s="152">
        <f>100*(INDEX(TDU_Info!$E$5:$E$110,$T699)/T$11+INDEX(TDU_Info!$F$5:$F$110,$T699))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MATCH(1,(TDU_Info!$C$5:$C$110=$T$6)*(TDU_Info!$B$5:$B$110&lt;=$B700),0)</f>
        <v>97</v>
      </c>
      <c r="U700" s="152">
        <f>100*(INDEX(TDU_Info!$E$5:$E$110,$T700)/T$11+INDEX(TDU_Info!$F$5:$F$110,$T700))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MATCH(1,(TDU_Info!$C$5:$C$110=$T$6)*(TDU_Info!$B$5:$B$110&lt;=$B701),0)</f>
        <v>97</v>
      </c>
      <c r="U701" s="152">
        <f>100*(INDEX(TDU_Info!$E$5:$E$110,$T701)/T$11+INDEX(TDU_Info!$F$5:$F$110,$T701))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MATCH(1,(TDU_Info!$C$5:$C$110=$T$6)*(TDU_Info!$B$5:$B$110&lt;=$B702),0)</f>
        <v>97</v>
      </c>
      <c r="U702" s="152">
        <f>100*(INDEX(TDU_Info!$E$5:$E$110,$T702)/T$11+INDEX(TDU_Info!$F$5:$F$110,$T702))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MATCH(1,(TDU_Info!$C$5:$C$110=$T$6)*(TDU_Info!$B$5:$B$110&lt;=$B703),0)</f>
        <v>97</v>
      </c>
      <c r="U703" s="152">
        <f>100*(INDEX(TDU_Info!$E$5:$E$110,$T703)/T$11+INDEX(TDU_Info!$F$5:$F$110,$T703))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MATCH(1,(TDU_Info!$C$5:$C$110=$T$6)*(TDU_Info!$B$5:$B$110&lt;=$B704),0)</f>
        <v>97</v>
      </c>
      <c r="U704" s="152">
        <f>100*(INDEX(TDU_Info!$E$5:$E$110,$T704)/T$11+INDEX(TDU_Info!$F$5:$F$110,$T704))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MATCH(1,(TDU_Info!$C$5:$C$110=$T$6)*(TDU_Info!$B$5:$B$110&lt;=$B705),0)</f>
        <v>97</v>
      </c>
      <c r="U705" s="152">
        <f>100*(INDEX(TDU_Info!$E$5:$E$110,$T705)/T$11+INDEX(TDU_Info!$F$5:$F$110,$T705))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MATCH(1,(TDU_Info!$C$5:$C$110=$T$6)*(TDU_Info!$B$5:$B$110&lt;=$B706),0)</f>
        <v>97</v>
      </c>
      <c r="U706" s="152">
        <f>100*(INDEX(TDU_Info!$E$5:$E$110,$T706)/T$11+INDEX(TDU_Info!$F$5:$F$110,$T706))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MATCH(1,(TDU_Info!$C$5:$C$110=$T$6)*(TDU_Info!$B$5:$B$110&lt;=$B707),0)</f>
        <v>97</v>
      </c>
      <c r="U707" s="152">
        <f>100*(INDEX(TDU_Info!$E$5:$E$110,$T707)/T$11+INDEX(TDU_Info!$F$5:$F$110,$T707))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MATCH(1,(TDU_Info!$C$5:$C$110=$T$6)*(TDU_Info!$B$5:$B$110&lt;=$B708),0)</f>
        <v>97</v>
      </c>
      <c r="U708" s="152">
        <f>100*(INDEX(TDU_Info!$E$5:$E$110,$T708)/T$11+INDEX(TDU_Info!$F$5:$F$110,$T708))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MATCH(1,(TDU_Info!$C$5:$C$110=$T$6)*(TDU_Info!$B$5:$B$110&lt;=$B709),0)</f>
        <v>97</v>
      </c>
      <c r="U709" s="152">
        <f>100*(INDEX(TDU_Info!$E$5:$E$110,$T709)/T$11+INDEX(TDU_Info!$F$5:$F$110,$T709))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MATCH(1,(TDU_Info!$C$5:$C$110=$T$6)*(TDU_Info!$B$5:$B$110&lt;=$B710),0)</f>
        <v>97</v>
      </c>
      <c r="U710" s="152">
        <f>100*(INDEX(TDU_Info!$E$5:$E$110,$T710)/T$11+INDEX(TDU_Info!$F$5:$F$110,$T710))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MATCH(1,(TDU_Info!$C$5:$C$110=$T$6)*(TDU_Info!$B$5:$B$110&lt;=$B711),0)</f>
        <v>97</v>
      </c>
      <c r="U711" s="152">
        <f>100*(INDEX(TDU_Info!$E$5:$E$110,$T711)/T$11+INDEX(TDU_Info!$F$5:$F$110,$T711))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MATCH(1,(TDU_Info!$C$5:$C$110=$T$6)*(TDU_Info!$B$5:$B$110&lt;=$B712),0)</f>
        <v>97</v>
      </c>
      <c r="U712" s="152">
        <f>100*(INDEX(TDU_Info!$E$5:$E$110,$T712)/T$11+INDEX(TDU_Info!$F$5:$F$110,$T712))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MATCH(1,(TDU_Info!$C$5:$C$110=$T$6)*(TDU_Info!$B$5:$B$110&lt;=$B713),0)</f>
        <v>96</v>
      </c>
      <c r="U713" s="152">
        <f>100*(INDEX(TDU_Info!$E$5:$E$110,$T713)/T$11+INDEX(TDU_Info!$F$5:$F$110,$T713))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MATCH(1,(TDU_Info!$C$5:$C$110=$T$6)*(TDU_Info!$B$5:$B$110&lt;=$B714),0)</f>
        <v>96</v>
      </c>
      <c r="U714" s="152">
        <f>100*(INDEX(TDU_Info!$E$5:$E$110,$T714)/T$11+INDEX(TDU_Info!$F$5:$F$110,$T714))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MATCH(1,(TDU_Info!$C$5:$C$110=$T$6)*(TDU_Info!$B$5:$B$110&lt;=$B715),0)</f>
        <v>96</v>
      </c>
      <c r="U715" s="152">
        <f>100*(INDEX(TDU_Info!$E$5:$E$110,$T715)/T$11+INDEX(TDU_Info!$F$5:$F$110,$T715))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MATCH(1,(TDU_Info!$C$5:$C$110=$T$6)*(TDU_Info!$B$5:$B$110&lt;=$B716),0)</f>
        <v>96</v>
      </c>
      <c r="U716" s="152">
        <f>100*(INDEX(TDU_Info!$E$5:$E$110,$T716)/T$11+INDEX(TDU_Info!$F$5:$F$110,$T716))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MATCH(1,(TDU_Info!$C$5:$C$110=$T$6)*(TDU_Info!$B$5:$B$110&lt;=$B717),0)</f>
        <v>96</v>
      </c>
      <c r="U717" s="152">
        <f>100*(INDEX(TDU_Info!$E$5:$E$110,$T717)/T$11+INDEX(TDU_Info!$F$5:$F$110,$T717))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MATCH(1,(TDU_Info!$C$5:$C$110=$T$6)*(TDU_Info!$B$5:$B$110&lt;=$B718),0)</f>
        <v>96</v>
      </c>
      <c r="U718" s="152">
        <f>100*(INDEX(TDU_Info!$E$5:$E$110,$T718)/T$11+INDEX(TDU_Info!$F$5:$F$110,$T718))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MATCH(1,(TDU_Info!$C$5:$C$110=$T$6)*(TDU_Info!$B$5:$B$110&lt;=$B719),0)</f>
        <v>96</v>
      </c>
      <c r="U719" s="152">
        <f>100*(INDEX(TDU_Info!$E$5:$E$110,$T719)/T$11+INDEX(TDU_Info!$F$5:$F$110,$T719))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MATCH(1,(TDU_Info!$C$5:$C$110=$T$6)*(TDU_Info!$B$5:$B$110&lt;=$B720),0)</f>
        <v>96</v>
      </c>
      <c r="U720" s="152">
        <f>100*(INDEX(TDU_Info!$E$5:$E$110,$T720)/T$11+INDEX(TDU_Info!$F$5:$F$110,$T720))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MATCH(1,(TDU_Info!$C$5:$C$110=$T$6)*(TDU_Info!$B$5:$B$110&lt;=$B721),0)</f>
        <v>96</v>
      </c>
      <c r="U721" s="152">
        <f>100*(INDEX(TDU_Info!$E$5:$E$110,$T721)/T$11+INDEX(TDU_Info!$F$5:$F$110,$T721))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MATCH(1,(TDU_Info!$C$5:$C$110=$T$6)*(TDU_Info!$B$5:$B$110&lt;=$B722),0)</f>
        <v>96</v>
      </c>
      <c r="U722" s="152">
        <f>100*(INDEX(TDU_Info!$E$5:$E$110,$T722)/T$11+INDEX(TDU_Info!$F$5:$F$110,$T722))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MATCH(1,(TDU_Info!$C$5:$C$110=$T$6)*(TDU_Info!$B$5:$B$110&lt;=$B723),0)</f>
        <v>96</v>
      </c>
      <c r="U723" s="152">
        <f>100*(INDEX(TDU_Info!$E$5:$E$110,$T723)/T$11+INDEX(TDU_Info!$F$5:$F$110,$T723))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MATCH(1,(TDU_Info!$C$5:$C$110=$T$6)*(TDU_Info!$B$5:$B$110&lt;=$B724),0)</f>
        <v>96</v>
      </c>
      <c r="U724" s="152">
        <f>100*(INDEX(TDU_Info!$E$5:$E$110,$T724)/T$11+INDEX(TDU_Info!$F$5:$F$110,$T724))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MATCH(1,(TDU_Info!$C$5:$C$110=$T$6)*(TDU_Info!$B$5:$B$110&lt;=$B725),0)</f>
        <v>96</v>
      </c>
      <c r="U725" s="152">
        <f>100*(INDEX(TDU_Info!$E$5:$E$110,$T725)/T$11+INDEX(TDU_Info!$F$5:$F$110,$T725))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MATCH(1,(TDU_Info!$C$5:$C$110=$T$6)*(TDU_Info!$B$5:$B$110&lt;=$B726),0)</f>
        <v>96</v>
      </c>
      <c r="U726" s="152">
        <f>100*(INDEX(TDU_Info!$E$5:$E$110,$T726)/T$11+INDEX(TDU_Info!$F$5:$F$110,$T726))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MATCH(1,(TDU_Info!$C$5:$C$110=$T$6)*(TDU_Info!$B$5:$B$110&lt;=$B727),0)</f>
        <v>96</v>
      </c>
      <c r="U727" s="152">
        <f>100*(INDEX(TDU_Info!$E$5:$E$110,$T727)/T$11+INDEX(TDU_Info!$F$5:$F$110,$T727))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MATCH(1,(TDU_Info!$C$5:$C$110=$T$6)*(TDU_Info!$B$5:$B$110&lt;=$B728),0)</f>
        <v>96</v>
      </c>
      <c r="U728" s="152">
        <f>100*(INDEX(TDU_Info!$E$5:$E$110,$T728)/T$11+INDEX(TDU_Info!$F$5:$F$110,$T728))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MATCH(1,(TDU_Info!$C$5:$C$110=$T$6)*(TDU_Info!$B$5:$B$110&lt;=$B729),0)</f>
        <v>96</v>
      </c>
      <c r="U729" s="152">
        <f>100*(INDEX(TDU_Info!$E$5:$E$110,$T729)/T$11+INDEX(TDU_Info!$F$5:$F$110,$T729))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MATCH(1,(TDU_Info!$C$5:$C$110=$T$6)*(TDU_Info!$B$5:$B$110&lt;=$B730),0)</f>
        <v>96</v>
      </c>
      <c r="U730" s="152">
        <f>100*(INDEX(TDU_Info!$E$5:$E$110,$T730)/T$11+INDEX(TDU_Info!$F$5:$F$110,$T730))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MATCH(1,(TDU_Info!$C$5:$C$110=$T$6)*(TDU_Info!$B$5:$B$110&lt;=$B731),0)</f>
        <v>96</v>
      </c>
      <c r="U731" s="152">
        <f>100*(INDEX(TDU_Info!$E$5:$E$110,$T731)/T$11+INDEX(TDU_Info!$F$5:$F$110,$T731))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MATCH(1,(TDU_Info!$C$5:$C$110=$T$6)*(TDU_Info!$B$5:$B$110&lt;=$B732),0)</f>
        <v>96</v>
      </c>
      <c r="U732" s="152">
        <f>100*(INDEX(TDU_Info!$E$5:$E$110,$T732)/T$11+INDEX(TDU_Info!$F$5:$F$110,$T732))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MATCH(1,(TDU_Info!$C$5:$C$110=$T$6)*(TDU_Info!$B$5:$B$110&lt;=$B733),0)</f>
        <v>96</v>
      </c>
      <c r="U733" s="152">
        <f>100*(INDEX(TDU_Info!$E$5:$E$110,$T733)/T$11+INDEX(TDU_Info!$F$5:$F$110,$T733))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MATCH(1,(TDU_Info!$C$5:$C$110=$T$6)*(TDU_Info!$B$5:$B$110&lt;=$B734),0)</f>
        <v>96</v>
      </c>
      <c r="U734" s="152">
        <f>100*(INDEX(TDU_Info!$E$5:$E$110,$T734)/T$11+INDEX(TDU_Info!$F$5:$F$110,$T734))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MATCH(1,(TDU_Info!$C$5:$C$110=$T$6)*(TDU_Info!$B$5:$B$110&lt;=$B735),0)</f>
        <v>96</v>
      </c>
      <c r="U735" s="152">
        <f>100*(INDEX(TDU_Info!$E$5:$E$110,$T735)/T$11+INDEX(TDU_Info!$F$5:$F$110,$T735))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MATCH(1,(TDU_Info!$C$5:$C$110=$T$6)*(TDU_Info!$B$5:$B$110&lt;=$B736),0)</f>
        <v>96</v>
      </c>
      <c r="U736" s="152">
        <f>100*(INDEX(TDU_Info!$E$5:$E$110,$T736)/T$11+INDEX(TDU_Info!$F$5:$F$110,$T736))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MATCH(1,(TDU_Info!$C$5:$C$110=$T$6)*(TDU_Info!$B$5:$B$110&lt;=$B737),0)</f>
        <v>96</v>
      </c>
      <c r="U737" s="152">
        <f>100*(INDEX(TDU_Info!$E$5:$E$110,$T737)/T$11+INDEX(TDU_Info!$F$5:$F$110,$T737))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MATCH(1,(TDU_Info!$C$5:$C$110=$T$6)*(TDU_Info!$B$5:$B$110&lt;=$B738),0)</f>
        <v>96</v>
      </c>
      <c r="U738" s="152">
        <f>100*(INDEX(TDU_Info!$E$5:$E$110,$T738)/T$11+INDEX(TDU_Info!$F$5:$F$110,$T738))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MATCH(1,(TDU_Info!$C$5:$C$110=$T$6)*(TDU_Info!$B$5:$B$110&lt;=$B739),0)</f>
        <v>96</v>
      </c>
      <c r="U739" s="152">
        <f>100*(INDEX(TDU_Info!$E$5:$E$110,$T739)/T$11+INDEX(TDU_Info!$F$5:$F$110,$T739))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MATCH(1,(TDU_Info!$C$5:$C$110=$T$6)*(TDU_Info!$B$5:$B$110&lt;=$B740),0)</f>
        <v>96</v>
      </c>
      <c r="U740" s="152">
        <f>100*(INDEX(TDU_Info!$E$5:$E$110,$T740)/T$11+INDEX(TDU_Info!$F$5:$F$110,$T740))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MATCH(1,(TDU_Info!$C$5:$C$110=$T$6)*(TDU_Info!$B$5:$B$110&lt;=$B741),0)</f>
        <v>96</v>
      </c>
      <c r="U741" s="152">
        <f>100*(INDEX(TDU_Info!$E$5:$E$110,$T741)/T$11+INDEX(TDU_Info!$F$5:$F$110,$T741))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MATCH(1,(TDU_Info!$C$5:$C$110=$T$6)*(TDU_Info!$B$5:$B$110&lt;=$B742),0)</f>
        <v>96</v>
      </c>
      <c r="U742" s="152">
        <f>100*(INDEX(TDU_Info!$E$5:$E$110,$T742)/T$11+INDEX(TDU_Info!$F$5:$F$110,$T742))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MATCH(1,(TDU_Info!$C$5:$C$110=$T$6)*(TDU_Info!$B$5:$B$110&lt;=$B743),0)</f>
        <v>96</v>
      </c>
      <c r="U743" s="152">
        <f>100*(INDEX(TDU_Info!$E$5:$E$110,$T743)/T$11+INDEX(TDU_Info!$F$5:$F$110,$T743))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MATCH(1,(TDU_Info!$C$5:$C$110=$T$6)*(TDU_Info!$B$5:$B$110&lt;=$B744),0)</f>
        <v>96</v>
      </c>
      <c r="U744" s="152">
        <f>100*(INDEX(TDU_Info!$E$5:$E$110,$T744)/T$11+INDEX(TDU_Info!$F$5:$F$110,$T744))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MATCH(1,(TDU_Info!$C$5:$C$110=$T$6)*(TDU_Info!$B$5:$B$110&lt;=$B745),0)</f>
        <v>96</v>
      </c>
      <c r="U745" s="152">
        <f>100*(INDEX(TDU_Info!$E$5:$E$110,$T745)/T$11+INDEX(TDU_Info!$F$5:$F$110,$T745))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MATCH(1,(TDU_Info!$C$5:$C$110=$T$6)*(TDU_Info!$B$5:$B$110&lt;=$B746),0)</f>
        <v>96</v>
      </c>
      <c r="U746" s="152">
        <f>100*(INDEX(TDU_Info!$E$5:$E$110,$T746)/T$11+INDEX(TDU_Info!$F$5:$F$110,$T746))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MATCH(1,(TDU_Info!$C$5:$C$110=$T$6)*(TDU_Info!$B$5:$B$110&lt;=$B747),0)</f>
        <v>96</v>
      </c>
      <c r="U747" s="152">
        <f>100*(INDEX(TDU_Info!$E$5:$E$110,$T747)/T$11+INDEX(TDU_Info!$F$5:$F$110,$T747))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MATCH(1,(TDU_Info!$C$5:$C$110=$T$6)*(TDU_Info!$B$5:$B$110&lt;=$B748),0)</f>
        <v>96</v>
      </c>
      <c r="U748" s="152">
        <f>100*(INDEX(TDU_Info!$E$5:$E$110,$T748)/T$11+INDEX(TDU_Info!$F$5:$F$110,$T748))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MATCH(1,(TDU_Info!$C$5:$C$110=$T$6)*(TDU_Info!$B$5:$B$110&lt;=$B749),0)</f>
        <v>96</v>
      </c>
      <c r="U749" s="152">
        <f>100*(INDEX(TDU_Info!$E$5:$E$110,$T749)/T$11+INDEX(TDU_Info!$F$5:$F$110,$T749))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MATCH(1,(TDU_Info!$C$5:$C$110=$T$6)*(TDU_Info!$B$5:$B$110&lt;=$B750),0)</f>
        <v>96</v>
      </c>
      <c r="U750" s="152">
        <f>100*(INDEX(TDU_Info!$E$5:$E$110,$T750)/T$11+INDEX(TDU_Info!$F$5:$F$110,$T750))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MATCH(1,(TDU_Info!$C$5:$C$110=$T$6)*(TDU_Info!$B$5:$B$110&lt;=$B751),0)</f>
        <v>96</v>
      </c>
      <c r="U751" s="152">
        <f>100*(INDEX(TDU_Info!$E$5:$E$110,$T751)/T$11+INDEX(TDU_Info!$F$5:$F$110,$T751))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MATCH(1,(TDU_Info!$C$5:$C$110=$T$6)*(TDU_Info!$B$5:$B$110&lt;=$B752),0)</f>
        <v>96</v>
      </c>
      <c r="U752" s="152">
        <f>100*(INDEX(TDU_Info!$E$5:$E$110,$T752)/T$11+INDEX(TDU_Info!$F$5:$F$110,$T752))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MATCH(1,(TDU_Info!$C$5:$C$110=$T$6)*(TDU_Info!$B$5:$B$110&lt;=$B753),0)</f>
        <v>96</v>
      </c>
      <c r="U753" s="152">
        <f>100*(INDEX(TDU_Info!$E$5:$E$110,$T753)/T$11+INDEX(TDU_Info!$F$5:$F$110,$T753))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MATCH(1,(TDU_Info!$C$5:$C$110=$T$6)*(TDU_Info!$B$5:$B$110&lt;=$B754),0)</f>
        <v>96</v>
      </c>
      <c r="U754" s="152">
        <f>100*(INDEX(TDU_Info!$E$5:$E$110,$T754)/T$11+INDEX(TDU_Info!$F$5:$F$110,$T754))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MATCH(1,(TDU_Info!$C$5:$C$110=$T$6)*(TDU_Info!$B$5:$B$110&lt;=$B755),0)</f>
        <v>96</v>
      </c>
      <c r="U755" s="152">
        <f>100*(INDEX(TDU_Info!$E$5:$E$110,$T755)/T$11+INDEX(TDU_Info!$F$5:$F$110,$T755))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MATCH(1,(TDU_Info!$C$5:$C$110=$T$6)*(TDU_Info!$B$5:$B$110&lt;=$B756),0)</f>
        <v>96</v>
      </c>
      <c r="U756" s="152">
        <f>100*(INDEX(TDU_Info!$E$5:$E$110,$T756)/T$11+INDEX(TDU_Info!$F$5:$F$110,$T756))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MATCH(1,(TDU_Info!$C$5:$C$110=$T$6)*(TDU_Info!$B$5:$B$110&lt;=$B757),0)</f>
        <v>96</v>
      </c>
      <c r="U757" s="152">
        <f>100*(INDEX(TDU_Info!$E$5:$E$110,$T757)/T$11+INDEX(TDU_Info!$F$5:$F$110,$T757))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MATCH(1,(TDU_Info!$C$5:$C$110=$T$6)*(TDU_Info!$B$5:$B$110&lt;=$B758),0)</f>
        <v>96</v>
      </c>
      <c r="U758" s="152">
        <f>100*(INDEX(TDU_Info!$E$5:$E$110,$T758)/T$11+INDEX(TDU_Info!$F$5:$F$110,$T758))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MATCH(1,(TDU_Info!$C$5:$C$110=$T$6)*(TDU_Info!$B$5:$B$110&lt;=$B759),0)</f>
        <v>96</v>
      </c>
      <c r="U759" s="152">
        <f>100*(INDEX(TDU_Info!$E$5:$E$110,$T759)/T$11+INDEX(TDU_Info!$F$5:$F$110,$T759))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MATCH(1,(TDU_Info!$C$5:$C$110=$T$6)*(TDU_Info!$B$5:$B$110&lt;=$B760),0)</f>
        <v>96</v>
      </c>
      <c r="U760" s="152">
        <f>100*(INDEX(TDU_Info!$E$5:$E$110,$T760)/T$11+INDEX(TDU_Info!$F$5:$F$110,$T760))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MATCH(1,(TDU_Info!$C$5:$C$110=$T$6)*(TDU_Info!$B$5:$B$110&lt;=$B761),0)</f>
        <v>96</v>
      </c>
      <c r="U761" s="152">
        <f>100*(INDEX(TDU_Info!$E$5:$E$110,$T761)/T$11+INDEX(TDU_Info!$F$5:$F$110,$T761))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MATCH(1,(TDU_Info!$C$5:$C$110=$T$6)*(TDU_Info!$B$5:$B$110&lt;=$B762),0)</f>
        <v>96</v>
      </c>
      <c r="U762" s="152">
        <f>100*(INDEX(TDU_Info!$E$5:$E$110,$T762)/T$11+INDEX(TDU_Info!$F$5:$F$110,$T762))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MATCH(1,(TDU_Info!$C$5:$C$110=$T$6)*(TDU_Info!$B$5:$B$110&lt;=$B763),0)</f>
        <v>96</v>
      </c>
      <c r="U763" s="152">
        <f>100*(INDEX(TDU_Info!$E$5:$E$110,$T763)/T$11+INDEX(TDU_Info!$F$5:$F$110,$T763))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MATCH(1,(TDU_Info!$C$5:$C$110=$T$6)*(TDU_Info!$B$5:$B$110&lt;=$B764),0)</f>
        <v>96</v>
      </c>
      <c r="U764" s="152">
        <f>100*(INDEX(TDU_Info!$E$5:$E$110,$T764)/T$11+INDEX(TDU_Info!$F$5:$F$110,$T764))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MATCH(1,(TDU_Info!$C$5:$C$110=$T$6)*(TDU_Info!$B$5:$B$110&lt;=$B765),0)</f>
        <v>96</v>
      </c>
      <c r="U765" s="152">
        <f>100*(INDEX(TDU_Info!$E$5:$E$110,$T765)/T$11+INDEX(TDU_Info!$F$5:$F$110,$T765))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MATCH(1,(TDU_Info!$C$5:$C$110=$T$6)*(TDU_Info!$B$5:$B$110&lt;=$B766),0)</f>
        <v>96</v>
      </c>
      <c r="U766" s="152">
        <f>100*(INDEX(TDU_Info!$E$5:$E$110,$T766)/T$11+INDEX(TDU_Info!$F$5:$F$110,$T766))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MATCH(1,(TDU_Info!$C$5:$C$110=$T$6)*(TDU_Info!$B$5:$B$110&lt;=$B767),0)</f>
        <v>96</v>
      </c>
      <c r="U767" s="152">
        <f>100*(INDEX(TDU_Info!$E$5:$E$110,$T767)/T$11+INDEX(TDU_Info!$F$5:$F$110,$T767))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MATCH(1,(TDU_Info!$C$5:$C$110=$T$6)*(TDU_Info!$B$5:$B$110&lt;=$B768),0)</f>
        <v>96</v>
      </c>
      <c r="U768" s="152">
        <f>100*(INDEX(TDU_Info!$E$5:$E$110,$T768)/T$11+INDEX(TDU_Info!$F$5:$F$110,$T768))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MATCH(1,(TDU_Info!$C$5:$C$110=$T$6)*(TDU_Info!$B$5:$B$110&lt;=$B769),0)</f>
        <v>96</v>
      </c>
      <c r="U769" s="152">
        <f>100*(INDEX(TDU_Info!$E$5:$E$110,$T769)/T$11+INDEX(TDU_Info!$F$5:$F$110,$T769))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MATCH(1,(TDU_Info!$C$5:$C$110=$T$6)*(TDU_Info!$B$5:$B$110&lt;=$B770),0)</f>
        <v>96</v>
      </c>
      <c r="U770" s="152">
        <f>100*(INDEX(TDU_Info!$E$5:$E$110,$T770)/T$11+INDEX(TDU_Info!$F$5:$F$110,$T770))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MATCH(1,(TDU_Info!$C$5:$C$110=$T$6)*(TDU_Info!$B$5:$B$110&lt;=$B771),0)</f>
        <v>96</v>
      </c>
      <c r="U771" s="152">
        <f>100*(INDEX(TDU_Info!$E$5:$E$110,$T771)/T$11+INDEX(TDU_Info!$F$5:$F$110,$T771))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MATCH(1,(TDU_Info!$C$5:$C$110=$T$6)*(TDU_Info!$B$5:$B$110&lt;=$B772),0)</f>
        <v>96</v>
      </c>
      <c r="U772" s="152">
        <f>100*(INDEX(TDU_Info!$E$5:$E$110,$T772)/T$11+INDEX(TDU_Info!$F$5:$F$110,$T772))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MATCH(1,(TDU_Info!$C$5:$C$110=$T$6)*(TDU_Info!$B$5:$B$110&lt;=$B773),0)</f>
        <v>96</v>
      </c>
      <c r="U773" s="152">
        <f>100*(INDEX(TDU_Info!$E$5:$E$110,$T773)/T$11+INDEX(TDU_Info!$F$5:$F$110,$T773))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MATCH(1,(TDU_Info!$C$5:$C$110=$T$6)*(TDU_Info!$B$5:$B$110&lt;=$B774),0)</f>
        <v>96</v>
      </c>
      <c r="U774" s="152">
        <f>100*(INDEX(TDU_Info!$E$5:$E$110,$T774)/T$11+INDEX(TDU_Info!$F$5:$F$110,$T774))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MATCH(1,(TDU_Info!$C$5:$C$110=$T$6)*(TDU_Info!$B$5:$B$110&lt;=$B775),0)</f>
        <v>96</v>
      </c>
      <c r="U775" s="152">
        <f>100*(INDEX(TDU_Info!$E$5:$E$110,$T775)/T$11+INDEX(TDU_Info!$F$5:$F$110,$T775))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MATCH(1,(TDU_Info!$C$5:$C$110=$T$6)*(TDU_Info!$B$5:$B$110&lt;=$B776),0)</f>
        <v>96</v>
      </c>
      <c r="U776" s="152">
        <f>100*(INDEX(TDU_Info!$E$5:$E$110,$T776)/T$11+INDEX(TDU_Info!$F$5:$F$110,$T776))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MATCH(1,(TDU_Info!$C$5:$C$110=$T$6)*(TDU_Info!$B$5:$B$110&lt;=$B777),0)</f>
        <v>96</v>
      </c>
      <c r="U777" s="152">
        <f>100*(INDEX(TDU_Info!$E$5:$E$110,$T777)/T$11+INDEX(TDU_Info!$F$5:$F$110,$T777))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MATCH(1,(TDU_Info!$C$5:$C$110=$T$6)*(TDU_Info!$B$5:$B$110&lt;=$B778),0)</f>
        <v>96</v>
      </c>
      <c r="U778" s="152">
        <f>100*(INDEX(TDU_Info!$E$5:$E$110,$T778)/T$11+INDEX(TDU_Info!$F$5:$F$110,$T778))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MATCH(1,(TDU_Info!$C$5:$C$110=$T$6)*(TDU_Info!$B$5:$B$110&lt;=$B779),0)</f>
        <v>96</v>
      </c>
      <c r="U779" s="152">
        <f>100*(INDEX(TDU_Info!$E$5:$E$110,$T779)/T$11+INDEX(TDU_Info!$F$5:$F$110,$T779))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MATCH(1,(TDU_Info!$C$5:$C$110=$T$6)*(TDU_Info!$B$5:$B$110&lt;=$B780),0)</f>
        <v>96</v>
      </c>
      <c r="U780" s="152">
        <f>100*(INDEX(TDU_Info!$E$5:$E$110,$T780)/T$11+INDEX(TDU_Info!$F$5:$F$110,$T780))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MATCH(1,(TDU_Info!$C$5:$C$110=$T$6)*(TDU_Info!$B$5:$B$110&lt;=$B781),0)</f>
        <v>96</v>
      </c>
      <c r="U781" s="152">
        <f>100*(INDEX(TDU_Info!$E$5:$E$110,$T781)/T$11+INDEX(TDU_Info!$F$5:$F$110,$T781))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MATCH(1,(TDU_Info!$C$5:$C$110=$T$6)*(TDU_Info!$B$5:$B$110&lt;=$B782),0)</f>
        <v>96</v>
      </c>
      <c r="U782" s="152">
        <f>100*(INDEX(TDU_Info!$E$5:$E$110,$T782)/T$11+INDEX(TDU_Info!$F$5:$F$110,$T782))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MATCH(1,(TDU_Info!$C$5:$C$110=$T$6)*(TDU_Info!$B$5:$B$110&lt;=$B783),0)</f>
        <v>96</v>
      </c>
      <c r="U783" s="152">
        <f>100*(INDEX(TDU_Info!$E$5:$E$110,$T783)/T$11+INDEX(TDU_Info!$F$5:$F$110,$T783))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MATCH(1,(TDU_Info!$C$5:$C$110=$T$6)*(TDU_Info!$B$5:$B$110&lt;=$B784),0)</f>
        <v>96</v>
      </c>
      <c r="U784" s="152">
        <f>100*(INDEX(TDU_Info!$E$5:$E$110,$T784)/T$11+INDEX(TDU_Info!$F$5:$F$110,$T784))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MATCH(1,(TDU_Info!$C$5:$C$110=$T$6)*(TDU_Info!$B$5:$B$110&lt;=$B785),0)</f>
        <v>96</v>
      </c>
      <c r="U785" s="152">
        <f>100*(INDEX(TDU_Info!$E$5:$E$110,$T785)/T$11+INDEX(TDU_Info!$F$5:$F$110,$T785))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MATCH(1,(TDU_Info!$C$5:$C$110=$T$6)*(TDU_Info!$B$5:$B$110&lt;=$B786),0)</f>
        <v>96</v>
      </c>
      <c r="U786" s="152">
        <f>100*(INDEX(TDU_Info!$E$5:$E$110,$T786)/T$11+INDEX(TDU_Info!$F$5:$F$110,$T786))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MATCH(1,(TDU_Info!$C$5:$C$110=$T$6)*(TDU_Info!$B$5:$B$110&lt;=$B787),0)</f>
        <v>96</v>
      </c>
      <c r="U787" s="152">
        <f>100*(INDEX(TDU_Info!$E$5:$E$110,$T787)/T$11+INDEX(TDU_Info!$F$5:$F$110,$T787))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MATCH(1,(TDU_Info!$C$5:$C$110=$T$6)*(TDU_Info!$B$5:$B$110&lt;=$B788),0)</f>
        <v>96</v>
      </c>
      <c r="U788" s="152">
        <f>100*(INDEX(TDU_Info!$E$5:$E$110,$T788)/T$11+INDEX(TDU_Info!$F$5:$F$110,$T788))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MATCH(1,(TDU_Info!$C$5:$C$110=$T$6)*(TDU_Info!$B$5:$B$110&lt;=$B789),0)</f>
        <v>96</v>
      </c>
      <c r="U789" s="152">
        <f>100*(INDEX(TDU_Info!$E$5:$E$110,$T789)/T$11+INDEX(TDU_Info!$F$5:$F$110,$T789))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MATCH(1,(TDU_Info!$C$5:$C$110=$T$6)*(TDU_Info!$B$5:$B$110&lt;=$B790),0)</f>
        <v>96</v>
      </c>
      <c r="U790" s="152">
        <f>100*(INDEX(TDU_Info!$E$5:$E$110,$T790)/T$11+INDEX(TDU_Info!$F$5:$F$110,$T790))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MATCH(1,(TDU_Info!$C$5:$C$110=$T$6)*(TDU_Info!$B$5:$B$110&lt;=$B791),0)</f>
        <v>96</v>
      </c>
      <c r="U791" s="152">
        <f>100*(INDEX(TDU_Info!$E$5:$E$110,$T791)/T$11+INDEX(TDU_Info!$F$5:$F$110,$T791))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MATCH(1,(TDU_Info!$C$5:$C$110=$T$6)*(TDU_Info!$B$5:$B$110&lt;=$B792),0)</f>
        <v>96</v>
      </c>
      <c r="U792" s="152">
        <f>100*(INDEX(TDU_Info!$E$5:$E$110,$T792)/T$11+INDEX(TDU_Info!$F$5:$F$110,$T792))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MATCH(1,(TDU_Info!$C$5:$C$110=$T$6)*(TDU_Info!$B$5:$B$110&lt;=$B793),0)</f>
        <v>96</v>
      </c>
      <c r="U793" s="152">
        <f>100*(INDEX(TDU_Info!$E$5:$E$110,$T793)/T$11+INDEX(TDU_Info!$F$5:$F$110,$T793))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MATCH(1,(TDU_Info!$C$5:$C$110=$T$6)*(TDU_Info!$B$5:$B$110&lt;=$B794),0)</f>
        <v>96</v>
      </c>
      <c r="U794" s="152">
        <f>100*(INDEX(TDU_Info!$E$5:$E$110,$T794)/T$11+INDEX(TDU_Info!$F$5:$F$110,$T794))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MATCH(1,(TDU_Info!$C$5:$C$110=$T$6)*(TDU_Info!$B$5:$B$110&lt;=$B795),0)</f>
        <v>96</v>
      </c>
      <c r="U795" s="152">
        <f>100*(INDEX(TDU_Info!$E$5:$E$110,$T795)/T$11+INDEX(TDU_Info!$F$5:$F$110,$T795))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MATCH(1,(TDU_Info!$C$5:$C$110=$T$6)*(TDU_Info!$B$5:$B$110&lt;=$B796),0)</f>
        <v>96</v>
      </c>
      <c r="U796" s="152">
        <f>100*(INDEX(TDU_Info!$E$5:$E$110,$T796)/T$11+INDEX(TDU_Info!$F$5:$F$110,$T796))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MATCH(1,(TDU_Info!$C$5:$C$110=$T$6)*(TDU_Info!$B$5:$B$110&lt;=$B797),0)</f>
        <v>96</v>
      </c>
      <c r="U797" s="152">
        <f>100*(INDEX(TDU_Info!$E$5:$E$110,$T797)/T$11+INDEX(TDU_Info!$F$5:$F$110,$T797))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MATCH(1,(TDU_Info!$C$5:$C$110=$T$6)*(TDU_Info!$B$5:$B$110&lt;=$B798),0)</f>
        <v>96</v>
      </c>
      <c r="U798" s="152">
        <f>100*(INDEX(TDU_Info!$E$5:$E$110,$T798)/T$11+INDEX(TDU_Info!$F$5:$F$110,$T798))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MATCH(1,(TDU_Info!$C$5:$C$110=$T$6)*(TDU_Info!$B$5:$B$110&lt;=$B799),0)</f>
        <v>96</v>
      </c>
      <c r="U799" s="152">
        <f>100*(INDEX(TDU_Info!$E$5:$E$110,$T799)/T$11+INDEX(TDU_Info!$F$5:$F$110,$T799))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MATCH(1,(TDU_Info!$C$5:$C$110=$T$6)*(TDU_Info!$B$5:$B$110&lt;=$B800),0)</f>
        <v>96</v>
      </c>
      <c r="U800" s="152">
        <f>100*(INDEX(TDU_Info!$E$5:$E$110,$T800)/T$11+INDEX(TDU_Info!$F$5:$F$110,$T800))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MATCH(1,(TDU_Info!$C$5:$C$110=$T$6)*(TDU_Info!$B$5:$B$110&lt;=$B801),0)</f>
        <v>96</v>
      </c>
      <c r="U801" s="152">
        <f>100*(INDEX(TDU_Info!$E$5:$E$110,$T801)/T$11+INDEX(TDU_Info!$F$5:$F$110,$T801))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MATCH(1,(TDU_Info!$C$5:$C$110=$T$6)*(TDU_Info!$B$5:$B$110&lt;=$B802),0)</f>
        <v>96</v>
      </c>
      <c r="U802" s="152">
        <f>100*(INDEX(TDU_Info!$E$5:$E$110,$T802)/T$11+INDEX(TDU_Info!$F$5:$F$110,$T802))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MATCH(1,(TDU_Info!$C$5:$C$110=$T$6)*(TDU_Info!$B$5:$B$110&lt;=$B803),0)</f>
        <v>96</v>
      </c>
      <c r="U803" s="152">
        <f>100*(INDEX(TDU_Info!$E$5:$E$110,$T803)/T$11+INDEX(TDU_Info!$F$5:$F$110,$T803))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MATCH(1,(TDU_Info!$C$5:$C$110=$T$6)*(TDU_Info!$B$5:$B$110&lt;=$B804),0)</f>
        <v>96</v>
      </c>
      <c r="U804" s="152">
        <f>100*(INDEX(TDU_Info!$E$5:$E$110,$T804)/T$11+INDEX(TDU_Info!$F$5:$F$110,$T804))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MATCH(1,(TDU_Info!$C$5:$C$110=$T$6)*(TDU_Info!$B$5:$B$110&lt;=$B805),0)</f>
        <v>96</v>
      </c>
      <c r="U805" s="152">
        <f>100*(INDEX(TDU_Info!$E$5:$E$110,$T805)/T$11+INDEX(TDU_Info!$F$5:$F$110,$T805))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MATCH(1,(TDU_Info!$C$5:$C$110=$T$6)*(TDU_Info!$B$5:$B$110&lt;=$B806),0)</f>
        <v>95</v>
      </c>
      <c r="U806" s="152">
        <f>100*(INDEX(TDU_Info!$E$5:$E$110,$T806)/T$11+INDEX(TDU_Info!$F$5:$F$110,$T806))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MATCH(1,(TDU_Info!$C$5:$C$110=$T$6)*(TDU_Info!$B$5:$B$110&lt;=$B807),0)</f>
        <v>95</v>
      </c>
      <c r="U807" s="152">
        <f>100*(INDEX(TDU_Info!$E$5:$E$110,$T807)/T$11+INDEX(TDU_Info!$F$5:$F$110,$T807))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MATCH(1,(TDU_Info!$C$5:$C$110=$T$6)*(TDU_Info!$B$5:$B$110&lt;=$B808),0)</f>
        <v>95</v>
      </c>
      <c r="U808" s="152">
        <f>100*(INDEX(TDU_Info!$E$5:$E$110,$T808)/T$11+INDEX(TDU_Info!$F$5:$F$110,$T808))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MATCH(1,(TDU_Info!$C$5:$C$110=$T$6)*(TDU_Info!$B$5:$B$110&lt;=$B809),0)</f>
        <v>95</v>
      </c>
      <c r="U809" s="152">
        <f>100*(INDEX(TDU_Info!$E$5:$E$110,$T809)/T$11+INDEX(TDU_Info!$F$5:$F$110,$T809))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MATCH(1,(TDU_Info!$C$5:$C$110=$T$6)*(TDU_Info!$B$5:$B$110&lt;=$B810),0)</f>
        <v>95</v>
      </c>
      <c r="U810" s="152">
        <f>100*(INDEX(TDU_Info!$E$5:$E$110,$T810)/T$11+INDEX(TDU_Info!$F$5:$F$110,$T810))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MATCH(1,(TDU_Info!$C$5:$C$110=$T$6)*(TDU_Info!$B$5:$B$110&lt;=$B811),0)</f>
        <v>95</v>
      </c>
      <c r="U811" s="152">
        <f>100*(INDEX(TDU_Info!$E$5:$E$110,$T811)/T$11+INDEX(TDU_Info!$F$5:$F$110,$T811))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MATCH(1,(TDU_Info!$C$5:$C$110=$T$6)*(TDU_Info!$B$5:$B$110&lt;=$B812),0)</f>
        <v>95</v>
      </c>
      <c r="U812" s="152">
        <f>100*(INDEX(TDU_Info!$E$5:$E$110,$T812)/T$11+INDEX(TDU_Info!$F$5:$F$110,$T812))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MATCH(1,(TDU_Info!$C$5:$C$110=$T$6)*(TDU_Info!$B$5:$B$110&lt;=$B813),0)</f>
        <v>95</v>
      </c>
      <c r="U813" s="152">
        <f>100*(INDEX(TDU_Info!$E$5:$E$110,$T813)/T$11+INDEX(TDU_Info!$F$5:$F$110,$T813))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MATCH(1,(TDU_Info!$C$5:$C$110=$T$6)*(TDU_Info!$B$5:$B$110&lt;=$B814),0)</f>
        <v>95</v>
      </c>
      <c r="U814" s="152">
        <f>100*(INDEX(TDU_Info!$E$5:$E$110,$T814)/T$11+INDEX(TDU_Info!$F$5:$F$110,$T814))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MATCH(1,(TDU_Info!$C$5:$C$110=$T$6)*(TDU_Info!$B$5:$B$110&lt;=$B815),0)</f>
        <v>95</v>
      </c>
      <c r="U815" s="152">
        <f>100*(INDEX(TDU_Info!$E$5:$E$110,$T815)/T$11+INDEX(TDU_Info!$F$5:$F$110,$T815))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MATCH(1,(TDU_Info!$C$5:$C$110=$T$6)*(TDU_Info!$B$5:$B$110&lt;=$B816),0)</f>
        <v>95</v>
      </c>
      <c r="U816" s="152">
        <f>100*(INDEX(TDU_Info!$E$5:$E$110,$T816)/T$11+INDEX(TDU_Info!$F$5:$F$110,$T816))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MATCH(1,(TDU_Info!$C$5:$C$110=$T$6)*(TDU_Info!$B$5:$B$110&lt;=$B817),0)</f>
        <v>95</v>
      </c>
      <c r="U817" s="152">
        <f>100*(INDEX(TDU_Info!$E$5:$E$110,$T817)/T$11+INDEX(TDU_Info!$F$5:$F$110,$T817))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MATCH(1,(TDU_Info!$C$5:$C$110=$T$6)*(TDU_Info!$B$5:$B$110&lt;=$B818),0)</f>
        <v>95</v>
      </c>
      <c r="U818" s="152">
        <f>100*(INDEX(TDU_Info!$E$5:$E$110,$T818)/T$11+INDEX(TDU_Info!$F$5:$F$110,$T818))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MATCH(1,(TDU_Info!$C$5:$C$110=$T$6)*(TDU_Info!$B$5:$B$110&lt;=$B819),0)</f>
        <v>95</v>
      </c>
      <c r="U819" s="152">
        <f>100*(INDEX(TDU_Info!$E$5:$E$110,$T819)/T$11+INDEX(TDU_Info!$F$5:$F$110,$T819))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MATCH(1,(TDU_Info!$C$5:$C$110=$T$6)*(TDU_Info!$B$5:$B$110&lt;=$B820),0)</f>
        <v>95</v>
      </c>
      <c r="U820" s="152">
        <f>100*(INDEX(TDU_Info!$E$5:$E$110,$T820)/T$11+INDEX(TDU_Info!$F$5:$F$110,$T820))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MATCH(1,(TDU_Info!$C$5:$C$110=$T$6)*(TDU_Info!$B$5:$B$110&lt;=$B821),0)</f>
        <v>95</v>
      </c>
      <c r="U821" s="152">
        <f>100*(INDEX(TDU_Info!$E$5:$E$110,$T821)/T$11+INDEX(TDU_Info!$F$5:$F$110,$T821))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MATCH(1,(TDU_Info!$C$5:$C$110=$T$6)*(TDU_Info!$B$5:$B$110&lt;=$B822),0)</f>
        <v>95</v>
      </c>
      <c r="U822" s="152">
        <f>100*(INDEX(TDU_Info!$E$5:$E$110,$T822)/T$11+INDEX(TDU_Info!$F$5:$F$110,$T822))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MATCH(1,(TDU_Info!$C$5:$C$110=$T$6)*(TDU_Info!$B$5:$B$110&lt;=$B823),0)</f>
        <v>95</v>
      </c>
      <c r="U823" s="152">
        <f>100*(INDEX(TDU_Info!$E$5:$E$110,$T823)/T$11+INDEX(TDU_Info!$F$5:$F$110,$T823))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MATCH(1,(TDU_Info!$C$5:$C$110=$T$6)*(TDU_Info!$B$5:$B$110&lt;=$B824),0)</f>
        <v>95</v>
      </c>
      <c r="U824" s="152">
        <f>100*(INDEX(TDU_Info!$E$5:$E$110,$T824)/T$11+INDEX(TDU_Info!$F$5:$F$110,$T824))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MATCH(1,(TDU_Info!$C$5:$C$110=$T$6)*(TDU_Info!$B$5:$B$110&lt;=$B825),0)</f>
        <v>95</v>
      </c>
      <c r="U825" s="152">
        <f>100*(INDEX(TDU_Info!$E$5:$E$110,$T825)/T$11+INDEX(TDU_Info!$F$5:$F$110,$T825))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MATCH(1,(TDU_Info!$C$5:$C$110=$T$6)*(TDU_Info!$B$5:$B$110&lt;=$B826),0)</f>
        <v>95</v>
      </c>
      <c r="U826" s="152">
        <f>100*(INDEX(TDU_Info!$E$5:$E$110,$T826)/T$11+INDEX(TDU_Info!$F$5:$F$110,$T826))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MATCH(1,(TDU_Info!$C$5:$C$110=$T$6)*(TDU_Info!$B$5:$B$110&lt;=$B827),0)</f>
        <v>95</v>
      </c>
      <c r="U827" s="152">
        <f>100*(INDEX(TDU_Info!$E$5:$E$110,$T827)/T$11+INDEX(TDU_Info!$F$5:$F$110,$T827))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MATCH(1,(TDU_Info!$C$5:$C$110=$T$6)*(TDU_Info!$B$5:$B$110&lt;=$B828),0)</f>
        <v>95</v>
      </c>
      <c r="U828" s="152">
        <f>100*(INDEX(TDU_Info!$E$5:$E$110,$T828)/T$11+INDEX(TDU_Info!$F$5:$F$110,$T828))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MATCH(1,(TDU_Info!$C$5:$C$110=$T$6)*(TDU_Info!$B$5:$B$110&lt;=$B829),0)</f>
        <v>95</v>
      </c>
      <c r="U829" s="152">
        <f>100*(INDEX(TDU_Info!$E$5:$E$110,$T829)/T$11+INDEX(TDU_Info!$F$5:$F$110,$T829))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MATCH(1,(TDU_Info!$C$5:$C$110=$T$6)*(TDU_Info!$B$5:$B$110&lt;=$B830),0)</f>
        <v>95</v>
      </c>
      <c r="U830" s="152">
        <f>100*(INDEX(TDU_Info!$E$5:$E$110,$T830)/T$11+INDEX(TDU_Info!$F$5:$F$110,$T830))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MATCH(1,(TDU_Info!$C$5:$C$110=$T$6)*(TDU_Info!$B$5:$B$110&lt;=$B831),0)</f>
        <v>95</v>
      </c>
      <c r="U831" s="152">
        <f>100*(INDEX(TDU_Info!$E$5:$E$110,$T831)/T$11+INDEX(TDU_Info!$F$5:$F$110,$T831))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MATCH(1,(TDU_Info!$C$5:$C$110=$T$6)*(TDU_Info!$B$5:$B$110&lt;=$B832),0)</f>
        <v>95</v>
      </c>
      <c r="U832" s="152">
        <f>100*(INDEX(TDU_Info!$E$5:$E$110,$T832)/T$11+INDEX(TDU_Info!$F$5:$F$110,$T832))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MATCH(1,(TDU_Info!$C$5:$C$110=$T$6)*(TDU_Info!$B$5:$B$110&lt;=$B833),0)</f>
        <v>95</v>
      </c>
      <c r="U833" s="152">
        <f>100*(INDEX(TDU_Info!$E$5:$E$110,$T833)/T$11+INDEX(TDU_Info!$F$5:$F$110,$T833))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MATCH(1,(TDU_Info!$C$5:$C$110=$T$6)*(TDU_Info!$B$5:$B$110&lt;=$B834),0)</f>
        <v>95</v>
      </c>
      <c r="U834" s="152">
        <f>100*(INDEX(TDU_Info!$E$5:$E$110,$T834)/T$11+INDEX(TDU_Info!$F$5:$F$110,$T834))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MATCH(1,(TDU_Info!$C$5:$C$110=$T$6)*(TDU_Info!$B$5:$B$110&lt;=$B835),0)</f>
        <v>95</v>
      </c>
      <c r="U835" s="152">
        <f>100*(INDEX(TDU_Info!$E$5:$E$110,$T835)/T$11+INDEX(TDU_Info!$F$5:$F$110,$T835))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MATCH(1,(TDU_Info!$C$5:$C$110=$T$6)*(TDU_Info!$B$5:$B$110&lt;=$B836),0)</f>
        <v>95</v>
      </c>
      <c r="U836" s="152">
        <f>100*(INDEX(TDU_Info!$E$5:$E$110,$T836)/T$11+INDEX(TDU_Info!$F$5:$F$110,$T836))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MATCH(1,(TDU_Info!$C$5:$C$110=$T$6)*(TDU_Info!$B$5:$B$110&lt;=$B837),0)</f>
        <v>95</v>
      </c>
      <c r="U837" s="152">
        <f>100*(INDEX(TDU_Info!$E$5:$E$110,$T837)/T$11+INDEX(TDU_Info!$F$5:$F$110,$T837))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MATCH(1,(TDU_Info!$C$5:$C$110=$T$6)*(TDU_Info!$B$5:$B$110&lt;=$B838),0)</f>
        <v>95</v>
      </c>
      <c r="U838" s="152">
        <f>100*(INDEX(TDU_Info!$E$5:$E$110,$T838)/T$11+INDEX(TDU_Info!$F$5:$F$110,$T838))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MATCH(1,(TDU_Info!$C$5:$C$110=$T$6)*(TDU_Info!$B$5:$B$110&lt;=$B839),0)</f>
        <v>95</v>
      </c>
      <c r="U839" s="152">
        <f>100*(INDEX(TDU_Info!$E$5:$E$110,$T839)/T$11+INDEX(TDU_Info!$F$5:$F$110,$T839))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MATCH(1,(TDU_Info!$C$5:$C$110=$T$6)*(TDU_Info!$B$5:$B$110&lt;=$B840),0)</f>
        <v>95</v>
      </c>
      <c r="U840" s="152">
        <f>100*(INDEX(TDU_Info!$E$5:$E$110,$T840)/T$11+INDEX(TDU_Info!$F$5:$F$110,$T840))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MATCH(1,(TDU_Info!$C$5:$C$110=$T$6)*(TDU_Info!$B$5:$B$110&lt;=$B841),0)</f>
        <v>95</v>
      </c>
      <c r="U841" s="152">
        <f>100*(INDEX(TDU_Info!$E$5:$E$110,$T841)/T$11+INDEX(TDU_Info!$F$5:$F$110,$T841))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MATCH(1,(TDU_Info!$C$5:$C$110=$T$6)*(TDU_Info!$B$5:$B$110&lt;=$B842),0)</f>
        <v>95</v>
      </c>
      <c r="U842" s="152">
        <f>100*(INDEX(TDU_Info!$E$5:$E$110,$T842)/T$11+INDEX(TDU_Info!$F$5:$F$110,$T842))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MATCH(1,(TDU_Info!$C$5:$C$110=$T$6)*(TDU_Info!$B$5:$B$110&lt;=$B843),0)</f>
        <v>95</v>
      </c>
      <c r="U843" s="152">
        <f>100*(INDEX(TDU_Info!$E$5:$E$110,$T843)/T$11+INDEX(TDU_Info!$F$5:$F$110,$T843))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MATCH(1,(TDU_Info!$C$5:$C$110=$T$6)*(TDU_Info!$B$5:$B$110&lt;=$B844),0)</f>
        <v>95</v>
      </c>
      <c r="U844" s="152">
        <f>100*(INDEX(TDU_Info!$E$5:$E$110,$T844)/T$11+INDEX(TDU_Info!$F$5:$F$110,$T844))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MATCH(1,(TDU_Info!$C$5:$C$110=$T$6)*(TDU_Info!$B$5:$B$110&lt;=$B845),0)</f>
        <v>95</v>
      </c>
      <c r="U845" s="152">
        <f>100*(INDEX(TDU_Info!$E$5:$E$110,$T845)/T$11+INDEX(TDU_Info!$F$5:$F$110,$T845))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MATCH(1,(TDU_Info!$C$5:$C$110=$T$6)*(TDU_Info!$B$5:$B$110&lt;=$B846),0)</f>
        <v>95</v>
      </c>
      <c r="U846" s="152">
        <f>100*(INDEX(TDU_Info!$E$5:$E$110,$T846)/T$11+INDEX(TDU_Info!$F$5:$F$110,$T846))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MATCH(1,(TDU_Info!$C$5:$C$110=$T$6)*(TDU_Info!$B$5:$B$110&lt;=$B847),0)</f>
        <v>95</v>
      </c>
      <c r="U847" s="152">
        <f>100*(INDEX(TDU_Info!$E$5:$E$110,$T847)/T$11+INDEX(TDU_Info!$F$5:$F$110,$T847))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MATCH(1,(TDU_Info!$C$5:$C$110=$T$6)*(TDU_Info!$B$5:$B$110&lt;=$B848),0)</f>
        <v>95</v>
      </c>
      <c r="U848" s="152">
        <f>100*(INDEX(TDU_Info!$E$5:$E$110,$T848)/T$11+INDEX(TDU_Info!$F$5:$F$110,$T848))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MATCH(1,(TDU_Info!$C$5:$C$110=$T$6)*(TDU_Info!$B$5:$B$110&lt;=$B849),0)</f>
        <v>95</v>
      </c>
      <c r="U849" s="152">
        <f>100*(INDEX(TDU_Info!$E$5:$E$110,$T849)/T$11+INDEX(TDU_Info!$F$5:$F$110,$T849))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MATCH(1,(TDU_Info!$C$5:$C$110=$T$6)*(TDU_Info!$B$5:$B$110&lt;=$B850),0)</f>
        <v>95</v>
      </c>
      <c r="U850" s="152">
        <f>100*(INDEX(TDU_Info!$E$5:$E$110,$T850)/T$11+INDEX(TDU_Info!$F$5:$F$110,$T850))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MATCH(1,(TDU_Info!$C$5:$C$110=$T$6)*(TDU_Info!$B$5:$B$110&lt;=$B851),0)</f>
        <v>95</v>
      </c>
      <c r="U851" s="152">
        <f>100*(INDEX(TDU_Info!$E$5:$E$110,$T851)/T$11+INDEX(TDU_Info!$F$5:$F$110,$T851))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MATCH(1,(TDU_Info!$C$5:$C$110=$T$6)*(TDU_Info!$B$5:$B$110&lt;=$B852),0)</f>
        <v>95</v>
      </c>
      <c r="U852" s="152">
        <f>100*(INDEX(TDU_Info!$E$5:$E$110,$T852)/T$11+INDEX(TDU_Info!$F$5:$F$110,$T852))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MATCH(1,(TDU_Info!$C$5:$C$110=$T$6)*(TDU_Info!$B$5:$B$110&lt;=$B853),0)</f>
        <v>95</v>
      </c>
      <c r="U853" s="152">
        <f>100*(INDEX(TDU_Info!$E$5:$E$110,$T853)/T$11+INDEX(TDU_Info!$F$5:$F$110,$T853))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MATCH(1,(TDU_Info!$C$5:$C$110=$T$6)*(TDU_Info!$B$5:$B$110&lt;=$B854),0)</f>
        <v>95</v>
      </c>
      <c r="U854" s="152">
        <f>100*(INDEX(TDU_Info!$E$5:$E$110,$T854)/T$11+INDEX(TDU_Info!$F$5:$F$110,$T854))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MATCH(1,(TDU_Info!$C$5:$C$110=$T$6)*(TDU_Info!$B$5:$B$110&lt;=$B855),0)</f>
        <v>95</v>
      </c>
      <c r="U855" s="152">
        <f>100*(INDEX(TDU_Info!$E$5:$E$110,$T855)/T$11+INDEX(TDU_Info!$F$5:$F$110,$T855))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MATCH(1,(TDU_Info!$C$5:$C$110=$T$6)*(TDU_Info!$B$5:$B$110&lt;=$B856),0)</f>
        <v>95</v>
      </c>
      <c r="U856" s="152">
        <f>100*(INDEX(TDU_Info!$E$5:$E$110,$T856)/T$11+INDEX(TDU_Info!$F$5:$F$110,$T856))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MATCH(1,(TDU_Info!$C$5:$C$110=$T$6)*(TDU_Info!$B$5:$B$110&lt;=$B857),0)</f>
        <v>95</v>
      </c>
      <c r="U857" s="152">
        <f>100*(INDEX(TDU_Info!$E$5:$E$110,$T857)/T$11+INDEX(TDU_Info!$F$5:$F$110,$T857))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MATCH(1,(TDU_Info!$C$5:$C$110=$T$6)*(TDU_Info!$B$5:$B$110&lt;=$B858),0)</f>
        <v>95</v>
      </c>
      <c r="U858" s="152">
        <f>100*(INDEX(TDU_Info!$E$5:$E$110,$T858)/T$11+INDEX(TDU_Info!$F$5:$F$110,$T858))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MATCH(1,(TDU_Info!$C$5:$C$110=$T$6)*(TDU_Info!$B$5:$B$110&lt;=$B859),0)</f>
        <v>95</v>
      </c>
      <c r="U859" s="152">
        <f>100*(INDEX(TDU_Info!$E$5:$E$110,$T859)/T$11+INDEX(TDU_Info!$F$5:$F$110,$T859))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MATCH(1,(TDU_Info!$C$5:$C$110=$T$6)*(TDU_Info!$B$5:$B$110&lt;=$B860),0)</f>
        <v>95</v>
      </c>
      <c r="U860" s="152">
        <f>100*(INDEX(TDU_Info!$E$5:$E$110,$T860)/T$11+INDEX(TDU_Info!$F$5:$F$110,$T860))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MATCH(1,(TDU_Info!$C$5:$C$110=$T$6)*(TDU_Info!$B$5:$B$110&lt;=$B861),0)</f>
        <v>95</v>
      </c>
      <c r="U861" s="152">
        <f>100*(INDEX(TDU_Info!$E$5:$E$110,$T861)/T$11+INDEX(TDU_Info!$F$5:$F$110,$T861))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MATCH(1,(TDU_Info!$C$5:$C$110=$T$6)*(TDU_Info!$B$5:$B$110&lt;=$B862),0)</f>
        <v>95</v>
      </c>
      <c r="U862" s="152">
        <f>100*(INDEX(TDU_Info!$E$5:$E$110,$T862)/T$11+INDEX(TDU_Info!$F$5:$F$110,$T862))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MATCH(1,(TDU_Info!$C$5:$C$110=$T$6)*(TDU_Info!$B$5:$B$110&lt;=$B863),0)</f>
        <v>95</v>
      </c>
      <c r="U863" s="152">
        <f>100*(INDEX(TDU_Info!$E$5:$E$110,$T863)/T$11+INDEX(TDU_Info!$F$5:$F$110,$T863))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MATCH(1,(TDU_Info!$C$5:$C$110=$T$6)*(TDU_Info!$B$5:$B$110&lt;=$B864),0)</f>
        <v>95</v>
      </c>
      <c r="U864" s="152">
        <f>100*(INDEX(TDU_Info!$E$5:$E$110,$T864)/T$11+INDEX(TDU_Info!$F$5:$F$110,$T864))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MATCH(1,(TDU_Info!$C$5:$C$110=$T$6)*(TDU_Info!$B$5:$B$110&lt;=$B865),0)</f>
        <v>95</v>
      </c>
      <c r="U865" s="152">
        <f>100*(INDEX(TDU_Info!$E$5:$E$110,$T865)/T$11+INDEX(TDU_Info!$F$5:$F$110,$T865))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MATCH(1,(TDU_Info!$C$5:$C$110=$T$6)*(TDU_Info!$B$5:$B$110&lt;=$B866),0)</f>
        <v>95</v>
      </c>
      <c r="U866" s="152">
        <f>100*(INDEX(TDU_Info!$E$5:$E$110,$T866)/T$11+INDEX(TDU_Info!$F$5:$F$110,$T866))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MATCH(1,(TDU_Info!$C$5:$C$110=$T$6)*(TDU_Info!$B$5:$B$110&lt;=$B867),0)</f>
        <v>95</v>
      </c>
      <c r="U867" s="152">
        <f>100*(INDEX(TDU_Info!$E$5:$E$110,$T867)/T$11+INDEX(TDU_Info!$F$5:$F$110,$T867))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MATCH(1,(TDU_Info!$C$5:$C$110=$T$6)*(TDU_Info!$B$5:$B$110&lt;=$B868),0)</f>
        <v>95</v>
      </c>
      <c r="U868" s="152">
        <f>100*(INDEX(TDU_Info!$E$5:$E$110,$T868)/T$11+INDEX(TDU_Info!$F$5:$F$110,$T868))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MATCH(1,(TDU_Info!$C$5:$C$110=$T$6)*(TDU_Info!$B$5:$B$110&lt;=$B869),0)</f>
        <v>95</v>
      </c>
      <c r="U869" s="152">
        <f>100*(INDEX(TDU_Info!$E$5:$E$110,$T869)/T$11+INDEX(TDU_Info!$F$5:$F$110,$T869))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MATCH(1,(TDU_Info!$C$5:$C$110=$T$6)*(TDU_Info!$B$5:$B$110&lt;=$B870),0)</f>
        <v>95</v>
      </c>
      <c r="U870" s="152">
        <f>100*(INDEX(TDU_Info!$E$5:$E$110,$T870)/T$11+INDEX(TDU_Info!$F$5:$F$110,$T870))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MATCH(1,(TDU_Info!$C$5:$C$110=$T$6)*(TDU_Info!$B$5:$B$110&lt;=$B871),0)</f>
        <v>95</v>
      </c>
      <c r="U871" s="152">
        <f>100*(INDEX(TDU_Info!$E$5:$E$110,$T871)/T$11+INDEX(TDU_Info!$F$5:$F$110,$T871))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MATCH(1,(TDU_Info!$C$5:$C$110=$T$6)*(TDU_Info!$B$5:$B$110&lt;=$B872),0)</f>
        <v>95</v>
      </c>
      <c r="U872" s="152">
        <f>100*(INDEX(TDU_Info!$E$5:$E$110,$T872)/T$11+INDEX(TDU_Info!$F$5:$F$110,$T872))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MATCH(1,(TDU_Info!$C$5:$C$110=$T$6)*(TDU_Info!$B$5:$B$110&lt;=$B873),0)</f>
        <v>95</v>
      </c>
      <c r="U873" s="152">
        <f>100*(INDEX(TDU_Info!$E$5:$E$110,$T873)/T$11+INDEX(TDU_Info!$F$5:$F$110,$T873))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MATCH(1,(TDU_Info!$C$5:$C$110=$T$6)*(TDU_Info!$B$5:$B$110&lt;=$B874),0)</f>
        <v>95</v>
      </c>
      <c r="U874" s="152">
        <f>100*(INDEX(TDU_Info!$E$5:$E$110,$T874)/T$11+INDEX(TDU_Info!$F$5:$F$110,$T874))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MATCH(1,(TDU_Info!$C$5:$C$110=$T$6)*(TDU_Info!$B$5:$B$110&lt;=$B875),0)</f>
        <v>95</v>
      </c>
      <c r="U875" s="152">
        <f>100*(INDEX(TDU_Info!$E$5:$E$110,$T875)/T$11+INDEX(TDU_Info!$F$5:$F$110,$T875))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MATCH(1,(TDU_Info!$C$5:$C$110=$T$6)*(TDU_Info!$B$5:$B$110&lt;=$B876),0)</f>
        <v>95</v>
      </c>
      <c r="U876" s="152">
        <f>100*(INDEX(TDU_Info!$E$5:$E$110,$T876)/T$11+INDEX(TDU_Info!$F$5:$F$110,$T876))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MATCH(1,(TDU_Info!$C$5:$C$110=$T$6)*(TDU_Info!$B$5:$B$110&lt;=$B877),0)</f>
        <v>95</v>
      </c>
      <c r="U877" s="152">
        <f>100*(INDEX(TDU_Info!$E$5:$E$110,$T877)/T$11+INDEX(TDU_Info!$F$5:$F$110,$T877))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MATCH(1,(TDU_Info!$C$5:$C$110=$T$6)*(TDU_Info!$B$5:$B$110&lt;=$B878),0)</f>
        <v>95</v>
      </c>
      <c r="U878" s="152">
        <f>100*(INDEX(TDU_Info!$E$5:$E$110,$T878)/T$11+INDEX(TDU_Info!$F$5:$F$110,$T878))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MATCH(1,(TDU_Info!$C$5:$C$110=$T$6)*(TDU_Info!$B$5:$B$110&lt;=$B879),0)</f>
        <v>95</v>
      </c>
      <c r="U879" s="152">
        <f>100*(INDEX(TDU_Info!$E$5:$E$110,$T879)/T$11+INDEX(TDU_Info!$F$5:$F$110,$T879))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MATCH(1,(TDU_Info!$C$5:$C$110=$T$6)*(TDU_Info!$B$5:$B$110&lt;=$B880),0)</f>
        <v>95</v>
      </c>
      <c r="U880" s="152">
        <f>100*(INDEX(TDU_Info!$E$5:$E$110,$T880)/T$11+INDEX(TDU_Info!$F$5:$F$110,$T880))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MATCH(1,(TDU_Info!$C$5:$C$110=$T$6)*(TDU_Info!$B$5:$B$110&lt;=$B881),0)</f>
        <v>95</v>
      </c>
      <c r="U881" s="152">
        <f>100*(INDEX(TDU_Info!$E$5:$E$110,$T881)/T$11+INDEX(TDU_Info!$F$5:$F$110,$T881))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MATCH(1,(TDU_Info!$C$5:$C$110=$T$6)*(TDU_Info!$B$5:$B$110&lt;=$B882),0)</f>
        <v>95</v>
      </c>
      <c r="U882" s="152">
        <f>100*(INDEX(TDU_Info!$E$5:$E$110,$T882)/T$11+INDEX(TDU_Info!$F$5:$F$110,$T882))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MATCH(1,(TDU_Info!$C$5:$C$110=$T$6)*(TDU_Info!$B$5:$B$110&lt;=$B883),0)</f>
        <v>95</v>
      </c>
      <c r="U883" s="152">
        <f>100*(INDEX(TDU_Info!$E$5:$E$110,$T883)/T$11+INDEX(TDU_Info!$F$5:$F$110,$T883))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MATCH(1,(TDU_Info!$C$5:$C$110=$T$6)*(TDU_Info!$B$5:$B$110&lt;=$B884),0)</f>
        <v>95</v>
      </c>
      <c r="U884" s="152">
        <f>100*(INDEX(TDU_Info!$E$5:$E$110,$T884)/T$11+INDEX(TDU_Info!$F$5:$F$110,$T884))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MATCH(1,(TDU_Info!$C$5:$C$110=$T$6)*(TDU_Info!$B$5:$B$110&lt;=$B885),0)</f>
        <v>95</v>
      </c>
      <c r="U885" s="152">
        <f>100*(INDEX(TDU_Info!$E$5:$E$110,$T885)/T$11+INDEX(TDU_Info!$F$5:$F$110,$T885))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MATCH(1,(TDU_Info!$C$5:$C$110=$T$6)*(TDU_Info!$B$5:$B$110&lt;=$B886),0)</f>
        <v>95</v>
      </c>
      <c r="U886" s="152">
        <f>100*(INDEX(TDU_Info!$E$5:$E$110,$T886)/T$11+INDEX(TDU_Info!$F$5:$F$110,$T886))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MATCH(1,(TDU_Info!$C$5:$C$110=$T$6)*(TDU_Info!$B$5:$B$110&lt;=$B887),0)</f>
        <v>95</v>
      </c>
      <c r="U887" s="152">
        <f>100*(INDEX(TDU_Info!$E$5:$E$110,$T887)/T$11+INDEX(TDU_Info!$F$5:$F$110,$T887))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MATCH(1,(TDU_Info!$C$5:$C$110=$T$6)*(TDU_Info!$B$5:$B$110&lt;=$B888),0)</f>
        <v>95</v>
      </c>
      <c r="U888" s="152">
        <f>100*(INDEX(TDU_Info!$E$5:$E$110,$T888)/T$11+INDEX(TDU_Info!$F$5:$F$110,$T888))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MATCH(1,(TDU_Info!$C$5:$C$110=$T$6)*(TDU_Info!$B$5:$B$110&lt;=$B889),0)</f>
        <v>95</v>
      </c>
      <c r="U889" s="152">
        <f>100*(INDEX(TDU_Info!$E$5:$E$110,$T889)/T$11+INDEX(TDU_Info!$F$5:$F$110,$T889))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MATCH(1,(TDU_Info!$C$5:$C$110=$T$6)*(TDU_Info!$B$5:$B$110&lt;=$B890),0)</f>
        <v>95</v>
      </c>
      <c r="U890" s="152">
        <f>100*(INDEX(TDU_Info!$E$5:$E$110,$T890)/T$11+INDEX(TDU_Info!$F$5:$F$110,$T890))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MATCH(1,(TDU_Info!$C$5:$C$110=$T$6)*(TDU_Info!$B$5:$B$110&lt;=$B891),0)</f>
        <v>95</v>
      </c>
      <c r="U891" s="152">
        <f>100*(INDEX(TDU_Info!$E$5:$E$110,$T891)/T$11+INDEX(TDU_Info!$F$5:$F$110,$T891))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MATCH(1,(TDU_Info!$C$5:$C$110=$T$6)*(TDU_Info!$B$5:$B$110&lt;=$B892),0)</f>
        <v>95</v>
      </c>
      <c r="U892" s="152">
        <f>100*(INDEX(TDU_Info!$E$5:$E$110,$T892)/T$11+INDEX(TDU_Info!$F$5:$F$110,$T892))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MATCH(1,(TDU_Info!$C$5:$C$110=$T$6)*(TDU_Info!$B$5:$B$110&lt;=$B893),0)</f>
        <v>95</v>
      </c>
      <c r="U893" s="152">
        <f>100*(INDEX(TDU_Info!$E$5:$E$110,$T893)/T$11+INDEX(TDU_Info!$F$5:$F$110,$T893))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MATCH(1,(TDU_Info!$C$5:$C$110=$T$6)*(TDU_Info!$B$5:$B$110&lt;=$B894),0)</f>
        <v>95</v>
      </c>
      <c r="U894" s="152">
        <f>100*(INDEX(TDU_Info!$E$5:$E$110,$T894)/T$11+INDEX(TDU_Info!$F$5:$F$110,$T894))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MATCH(1,(TDU_Info!$C$5:$C$110=$T$6)*(TDU_Info!$B$5:$B$110&lt;=$B895),0)</f>
        <v>95</v>
      </c>
      <c r="U895" s="152">
        <f>100*(INDEX(TDU_Info!$E$5:$E$110,$T895)/T$11+INDEX(TDU_Info!$F$5:$F$110,$T895))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MATCH(1,(TDU_Info!$C$5:$C$110=$T$6)*(TDU_Info!$B$5:$B$110&lt;=$B896),0)</f>
        <v>95</v>
      </c>
      <c r="U896" s="152">
        <f>100*(INDEX(TDU_Info!$E$5:$E$110,$T896)/T$11+INDEX(TDU_Info!$F$5:$F$110,$T896))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MATCH(1,(TDU_Info!$C$5:$C$110=$T$6)*(TDU_Info!$B$5:$B$110&lt;=$B897),0)</f>
        <v>95</v>
      </c>
      <c r="U897" s="152">
        <f>100*(INDEX(TDU_Info!$E$5:$E$110,$T897)/T$11+INDEX(TDU_Info!$F$5:$F$110,$T897))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MATCH(1,(TDU_Info!$C$5:$C$110=$T$6)*(TDU_Info!$B$5:$B$110&lt;=$B898),0)</f>
        <v>95</v>
      </c>
      <c r="U898" s="152">
        <f>100*(INDEX(TDU_Info!$E$5:$E$110,$T898)/T$11+INDEX(TDU_Info!$F$5:$F$110,$T898))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MATCH(1,(TDU_Info!$C$5:$C$110=$T$6)*(TDU_Info!$B$5:$B$110&lt;=$B899),0)</f>
        <v>95</v>
      </c>
      <c r="U899" s="152">
        <f>100*(INDEX(TDU_Info!$E$5:$E$110,$T899)/T$11+INDEX(TDU_Info!$F$5:$F$110,$T899))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MATCH(1,(TDU_Info!$C$5:$C$110=$T$6)*(TDU_Info!$B$5:$B$110&lt;=$B900),0)</f>
        <v>95</v>
      </c>
      <c r="U900" s="152">
        <f>100*(INDEX(TDU_Info!$E$5:$E$110,$T900)/T$11+INDEX(TDU_Info!$F$5:$F$110,$T900))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MATCH(1,(TDU_Info!$C$5:$C$110=$T$6)*(TDU_Info!$B$5:$B$110&lt;=$B901),0)</f>
        <v>95</v>
      </c>
      <c r="U901" s="152">
        <f>100*(INDEX(TDU_Info!$E$5:$E$110,$T901)/T$11+INDEX(TDU_Info!$F$5:$F$110,$T901))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MATCH(1,(TDU_Info!$C$5:$C$110=$T$6)*(TDU_Info!$B$5:$B$110&lt;=$B902),0)</f>
        <v>95</v>
      </c>
      <c r="U902" s="152">
        <f>100*(INDEX(TDU_Info!$E$5:$E$110,$T902)/T$11+INDEX(TDU_Info!$F$5:$F$110,$T902))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MATCH(1,(TDU_Info!$C$5:$C$110=$T$6)*(TDU_Info!$B$5:$B$110&lt;=$B903),0)</f>
        <v>95</v>
      </c>
      <c r="U903" s="152">
        <f>100*(INDEX(TDU_Info!$E$5:$E$110,$T903)/T$11+INDEX(TDU_Info!$F$5:$F$110,$T903))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MATCH(1,(TDU_Info!$C$5:$C$110=$T$6)*(TDU_Info!$B$5:$B$110&lt;=$B904),0)</f>
        <v>95</v>
      </c>
      <c r="U904" s="152">
        <f>100*(INDEX(TDU_Info!$E$5:$E$110,$T904)/T$11+INDEX(TDU_Info!$F$5:$F$110,$T904))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MATCH(1,(TDU_Info!$C$5:$C$110=$T$6)*(TDU_Info!$B$5:$B$110&lt;=$B905),0)</f>
        <v>95</v>
      </c>
      <c r="U905" s="152">
        <f>100*(INDEX(TDU_Info!$E$5:$E$110,$T905)/T$11+INDEX(TDU_Info!$F$5:$F$110,$T905))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MATCH(1,(TDU_Info!$C$5:$C$110=$T$6)*(TDU_Info!$B$5:$B$110&lt;=$B906),0)</f>
        <v>95</v>
      </c>
      <c r="U906" s="152">
        <f>100*(INDEX(TDU_Info!$E$5:$E$110,$T906)/T$11+INDEX(TDU_Info!$F$5:$F$110,$T906))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MATCH(1,(TDU_Info!$C$5:$C$110=$T$6)*(TDU_Info!$B$5:$B$110&lt;=$B907),0)</f>
        <v>95</v>
      </c>
      <c r="U907" s="152">
        <f>100*(INDEX(TDU_Info!$E$5:$E$110,$T907)/T$11+INDEX(TDU_Info!$F$5:$F$110,$T907))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MATCH(1,(TDU_Info!$C$5:$C$110=$T$6)*(TDU_Info!$B$5:$B$110&lt;=$B908),0)</f>
        <v>95</v>
      </c>
      <c r="U908" s="152">
        <f>100*(INDEX(TDU_Info!$E$5:$E$110,$T908)/T$11+INDEX(TDU_Info!$F$5:$F$110,$T908))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MATCH(1,(TDU_Info!$C$5:$C$110=$T$6)*(TDU_Info!$B$5:$B$110&lt;=$B909),0)</f>
        <v>95</v>
      </c>
      <c r="U909" s="152">
        <f>100*(INDEX(TDU_Info!$E$5:$E$110,$T909)/T$11+INDEX(TDU_Info!$F$5:$F$110,$T909))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MATCH(1,(TDU_Info!$C$5:$C$110=$T$6)*(TDU_Info!$B$5:$B$110&lt;=$B910),0)</f>
        <v>95</v>
      </c>
      <c r="U910" s="152">
        <f>100*(INDEX(TDU_Info!$E$5:$E$110,$T910)/T$11+INDEX(TDU_Info!$F$5:$F$110,$T910))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MATCH(1,(TDU_Info!$C$5:$C$110=$T$6)*(TDU_Info!$B$5:$B$110&lt;=$B911),0)</f>
        <v>95</v>
      </c>
      <c r="U911" s="152">
        <f>100*(INDEX(TDU_Info!$E$5:$E$110,$T911)/T$11+INDEX(TDU_Info!$F$5:$F$110,$T911))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MATCH(1,(TDU_Info!$C$5:$C$110=$T$6)*(TDU_Info!$B$5:$B$110&lt;=$B912),0)</f>
        <v>95</v>
      </c>
      <c r="U912" s="152">
        <f>100*(INDEX(TDU_Info!$E$5:$E$110,$T912)/T$11+INDEX(TDU_Info!$F$5:$F$110,$T912))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MATCH(1,(TDU_Info!$C$5:$C$110=$T$6)*(TDU_Info!$B$5:$B$110&lt;=$B913),0)</f>
        <v>95</v>
      </c>
      <c r="U913" s="152">
        <f>100*(INDEX(TDU_Info!$E$5:$E$110,$T913)/T$11+INDEX(TDU_Info!$F$5:$F$110,$T913))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MATCH(1,(TDU_Info!$C$5:$C$110=$T$6)*(TDU_Info!$B$5:$B$110&lt;=$B914),0)</f>
        <v>95</v>
      </c>
      <c r="U914" s="152">
        <f>100*(INDEX(TDU_Info!$E$5:$E$110,$T914)/T$11+INDEX(TDU_Info!$F$5:$F$110,$T914))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MATCH(1,(TDU_Info!$C$5:$C$110=$T$6)*(TDU_Info!$B$5:$B$110&lt;=$B915),0)</f>
        <v>95</v>
      </c>
      <c r="U915" s="152">
        <f>100*(INDEX(TDU_Info!$E$5:$E$110,$T915)/T$11+INDEX(TDU_Info!$F$5:$F$110,$T915))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MATCH(1,(TDU_Info!$C$5:$C$110=$T$6)*(TDU_Info!$B$5:$B$110&lt;=$B916),0)</f>
        <v>95</v>
      </c>
      <c r="U916" s="152">
        <f>100*(INDEX(TDU_Info!$E$5:$E$110,$T916)/T$11+INDEX(TDU_Info!$F$5:$F$110,$T916))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MATCH(1,(TDU_Info!$C$5:$C$110=$T$6)*(TDU_Info!$B$5:$B$110&lt;=$B917),0)</f>
        <v>95</v>
      </c>
      <c r="U917" s="152">
        <f>100*(INDEX(TDU_Info!$E$5:$E$110,$T917)/T$11+INDEX(TDU_Info!$F$5:$F$110,$T917))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MATCH(1,(TDU_Info!$C$5:$C$110=$T$6)*(TDU_Info!$B$5:$B$110&lt;=$B918),0)</f>
        <v>95</v>
      </c>
      <c r="U918" s="152">
        <f>100*(INDEX(TDU_Info!$E$5:$E$110,$T918)/T$11+INDEX(TDU_Info!$F$5:$F$110,$T918))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MATCH(1,(TDU_Info!$C$5:$C$110=$T$6)*(TDU_Info!$B$5:$B$110&lt;=$B919),0)</f>
        <v>95</v>
      </c>
      <c r="U919" s="152">
        <f>100*(INDEX(TDU_Info!$E$5:$E$110,$T919)/T$11+INDEX(TDU_Info!$F$5:$F$110,$T919))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MATCH(1,(TDU_Info!$C$5:$C$110=$T$6)*(TDU_Info!$B$5:$B$110&lt;=$B920),0)</f>
        <v>95</v>
      </c>
      <c r="U920" s="152">
        <f>100*(INDEX(TDU_Info!$E$5:$E$110,$T920)/T$11+INDEX(TDU_Info!$F$5:$F$110,$T920))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MATCH(1,(TDU_Info!$C$5:$C$110=$T$6)*(TDU_Info!$B$5:$B$110&lt;=$B921),0)</f>
        <v>95</v>
      </c>
      <c r="U921" s="152">
        <f>100*(INDEX(TDU_Info!$E$5:$E$110,$T921)/T$11+INDEX(TDU_Info!$F$5:$F$110,$T921))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MATCH(1,(TDU_Info!$C$5:$C$110=$T$6)*(TDU_Info!$B$5:$B$110&lt;=$B922),0)</f>
        <v>95</v>
      </c>
      <c r="U922" s="152">
        <f>100*(INDEX(TDU_Info!$E$5:$E$110,$T922)/T$11+INDEX(TDU_Info!$F$5:$F$110,$T922))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MATCH(1,(TDU_Info!$C$5:$C$110=$T$6)*(TDU_Info!$B$5:$B$110&lt;=$B923),0)</f>
        <v>95</v>
      </c>
      <c r="U923" s="152">
        <f>100*(INDEX(TDU_Info!$E$5:$E$110,$T923)/T$11+INDEX(TDU_Info!$F$5:$F$110,$T923))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MATCH(1,(TDU_Info!$C$5:$C$110=$T$6)*(TDU_Info!$B$5:$B$110&lt;=$B924),0)</f>
        <v>95</v>
      </c>
      <c r="U924" s="152">
        <f>100*(INDEX(TDU_Info!$E$5:$E$110,$T924)/T$11+INDEX(TDU_Info!$F$5:$F$110,$T924))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MATCH(1,(TDU_Info!$C$5:$C$110=$T$6)*(TDU_Info!$B$5:$B$110&lt;=$B925),0)</f>
        <v>95</v>
      </c>
      <c r="U925" s="152">
        <f>100*(INDEX(TDU_Info!$E$5:$E$110,$T925)/T$11+INDEX(TDU_Info!$F$5:$F$110,$T925))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MATCH(1,(TDU_Info!$C$5:$C$110=$T$6)*(TDU_Info!$B$5:$B$110&lt;=$B926),0)</f>
        <v>95</v>
      </c>
      <c r="U926" s="152">
        <f>100*(INDEX(TDU_Info!$E$5:$E$110,$T926)/T$11+INDEX(TDU_Info!$F$5:$F$110,$T926))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MATCH(1,(TDU_Info!$C$5:$C$110=$T$6)*(TDU_Info!$B$5:$B$110&lt;=$B927),0)</f>
        <v>95</v>
      </c>
      <c r="U927" s="152">
        <f>100*(INDEX(TDU_Info!$E$5:$E$110,$T927)/T$11+INDEX(TDU_Info!$F$5:$F$110,$T927))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MATCH(1,(TDU_Info!$C$5:$C$110=$T$6)*(TDU_Info!$B$5:$B$110&lt;=$B928),0)</f>
        <v>95</v>
      </c>
      <c r="U928" s="152">
        <f>100*(INDEX(TDU_Info!$E$5:$E$110,$T928)/T$11+INDEX(TDU_Info!$F$5:$F$110,$T928))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MATCH(1,(TDU_Info!$C$5:$C$110=$T$6)*(TDU_Info!$B$5:$B$110&lt;=$B929),0)</f>
        <v>95</v>
      </c>
      <c r="U929" s="152">
        <f>100*(INDEX(TDU_Info!$E$5:$E$110,$T929)/T$11+INDEX(TDU_Info!$F$5:$F$110,$T929))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MATCH(1,(TDU_Info!$C$5:$C$110=$T$6)*(TDU_Info!$B$5:$B$110&lt;=$B930),0)</f>
        <v>95</v>
      </c>
      <c r="U930" s="152">
        <f>100*(INDEX(TDU_Info!$E$5:$E$110,$T930)/T$11+INDEX(TDU_Info!$F$5:$F$110,$T930))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MATCH(1,(TDU_Info!$C$5:$C$110=$T$6)*(TDU_Info!$B$5:$B$110&lt;=$B931),0)</f>
        <v>95</v>
      </c>
      <c r="U931" s="152">
        <f>100*(INDEX(TDU_Info!$E$5:$E$110,$T931)/T$11+INDEX(TDU_Info!$F$5:$F$110,$T931))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MATCH(1,(TDU_Info!$C$5:$C$110=$T$6)*(TDU_Info!$B$5:$B$110&lt;=$B932),0)</f>
        <v>95</v>
      </c>
      <c r="U932" s="152">
        <f>100*(INDEX(TDU_Info!$E$5:$E$110,$T932)/T$11+INDEX(TDU_Info!$F$5:$F$110,$T932))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MATCH(1,(TDU_Info!$C$5:$C$110=$T$6)*(TDU_Info!$B$5:$B$110&lt;=$B933),0)</f>
        <v>95</v>
      </c>
      <c r="U933" s="152">
        <f>100*(INDEX(TDU_Info!$E$5:$E$110,$T933)/T$11+INDEX(TDU_Info!$F$5:$F$110,$T933))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MATCH(1,(TDU_Info!$C$5:$C$110=$T$6)*(TDU_Info!$B$5:$B$110&lt;=$B934),0)</f>
        <v>95</v>
      </c>
      <c r="U934" s="152">
        <f>100*(INDEX(TDU_Info!$E$5:$E$110,$T934)/T$11+INDEX(TDU_Info!$F$5:$F$110,$T934))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MATCH(1,(TDU_Info!$C$5:$C$110=$T$6)*(TDU_Info!$B$5:$B$110&lt;=$B935),0)</f>
        <v>95</v>
      </c>
      <c r="U935" s="152">
        <f>100*(INDEX(TDU_Info!$E$5:$E$110,$T935)/T$11+INDEX(TDU_Info!$F$5:$F$110,$T935))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MATCH(1,(TDU_Info!$C$5:$C$110=$T$6)*(TDU_Info!$B$5:$B$110&lt;=$B936),0)</f>
        <v>95</v>
      </c>
      <c r="U936" s="152">
        <f>100*(INDEX(TDU_Info!$E$5:$E$110,$T936)/T$11+INDEX(TDU_Info!$F$5:$F$110,$T936))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MATCH(1,(TDU_Info!$C$5:$C$110=$T$6)*(TDU_Info!$B$5:$B$110&lt;=$B937),0)</f>
        <v>95</v>
      </c>
      <c r="U937" s="152">
        <f>100*(INDEX(TDU_Info!$E$5:$E$110,$T937)/T$11+INDEX(TDU_Info!$F$5:$F$110,$T937))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MATCH(1,(TDU_Info!$C$5:$C$110=$T$6)*(TDU_Info!$B$5:$B$110&lt;=$B938),0)</f>
        <v>95</v>
      </c>
      <c r="U938" s="152">
        <f>100*(INDEX(TDU_Info!$E$5:$E$110,$T938)/T$11+INDEX(TDU_Info!$F$5:$F$110,$T938))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MATCH(1,(TDU_Info!$C$5:$C$110=$T$6)*(TDU_Info!$B$5:$B$110&lt;=$B939),0)</f>
        <v>95</v>
      </c>
      <c r="U939" s="152">
        <f>100*(INDEX(TDU_Info!$E$5:$E$110,$T939)/T$11+INDEX(TDU_Info!$F$5:$F$110,$T939))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MATCH(1,(TDU_Info!$C$5:$C$110=$T$6)*(TDU_Info!$B$5:$B$110&lt;=$B940),0)</f>
        <v>95</v>
      </c>
      <c r="U940" s="152">
        <f>100*(INDEX(TDU_Info!$E$5:$E$110,$T940)/T$11+INDEX(TDU_Info!$F$5:$F$110,$T940))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MATCH(1,(TDU_Info!$C$5:$C$110=$T$6)*(TDU_Info!$B$5:$B$110&lt;=$B941),0)</f>
        <v>95</v>
      </c>
      <c r="U941" s="152">
        <f>100*(INDEX(TDU_Info!$E$5:$E$110,$T941)/T$11+INDEX(TDU_Info!$F$5:$F$110,$T941))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MATCH(1,(TDU_Info!$C$5:$C$110=$T$6)*(TDU_Info!$B$5:$B$110&lt;=$B942),0)</f>
        <v>95</v>
      </c>
      <c r="U942" s="152">
        <f>100*(INDEX(TDU_Info!$E$5:$E$110,$T942)/T$11+INDEX(TDU_Info!$F$5:$F$110,$T942))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MATCH(1,(TDU_Info!$C$5:$C$110=$T$6)*(TDU_Info!$B$5:$B$110&lt;=$B943),0)</f>
        <v>95</v>
      </c>
      <c r="U943" s="152">
        <f>100*(INDEX(TDU_Info!$E$5:$E$110,$T943)/T$11+INDEX(TDU_Info!$F$5:$F$110,$T943))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MATCH(1,(TDU_Info!$C$5:$C$110=$T$6)*(TDU_Info!$B$5:$B$110&lt;=$B944),0)</f>
        <v>95</v>
      </c>
      <c r="U944" s="152">
        <f>100*(INDEX(TDU_Info!$E$5:$E$110,$T944)/T$11+INDEX(TDU_Info!$F$5:$F$110,$T944))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MATCH(1,(TDU_Info!$C$5:$C$110=$T$6)*(TDU_Info!$B$5:$B$110&lt;=$B945),0)</f>
        <v>95</v>
      </c>
      <c r="U945" s="152">
        <f>100*(INDEX(TDU_Info!$E$5:$E$110,$T945)/T$11+INDEX(TDU_Info!$F$5:$F$110,$T945))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MATCH(1,(TDU_Info!$C$5:$C$110=$T$6)*(TDU_Info!$B$5:$B$110&lt;=$B946),0)</f>
        <v>95</v>
      </c>
      <c r="U946" s="152">
        <f>100*(INDEX(TDU_Info!$E$5:$E$110,$T946)/T$11+INDEX(TDU_Info!$F$5:$F$110,$T946))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MATCH(1,(TDU_Info!$C$5:$C$110=$T$6)*(TDU_Info!$B$5:$B$110&lt;=$B947),0)</f>
        <v>95</v>
      </c>
      <c r="U947" s="152">
        <f>100*(INDEX(TDU_Info!$E$5:$E$110,$T947)/T$11+INDEX(TDU_Info!$F$5:$F$110,$T947))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MATCH(1,(TDU_Info!$C$5:$C$110=$T$6)*(TDU_Info!$B$5:$B$110&lt;=$B948),0)</f>
        <v>95</v>
      </c>
      <c r="U948" s="152">
        <f>100*(INDEX(TDU_Info!$E$5:$E$110,$T948)/T$11+INDEX(TDU_Info!$F$5:$F$110,$T948))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MATCH(1,(TDU_Info!$C$5:$C$110=$T$6)*(TDU_Info!$B$5:$B$110&lt;=$B949),0)</f>
        <v>95</v>
      </c>
      <c r="U949" s="152">
        <f>100*(INDEX(TDU_Info!$E$5:$E$110,$T949)/T$11+INDEX(TDU_Info!$F$5:$F$110,$T949))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MATCH(1,(TDU_Info!$C$5:$C$110=$T$6)*(TDU_Info!$B$5:$B$110&lt;=$B950),0)</f>
        <v>95</v>
      </c>
      <c r="U950" s="152">
        <f>100*(INDEX(TDU_Info!$E$5:$E$110,$T950)/T$11+INDEX(TDU_Info!$F$5:$F$110,$T950))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MATCH(1,(TDU_Info!$C$5:$C$110=$T$6)*(TDU_Info!$B$5:$B$110&lt;=$B951),0)</f>
        <v>95</v>
      </c>
      <c r="U951" s="152">
        <f>100*(INDEX(TDU_Info!$E$5:$E$110,$T951)/T$11+INDEX(TDU_Info!$F$5:$F$110,$T951))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MATCH(1,(TDU_Info!$C$5:$C$110=$T$6)*(TDU_Info!$B$5:$B$110&lt;=$B952),0)</f>
        <v>95</v>
      </c>
      <c r="U952" s="152">
        <f>100*(INDEX(TDU_Info!$E$5:$E$110,$T952)/T$11+INDEX(TDU_Info!$F$5:$F$110,$T952))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MATCH(1,(TDU_Info!$C$5:$C$110=$T$6)*(TDU_Info!$B$5:$B$110&lt;=$B953),0)</f>
        <v>95</v>
      </c>
      <c r="U953" s="152">
        <f>100*(INDEX(TDU_Info!$E$5:$E$110,$T953)/T$11+INDEX(TDU_Info!$F$5:$F$110,$T953))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MATCH(1,(TDU_Info!$C$5:$C$110=$T$6)*(TDU_Info!$B$5:$B$110&lt;=$B954),0)</f>
        <v>95</v>
      </c>
      <c r="U954" s="152">
        <f>100*(INDEX(TDU_Info!$E$5:$E$110,$T954)/T$11+INDEX(TDU_Info!$F$5:$F$110,$T954))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MATCH(1,(TDU_Info!$C$5:$C$110=$T$6)*(TDU_Info!$B$5:$B$110&lt;=$B955),0)</f>
        <v>95</v>
      </c>
      <c r="U955" s="152">
        <f>100*(INDEX(TDU_Info!$E$5:$E$110,$T955)/T$11+INDEX(TDU_Info!$F$5:$F$110,$T955))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MATCH(1,(TDU_Info!$C$5:$C$110=$T$6)*(TDU_Info!$B$5:$B$110&lt;=$B956),0)</f>
        <v>95</v>
      </c>
      <c r="U956" s="152">
        <f>100*(INDEX(TDU_Info!$E$5:$E$110,$T956)/T$11+INDEX(TDU_Info!$F$5:$F$110,$T956))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MATCH(1,(TDU_Info!$C$5:$C$110=$T$6)*(TDU_Info!$B$5:$B$110&lt;=$B957),0)</f>
        <v>95</v>
      </c>
      <c r="U957" s="152">
        <f>100*(INDEX(TDU_Info!$E$5:$E$110,$T957)/T$11+INDEX(TDU_Info!$F$5:$F$110,$T957))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MATCH(1,(TDU_Info!$C$5:$C$110=$T$6)*(TDU_Info!$B$5:$B$110&lt;=$B958),0)</f>
        <v>95</v>
      </c>
      <c r="U958" s="152">
        <f>100*(INDEX(TDU_Info!$E$5:$E$110,$T958)/T$11+INDEX(TDU_Info!$F$5:$F$110,$T958))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MATCH(1,(TDU_Info!$C$5:$C$110=$T$6)*(TDU_Info!$B$5:$B$110&lt;=$B959),0)</f>
        <v>95</v>
      </c>
      <c r="U959" s="152">
        <f>100*(INDEX(TDU_Info!$E$5:$E$110,$T959)/T$11+INDEX(TDU_Info!$F$5:$F$110,$T959))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MATCH(1,(TDU_Info!$C$5:$C$110=$T$6)*(TDU_Info!$B$5:$B$110&lt;=$B960),0)</f>
        <v>95</v>
      </c>
      <c r="U960" s="152">
        <f>100*(INDEX(TDU_Info!$E$5:$E$110,$T960)/T$11+INDEX(TDU_Info!$F$5:$F$110,$T960))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MATCH(1,(TDU_Info!$C$5:$C$110=$T$6)*(TDU_Info!$B$5:$B$110&lt;=$B961),0)</f>
        <v>95</v>
      </c>
      <c r="U961" s="152">
        <f>100*(INDEX(TDU_Info!$E$5:$E$110,$T961)/T$11+INDEX(TDU_Info!$F$5:$F$110,$T961))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MATCH(1,(TDU_Info!$C$5:$C$110=$T$6)*(TDU_Info!$B$5:$B$110&lt;=$B962),0)</f>
        <v>95</v>
      </c>
      <c r="U962" s="152">
        <f>100*(INDEX(TDU_Info!$E$5:$E$110,$T962)/T$11+INDEX(TDU_Info!$F$5:$F$110,$T962))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MATCH(1,(TDU_Info!$C$5:$C$110=$T$6)*(TDU_Info!$B$5:$B$110&lt;=$B963),0)</f>
        <v>95</v>
      </c>
      <c r="U963" s="152">
        <f>100*(INDEX(TDU_Info!$E$5:$E$110,$T963)/T$11+INDEX(TDU_Info!$F$5:$F$110,$T963))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MATCH(1,(TDU_Info!$C$5:$C$110=$T$6)*(TDU_Info!$B$5:$B$110&lt;=$B964),0)</f>
        <v>95</v>
      </c>
      <c r="U964" s="152">
        <f>100*(INDEX(TDU_Info!$E$5:$E$110,$T964)/T$11+INDEX(TDU_Info!$F$5:$F$110,$T964))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MATCH(1,(TDU_Info!$C$5:$C$110=$T$6)*(TDU_Info!$B$5:$B$110&lt;=$B965),0)</f>
        <v>95</v>
      </c>
      <c r="U965" s="152">
        <f>100*(INDEX(TDU_Info!$E$5:$E$110,$T965)/T$11+INDEX(TDU_Info!$F$5:$F$110,$T965))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MATCH(1,(TDU_Info!$C$5:$C$110=$T$6)*(TDU_Info!$B$5:$B$110&lt;=$B966),0)</f>
        <v>95</v>
      </c>
      <c r="U966" s="152">
        <f>100*(INDEX(TDU_Info!$E$5:$E$110,$T966)/T$11+INDEX(TDU_Info!$F$5:$F$110,$T966))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MATCH(1,(TDU_Info!$C$5:$C$110=$T$6)*(TDU_Info!$B$5:$B$110&lt;=$B967),0)</f>
        <v>95</v>
      </c>
      <c r="U967" s="152">
        <f>100*(INDEX(TDU_Info!$E$5:$E$110,$T967)/T$11+INDEX(TDU_Info!$F$5:$F$110,$T967))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MATCH(1,(TDU_Info!$C$5:$C$110=$T$6)*(TDU_Info!$B$5:$B$110&lt;=$B968),0)</f>
        <v>95</v>
      </c>
      <c r="U968" s="152">
        <f>100*(INDEX(TDU_Info!$E$5:$E$110,$T968)/T$11+INDEX(TDU_Info!$F$5:$F$110,$T968))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MATCH(1,(TDU_Info!$C$5:$C$110=$T$6)*(TDU_Info!$B$5:$B$110&lt;=$B969),0)</f>
        <v>95</v>
      </c>
      <c r="U969" s="152">
        <f>100*(INDEX(TDU_Info!$E$5:$E$110,$T969)/T$11+INDEX(TDU_Info!$F$5:$F$110,$T969))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MATCH(1,(TDU_Info!$C$5:$C$110=$T$6)*(TDU_Info!$B$5:$B$110&lt;=$B970),0)</f>
        <v>95</v>
      </c>
      <c r="U970" s="152">
        <f>100*(INDEX(TDU_Info!$E$5:$E$110,$T970)/T$11+INDEX(TDU_Info!$F$5:$F$110,$T970))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MATCH(1,(TDU_Info!$C$5:$C$110=$T$6)*(TDU_Info!$B$5:$B$110&lt;=$B971),0)</f>
        <v>95</v>
      </c>
      <c r="U971" s="152">
        <f>100*(INDEX(TDU_Info!$E$5:$E$110,$T971)/T$11+INDEX(TDU_Info!$F$5:$F$110,$T971))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MATCH(1,(TDU_Info!$C$5:$C$110=$T$6)*(TDU_Info!$B$5:$B$110&lt;=$B972),0)</f>
        <v>95</v>
      </c>
      <c r="U972" s="152">
        <f>100*(INDEX(TDU_Info!$E$5:$E$110,$T972)/T$11+INDEX(TDU_Info!$F$5:$F$110,$T972))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MATCH(1,(TDU_Info!$C$5:$C$110=$T$6)*(TDU_Info!$B$5:$B$110&lt;=$B973),0)</f>
        <v>95</v>
      </c>
      <c r="U973" s="152">
        <f>100*(INDEX(TDU_Info!$E$5:$E$110,$T973)/T$11+INDEX(TDU_Info!$F$5:$F$110,$T973))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MATCH(1,(TDU_Info!$C$5:$C$110=$T$6)*(TDU_Info!$B$5:$B$110&lt;=$B974),0)</f>
        <v>95</v>
      </c>
      <c r="U974" s="152">
        <f>100*(INDEX(TDU_Info!$E$5:$E$110,$T974)/T$11+INDEX(TDU_Info!$F$5:$F$110,$T974))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MATCH(1,(TDU_Info!$C$5:$C$110=$T$6)*(TDU_Info!$B$5:$B$110&lt;=$B975),0)</f>
        <v>95</v>
      </c>
      <c r="U975" s="152">
        <f>100*(INDEX(TDU_Info!$E$5:$E$110,$T975)/T$11+INDEX(TDU_Info!$F$5:$F$110,$T975))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MATCH(1,(TDU_Info!$C$5:$C$110=$T$6)*(TDU_Info!$B$5:$B$110&lt;=$B976),0)</f>
        <v>95</v>
      </c>
      <c r="U976" s="152">
        <f>100*(INDEX(TDU_Info!$E$5:$E$110,$T976)/T$11+INDEX(TDU_Info!$F$5:$F$110,$T976))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MATCH(1,(TDU_Info!$C$5:$C$110=$T$6)*(TDU_Info!$B$5:$B$110&lt;=$B977),0)</f>
        <v>95</v>
      </c>
      <c r="U977" s="152">
        <f>100*(INDEX(TDU_Info!$E$5:$E$110,$T977)/T$11+INDEX(TDU_Info!$F$5:$F$110,$T977))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MATCH(1,(TDU_Info!$C$5:$C$110=$T$6)*(TDU_Info!$B$5:$B$110&lt;=$B978),0)</f>
        <v>95</v>
      </c>
      <c r="U978" s="152">
        <f>100*(INDEX(TDU_Info!$E$5:$E$110,$T978)/T$11+INDEX(TDU_Info!$F$5:$F$110,$T978))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MATCH(1,(TDU_Info!$C$5:$C$110=$T$6)*(TDU_Info!$B$5:$B$110&lt;=$B979),0)</f>
        <v>95</v>
      </c>
      <c r="U979" s="152">
        <f>100*(INDEX(TDU_Info!$E$5:$E$110,$T979)/T$11+INDEX(TDU_Info!$F$5:$F$110,$T979))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MATCH(1,(TDU_Info!$C$5:$C$110=$T$6)*(TDU_Info!$B$5:$B$110&lt;=$B980),0)</f>
        <v>95</v>
      </c>
      <c r="U980" s="152">
        <f>100*(INDEX(TDU_Info!$E$5:$E$110,$T980)/T$11+INDEX(TDU_Info!$F$5:$F$110,$T980))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MATCH(1,(TDU_Info!$C$5:$C$110=$T$6)*(TDU_Info!$B$5:$B$110&lt;=$B981),0)</f>
        <v>95</v>
      </c>
      <c r="U981" s="152">
        <f>100*(INDEX(TDU_Info!$E$5:$E$110,$T981)/T$11+INDEX(TDU_Info!$F$5:$F$110,$T981))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MATCH(1,(TDU_Info!$C$5:$C$110=$T$6)*(TDU_Info!$B$5:$B$110&lt;=$B982),0)</f>
        <v>95</v>
      </c>
      <c r="U982" s="152">
        <f>100*(INDEX(TDU_Info!$E$5:$E$110,$T982)/T$11+INDEX(TDU_Info!$F$5:$F$110,$T982))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MATCH(1,(TDU_Info!$C$5:$C$110=$T$6)*(TDU_Info!$B$5:$B$110&lt;=$B983),0)</f>
        <v>95</v>
      </c>
      <c r="U983" s="152">
        <f>100*(INDEX(TDU_Info!$E$5:$E$110,$T983)/T$11+INDEX(TDU_Info!$F$5:$F$110,$T983))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MATCH(1,(TDU_Info!$C$5:$C$110=$T$6)*(TDU_Info!$B$5:$B$110&lt;=$B984),0)</f>
        <v>95</v>
      </c>
      <c r="U984" s="152">
        <f>100*(INDEX(TDU_Info!$E$5:$E$110,$T984)/T$11+INDEX(TDU_Info!$F$5:$F$110,$T984))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MATCH(1,(TDU_Info!$C$5:$C$110=$T$6)*(TDU_Info!$B$5:$B$110&lt;=$B985),0)</f>
        <v>95</v>
      </c>
      <c r="U985" s="152">
        <f>100*(INDEX(TDU_Info!$E$5:$E$110,$T985)/T$11+INDEX(TDU_Info!$F$5:$F$110,$T985))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MATCH(1,(TDU_Info!$C$5:$C$110=$T$6)*(TDU_Info!$B$5:$B$110&lt;=$B986),0)</f>
        <v>95</v>
      </c>
      <c r="U986" s="152">
        <f>100*(INDEX(TDU_Info!$E$5:$E$110,$T986)/T$11+INDEX(TDU_Info!$F$5:$F$110,$T986))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MATCH(1,(TDU_Info!$C$5:$C$110=$T$6)*(TDU_Info!$B$5:$B$110&lt;=$B987),0)</f>
        <v>95</v>
      </c>
      <c r="U987" s="152">
        <f>100*(INDEX(TDU_Info!$E$5:$E$110,$T987)/T$11+INDEX(TDU_Info!$F$5:$F$110,$T987))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MATCH(1,(TDU_Info!$C$5:$C$110=$T$6)*(TDU_Info!$B$5:$B$110&lt;=$B988),0)</f>
        <v>95</v>
      </c>
      <c r="U988" s="152">
        <f>100*(INDEX(TDU_Info!$E$5:$E$110,$T988)/T$11+INDEX(TDU_Info!$F$5:$F$110,$T988))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MATCH(1,(TDU_Info!$C$5:$C$110=$T$6)*(TDU_Info!$B$5:$B$110&lt;=$B989),0)</f>
        <v>95</v>
      </c>
      <c r="U989" s="152">
        <f>100*(INDEX(TDU_Info!$E$5:$E$110,$T989)/T$11+INDEX(TDU_Info!$F$5:$F$110,$T989))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MATCH(1,(TDU_Info!$C$5:$C$110=$T$6)*(TDU_Info!$B$5:$B$110&lt;=$B990),0)</f>
        <v>94</v>
      </c>
      <c r="U990" s="152">
        <f>100*(INDEX(TDU_Info!$E$5:$E$110,$T990)/T$11+INDEX(TDU_Info!$F$5:$F$110,$T990))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MATCH(1,(TDU_Info!$C$5:$C$110=$T$6)*(TDU_Info!$B$5:$B$110&lt;=$B991),0)</f>
        <v>94</v>
      </c>
      <c r="U991" s="152">
        <f>100*(INDEX(TDU_Info!$E$5:$E$110,$T991)/T$11+INDEX(TDU_Info!$F$5:$F$110,$T991))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MATCH(1,(TDU_Info!$C$5:$C$110=$T$6)*(TDU_Info!$B$5:$B$110&lt;=$B992),0)</f>
        <v>94</v>
      </c>
      <c r="U992" s="152">
        <f>100*(INDEX(TDU_Info!$E$5:$E$110,$T992)/T$11+INDEX(TDU_Info!$F$5:$F$110,$T992))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MATCH(1,(TDU_Info!$C$5:$C$110=$T$6)*(TDU_Info!$B$5:$B$110&lt;=$B993),0)</f>
        <v>94</v>
      </c>
      <c r="U993" s="152">
        <f>100*(INDEX(TDU_Info!$E$5:$E$110,$T993)/T$11+INDEX(TDU_Info!$F$5:$F$110,$T993))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MATCH(1,(TDU_Info!$C$5:$C$110=$T$6)*(TDU_Info!$B$5:$B$110&lt;=$B994),0)</f>
        <v>94</v>
      </c>
      <c r="U994" s="152">
        <f>100*(INDEX(TDU_Info!$E$5:$E$110,$T994)/T$11+INDEX(TDU_Info!$F$5:$F$110,$T994))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MATCH(1,(TDU_Info!$C$5:$C$110=$T$6)*(TDU_Info!$B$5:$B$110&lt;=$B995),0)</f>
        <v>94</v>
      </c>
      <c r="U995" s="152">
        <f>100*(INDEX(TDU_Info!$E$5:$E$110,$T995)/T$11+INDEX(TDU_Info!$F$5:$F$110,$T995))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MATCH(1,(TDU_Info!$C$5:$C$110=$T$6)*(TDU_Info!$B$5:$B$110&lt;=$B996),0)</f>
        <v>94</v>
      </c>
      <c r="U996" s="152">
        <f>100*(INDEX(TDU_Info!$E$5:$E$110,$T996)/T$11+INDEX(TDU_Info!$F$5:$F$110,$T996))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MATCH(1,(TDU_Info!$C$5:$C$110=$T$6)*(TDU_Info!$B$5:$B$110&lt;=$B997),0)</f>
        <v>94</v>
      </c>
      <c r="U997" s="152">
        <f>100*(INDEX(TDU_Info!$E$5:$E$110,$T997)/T$11+INDEX(TDU_Info!$F$5:$F$110,$T997))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MATCH(1,(TDU_Info!$C$5:$C$110=$T$6)*(TDU_Info!$B$5:$B$110&lt;=$B998),0)</f>
        <v>94</v>
      </c>
      <c r="U998" s="152">
        <f>100*(INDEX(TDU_Info!$E$5:$E$110,$T998)/T$11+INDEX(TDU_Info!$F$5:$F$110,$T998))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MATCH(1,(TDU_Info!$C$5:$C$110=$T$6)*(TDU_Info!$B$5:$B$110&lt;=$B999),0)</f>
        <v>94</v>
      </c>
      <c r="U999" s="152">
        <f>100*(INDEX(TDU_Info!$E$5:$E$110,$T999)/T$11+INDEX(TDU_Info!$F$5:$F$110,$T999))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MATCH(1,(TDU_Info!$C$5:$C$110=$T$6)*(TDU_Info!$B$5:$B$110&lt;=$B1000),0)</f>
        <v>94</v>
      </c>
      <c r="U1000" s="152">
        <f>100*(INDEX(TDU_Info!$E$5:$E$110,$T1000)/T$11+INDEX(TDU_Info!$F$5:$F$110,$T1000))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MATCH(1,(TDU_Info!$C$5:$C$110=$T$6)*(TDU_Info!$B$5:$B$110&lt;=$B1001),0)</f>
        <v>94</v>
      </c>
      <c r="U1001" s="152">
        <f>100*(INDEX(TDU_Info!$E$5:$E$110,$T1001)/T$11+INDEX(TDU_Info!$F$5:$F$110,$T1001))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MATCH(1,(TDU_Info!$C$5:$C$110=$T$6)*(TDU_Info!$B$5:$B$110&lt;=$B1002),0)</f>
        <v>94</v>
      </c>
      <c r="U1002" s="152">
        <f>100*(INDEX(TDU_Info!$E$5:$E$110,$T1002)/T$11+INDEX(TDU_Info!$F$5:$F$110,$T1002))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MATCH(1,(TDU_Info!$C$5:$C$110=$T$6)*(TDU_Info!$B$5:$B$110&lt;=$B1003),0)</f>
        <v>94</v>
      </c>
      <c r="U1003" s="152">
        <f>100*(INDEX(TDU_Info!$E$5:$E$110,$T1003)/T$11+INDEX(TDU_Info!$F$5:$F$110,$T1003))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MATCH(1,(TDU_Info!$C$5:$C$110=$T$6)*(TDU_Info!$B$5:$B$110&lt;=$B1004),0)</f>
        <v>94</v>
      </c>
      <c r="U1004" s="152">
        <f>100*(INDEX(TDU_Info!$E$5:$E$110,$T1004)/T$11+INDEX(TDU_Info!$F$5:$F$110,$T1004))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MATCH(1,(TDU_Info!$C$5:$C$110=$T$6)*(TDU_Info!$B$5:$B$110&lt;=$B1005),0)</f>
        <v>94</v>
      </c>
      <c r="U1005" s="152">
        <f>100*(INDEX(TDU_Info!$E$5:$E$110,$T1005)/T$11+INDEX(TDU_Info!$F$5:$F$110,$T1005))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MATCH(1,(TDU_Info!$C$5:$C$110=$T$6)*(TDU_Info!$B$5:$B$110&lt;=$B1006),0)</f>
        <v>94</v>
      </c>
      <c r="U1006" s="152">
        <f>100*(INDEX(TDU_Info!$E$5:$E$110,$T1006)/T$11+INDEX(TDU_Info!$F$5:$F$110,$T1006))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MATCH(1,(TDU_Info!$C$5:$C$110=$T$6)*(TDU_Info!$B$5:$B$110&lt;=$B1007),0)</f>
        <v>94</v>
      </c>
      <c r="U1007" s="152">
        <f>100*(INDEX(TDU_Info!$E$5:$E$110,$T1007)/T$11+INDEX(TDU_Info!$F$5:$F$110,$T1007))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MATCH(1,(TDU_Info!$C$5:$C$110=$T$6)*(TDU_Info!$B$5:$B$110&lt;=$B1008),0)</f>
        <v>94</v>
      </c>
      <c r="U1008" s="152">
        <f>100*(INDEX(TDU_Info!$E$5:$E$110,$T1008)/T$11+INDEX(TDU_Info!$F$5:$F$110,$T1008))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MATCH(1,(TDU_Info!$C$5:$C$110=$T$6)*(TDU_Info!$B$5:$B$110&lt;=$B1009),0)</f>
        <v>94</v>
      </c>
      <c r="U1009" s="152">
        <f>100*(INDEX(TDU_Info!$E$5:$E$110,$T1009)/T$11+INDEX(TDU_Info!$F$5:$F$110,$T1009))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MATCH(1,(TDU_Info!$C$5:$C$110=$T$6)*(TDU_Info!$B$5:$B$110&lt;=$B1010),0)</f>
        <v>94</v>
      </c>
      <c r="U1010" s="152">
        <f>100*(INDEX(TDU_Info!$E$5:$E$110,$T1010)/T$11+INDEX(TDU_Info!$F$5:$F$110,$T1010))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MATCH(1,(TDU_Info!$C$5:$C$110=$T$6)*(TDU_Info!$B$5:$B$110&lt;=$B1011),0)</f>
        <v>94</v>
      </c>
      <c r="U1011" s="152">
        <f>100*(INDEX(TDU_Info!$E$5:$E$110,$T1011)/T$11+INDEX(TDU_Info!$F$5:$F$110,$T1011))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MATCH(1,(TDU_Info!$C$5:$C$110=$T$6)*(TDU_Info!$B$5:$B$110&lt;=$B1012),0)</f>
        <v>94</v>
      </c>
      <c r="U1012" s="152">
        <f>100*(INDEX(TDU_Info!$E$5:$E$110,$T1012)/T$11+INDEX(TDU_Info!$F$5:$F$110,$T1012))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MATCH(1,(TDU_Info!$C$5:$C$110=$T$6)*(TDU_Info!$B$5:$B$110&lt;=$B1013),0)</f>
        <v>94</v>
      </c>
      <c r="U1013" s="152">
        <f>100*(INDEX(TDU_Info!$E$5:$E$110,$T1013)/T$11+INDEX(TDU_Info!$F$5:$F$110,$T1013))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MATCH(1,(TDU_Info!$C$5:$C$110=$T$6)*(TDU_Info!$B$5:$B$110&lt;=$B1014),0)</f>
        <v>94</v>
      </c>
      <c r="U1014" s="152">
        <f>100*(INDEX(TDU_Info!$E$5:$E$110,$T1014)/T$11+INDEX(TDU_Info!$F$5:$F$110,$T1014))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MATCH(1,(TDU_Info!$C$5:$C$110=$T$6)*(TDU_Info!$B$5:$B$110&lt;=$B1015),0)</f>
        <v>94</v>
      </c>
      <c r="U1015" s="152">
        <f>100*(INDEX(TDU_Info!$E$5:$E$110,$T1015)/T$11+INDEX(TDU_Info!$F$5:$F$110,$T1015))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MATCH(1,(TDU_Info!$C$5:$C$110=$T$6)*(TDU_Info!$B$5:$B$110&lt;=$B1016),0)</f>
        <v>94</v>
      </c>
      <c r="U1016" s="152">
        <f>100*(INDEX(TDU_Info!$E$5:$E$110,$T1016)/T$11+INDEX(TDU_Info!$F$5:$F$110,$T1016))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MATCH(1,(TDU_Info!$C$5:$C$110=$T$6)*(TDU_Info!$B$5:$B$110&lt;=$B1017),0)</f>
        <v>94</v>
      </c>
      <c r="U1017" s="152">
        <f>100*(INDEX(TDU_Info!$E$5:$E$110,$T1017)/T$11+INDEX(TDU_Info!$F$5:$F$110,$T1017))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MATCH(1,(TDU_Info!$C$5:$C$110=$T$6)*(TDU_Info!$B$5:$B$110&lt;=$B1018),0)</f>
        <v>94</v>
      </c>
      <c r="U1018" s="152">
        <f>100*(INDEX(TDU_Info!$E$5:$E$110,$T1018)/T$11+INDEX(TDU_Info!$F$5:$F$110,$T1018))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MATCH(1,(TDU_Info!$C$5:$C$110=$T$6)*(TDU_Info!$B$5:$B$110&lt;=$B1019),0)</f>
        <v>94</v>
      </c>
      <c r="U1019" s="152">
        <f>100*(INDEX(TDU_Info!$E$5:$E$110,$T1019)/T$11+INDEX(TDU_Info!$F$5:$F$110,$T1019))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MATCH(1,(TDU_Info!$C$5:$C$110=$T$6)*(TDU_Info!$B$5:$B$110&lt;=$B1020),0)</f>
        <v>94</v>
      </c>
      <c r="U1020" s="152">
        <f>100*(INDEX(TDU_Info!$E$5:$E$110,$T1020)/T$11+INDEX(TDU_Info!$F$5:$F$110,$T1020))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MATCH(1,(TDU_Info!$C$5:$C$110=$T$6)*(TDU_Info!$B$5:$B$110&lt;=$B1021),0)</f>
        <v>94</v>
      </c>
      <c r="U1021" s="152">
        <f>100*(INDEX(TDU_Info!$E$5:$E$110,$T1021)/T$11+INDEX(TDU_Info!$F$5:$F$110,$T1021))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MATCH(1,(TDU_Info!$C$5:$C$110=$T$6)*(TDU_Info!$B$5:$B$110&lt;=$B1022),0)</f>
        <v>94</v>
      </c>
      <c r="U1022" s="152">
        <f>100*(INDEX(TDU_Info!$E$5:$E$110,$T1022)/T$11+INDEX(TDU_Info!$F$5:$F$110,$T1022))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MATCH(1,(TDU_Info!$C$5:$C$110=$T$6)*(TDU_Info!$B$5:$B$110&lt;=$B1023),0)</f>
        <v>94</v>
      </c>
      <c r="U1023" s="152">
        <f>100*(INDEX(TDU_Info!$E$5:$E$110,$T1023)/T$11+INDEX(TDU_Info!$F$5:$F$110,$T1023))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MATCH(1,(TDU_Info!$C$5:$C$110=$T$6)*(TDU_Info!$B$5:$B$110&lt;=$B1024),0)</f>
        <v>94</v>
      </c>
      <c r="U1024" s="152">
        <f>100*(INDEX(TDU_Info!$E$5:$E$110,$T1024)/T$11+INDEX(TDU_Info!$F$5:$F$110,$T1024))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MATCH(1,(TDU_Info!$C$5:$C$110=$T$6)*(TDU_Info!$B$5:$B$110&lt;=$B1025),0)</f>
        <v>94</v>
      </c>
      <c r="U1025" s="152">
        <f>100*(INDEX(TDU_Info!$E$5:$E$110,$T1025)/T$11+INDEX(TDU_Info!$F$5:$F$110,$T1025))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MATCH(1,(TDU_Info!$C$5:$C$110=$T$6)*(TDU_Info!$B$5:$B$110&lt;=$B1026),0)</f>
        <v>94</v>
      </c>
      <c r="U1026" s="152">
        <f>100*(INDEX(TDU_Info!$E$5:$E$110,$T1026)/T$11+INDEX(TDU_Info!$F$5:$F$110,$T1026))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MATCH(1,(TDU_Info!$C$5:$C$110=$T$6)*(TDU_Info!$B$5:$B$110&lt;=$B1027),0)</f>
        <v>94</v>
      </c>
      <c r="U1027" s="152">
        <f>100*(INDEX(TDU_Info!$E$5:$E$110,$T1027)/T$11+INDEX(TDU_Info!$F$5:$F$110,$T1027))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MATCH(1,(TDU_Info!$C$5:$C$110=$T$6)*(TDU_Info!$B$5:$B$110&lt;=$B1028),0)</f>
        <v>94</v>
      </c>
      <c r="U1028" s="152">
        <f>100*(INDEX(TDU_Info!$E$5:$E$110,$T1028)/T$11+INDEX(TDU_Info!$F$5:$F$110,$T1028))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MATCH(1,(TDU_Info!$C$5:$C$110=$T$6)*(TDU_Info!$B$5:$B$110&lt;=$B1029),0)</f>
        <v>94</v>
      </c>
      <c r="U1029" s="152">
        <f>100*(INDEX(TDU_Info!$E$5:$E$110,$T1029)/T$11+INDEX(TDU_Info!$F$5:$F$110,$T1029))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MATCH(1,(TDU_Info!$C$5:$C$110=$T$6)*(TDU_Info!$B$5:$B$110&lt;=$B1030),0)</f>
        <v>94</v>
      </c>
      <c r="U1030" s="152">
        <f>100*(INDEX(TDU_Info!$E$5:$E$110,$T1030)/T$11+INDEX(TDU_Info!$F$5:$F$110,$T1030))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MATCH(1,(TDU_Info!$C$5:$C$110=$T$6)*(TDU_Info!$B$5:$B$110&lt;=$B1031),0)</f>
        <v>94</v>
      </c>
      <c r="U1031" s="152">
        <f>100*(INDEX(TDU_Info!$E$5:$E$110,$T1031)/T$11+INDEX(TDU_Info!$F$5:$F$110,$T1031))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MATCH(1,(TDU_Info!$C$5:$C$110=$T$6)*(TDU_Info!$B$5:$B$110&lt;=$B1032),0)</f>
        <v>94</v>
      </c>
      <c r="U1032" s="152">
        <f>100*(INDEX(TDU_Info!$E$5:$E$110,$T1032)/T$11+INDEX(TDU_Info!$F$5:$F$110,$T1032))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MATCH(1,(TDU_Info!$C$5:$C$110=$T$6)*(TDU_Info!$B$5:$B$110&lt;=$B1033),0)</f>
        <v>94</v>
      </c>
      <c r="U1033" s="152">
        <f>100*(INDEX(TDU_Info!$E$5:$E$110,$T1033)/T$11+INDEX(TDU_Info!$F$5:$F$110,$T1033))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MATCH(1,(TDU_Info!$C$5:$C$110=$T$6)*(TDU_Info!$B$5:$B$110&lt;=$B1034),0)</f>
        <v>94</v>
      </c>
      <c r="U1034" s="152">
        <f>100*(INDEX(TDU_Info!$E$5:$E$110,$T1034)/T$11+INDEX(TDU_Info!$F$5:$F$110,$T1034))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MATCH(1,(TDU_Info!$C$5:$C$110=$T$6)*(TDU_Info!$B$5:$B$110&lt;=$B1035),0)</f>
        <v>94</v>
      </c>
      <c r="U1035" s="152">
        <f>100*(INDEX(TDU_Info!$E$5:$E$110,$T1035)/T$11+INDEX(TDU_Info!$F$5:$F$110,$T1035))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MATCH(1,(TDU_Info!$C$5:$C$110=$T$6)*(TDU_Info!$B$5:$B$110&lt;=$B1036),0)</f>
        <v>94</v>
      </c>
      <c r="U1036" s="152">
        <f>100*(INDEX(TDU_Info!$E$5:$E$110,$T1036)/T$11+INDEX(TDU_Info!$F$5:$F$110,$T1036))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MATCH(1,(TDU_Info!$C$5:$C$110=$T$6)*(TDU_Info!$B$5:$B$110&lt;=$B1037),0)</f>
        <v>94</v>
      </c>
      <c r="U1037" s="152">
        <f>100*(INDEX(TDU_Info!$E$5:$E$110,$T1037)/T$11+INDEX(TDU_Info!$F$5:$F$110,$T1037))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MATCH(1,(TDU_Info!$C$5:$C$110=$T$6)*(TDU_Info!$B$5:$B$110&lt;=$B1038),0)</f>
        <v>94</v>
      </c>
      <c r="U1038" s="152">
        <f>100*(INDEX(TDU_Info!$E$5:$E$110,$T1038)/T$11+INDEX(TDU_Info!$F$5:$F$110,$T1038))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MATCH(1,(TDU_Info!$C$5:$C$110=$T$6)*(TDU_Info!$B$5:$B$110&lt;=$B1039),0)</f>
        <v>94</v>
      </c>
      <c r="U1039" s="152">
        <f>100*(INDEX(TDU_Info!$E$5:$E$110,$T1039)/T$11+INDEX(TDU_Info!$F$5:$F$110,$T1039))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MATCH(1,(TDU_Info!$C$5:$C$110=$T$6)*(TDU_Info!$B$5:$B$110&lt;=$B1040),0)</f>
        <v>94</v>
      </c>
      <c r="U1040" s="152">
        <f>100*(INDEX(TDU_Info!$E$5:$E$110,$T1040)/T$11+INDEX(TDU_Info!$F$5:$F$110,$T1040))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MATCH(1,(TDU_Info!$C$5:$C$110=$T$6)*(TDU_Info!$B$5:$B$110&lt;=$B1041),0)</f>
        <v>94</v>
      </c>
      <c r="U1041" s="152">
        <f>100*(INDEX(TDU_Info!$E$5:$E$110,$T1041)/T$11+INDEX(TDU_Info!$F$5:$F$110,$T1041))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MATCH(1,(TDU_Info!$C$5:$C$110=$T$6)*(TDU_Info!$B$5:$B$110&lt;=$B1042),0)</f>
        <v>94</v>
      </c>
      <c r="U1042" s="152">
        <f>100*(INDEX(TDU_Info!$E$5:$E$110,$T1042)/T$11+INDEX(TDU_Info!$F$5:$F$110,$T1042))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MATCH(1,(TDU_Info!$C$5:$C$110=$T$6)*(TDU_Info!$B$5:$B$110&lt;=$B1043),0)</f>
        <v>94</v>
      </c>
      <c r="U1043" s="152">
        <f>100*(INDEX(TDU_Info!$E$5:$E$110,$T1043)/T$11+INDEX(TDU_Info!$F$5:$F$110,$T1043))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MATCH(1,(TDU_Info!$C$5:$C$110=$T$6)*(TDU_Info!$B$5:$B$110&lt;=$B1044),0)</f>
        <v>94</v>
      </c>
      <c r="U1044" s="152">
        <f>100*(INDEX(TDU_Info!$E$5:$E$110,$T1044)/T$11+INDEX(TDU_Info!$F$5:$F$110,$T1044))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MATCH(1,(TDU_Info!$C$5:$C$110=$T$6)*(TDU_Info!$B$5:$B$110&lt;=$B1045),0)</f>
        <v>94</v>
      </c>
      <c r="U1045" s="152">
        <f>100*(INDEX(TDU_Info!$E$5:$E$110,$T1045)/T$11+INDEX(TDU_Info!$F$5:$F$110,$T1045))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MATCH(1,(TDU_Info!$C$5:$C$110=$T$6)*(TDU_Info!$B$5:$B$110&lt;=$B1046),0)</f>
        <v>94</v>
      </c>
      <c r="U1046" s="152">
        <f>100*(INDEX(TDU_Info!$E$5:$E$110,$T1046)/T$11+INDEX(TDU_Info!$F$5:$F$110,$T1046))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MATCH(1,(TDU_Info!$C$5:$C$110=$T$6)*(TDU_Info!$B$5:$B$110&lt;=$B1047),0)</f>
        <v>94</v>
      </c>
      <c r="U1047" s="152">
        <f>100*(INDEX(TDU_Info!$E$5:$E$110,$T1047)/T$11+INDEX(TDU_Info!$F$5:$F$110,$T1047))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MATCH(1,(TDU_Info!$C$5:$C$110=$T$6)*(TDU_Info!$B$5:$B$110&lt;=$B1048),0)</f>
        <v>94</v>
      </c>
      <c r="U1048" s="152">
        <f>100*(INDEX(TDU_Info!$E$5:$E$110,$T1048)/T$11+INDEX(TDU_Info!$F$5:$F$110,$T1048))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MATCH(1,(TDU_Info!$C$5:$C$110=$T$6)*(TDU_Info!$B$5:$B$110&lt;=$B1049),0)</f>
        <v>94</v>
      </c>
      <c r="U1049" s="152">
        <f>100*(INDEX(TDU_Info!$E$5:$E$110,$T1049)/T$11+INDEX(TDU_Info!$F$5:$F$110,$T1049))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MATCH(1,(TDU_Info!$C$5:$C$110=$T$6)*(TDU_Info!$B$5:$B$110&lt;=$B1050),0)</f>
        <v>94</v>
      </c>
      <c r="U1050" s="152">
        <f>100*(INDEX(TDU_Info!$E$5:$E$110,$T1050)/T$11+INDEX(TDU_Info!$F$5:$F$110,$T1050))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MATCH(1,(TDU_Info!$C$5:$C$110=$T$6)*(TDU_Info!$B$5:$B$110&lt;=$B1051),0)</f>
        <v>94</v>
      </c>
      <c r="U1051" s="152">
        <f>100*(INDEX(TDU_Info!$E$5:$E$110,$T1051)/T$11+INDEX(TDU_Info!$F$5:$F$110,$T1051))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MATCH(1,(TDU_Info!$C$5:$C$110=$T$6)*(TDU_Info!$B$5:$B$110&lt;=$B1052),0)</f>
        <v>94</v>
      </c>
      <c r="U1052" s="152">
        <f>100*(INDEX(TDU_Info!$E$5:$E$110,$T1052)/T$11+INDEX(TDU_Info!$F$5:$F$110,$T1052))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MATCH(1,(TDU_Info!$C$5:$C$110=$T$6)*(TDU_Info!$B$5:$B$110&lt;=$B1053),0)</f>
        <v>94</v>
      </c>
      <c r="U1053" s="152">
        <f>100*(INDEX(TDU_Info!$E$5:$E$110,$T1053)/T$11+INDEX(TDU_Info!$F$5:$F$110,$T1053))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MATCH(1,(TDU_Info!$C$5:$C$110=$T$6)*(TDU_Info!$B$5:$B$110&lt;=$B1054),0)</f>
        <v>94</v>
      </c>
      <c r="U1054" s="152">
        <f>100*(INDEX(TDU_Info!$E$5:$E$110,$T1054)/T$11+INDEX(TDU_Info!$F$5:$F$110,$T1054))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MATCH(1,(TDU_Info!$C$5:$C$110=$T$6)*(TDU_Info!$B$5:$B$110&lt;=$B1055),0)</f>
        <v>94</v>
      </c>
      <c r="U1055" s="152">
        <f>100*(INDEX(TDU_Info!$E$5:$E$110,$T1055)/T$11+INDEX(TDU_Info!$F$5:$F$110,$T1055))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MATCH(1,(TDU_Info!$C$5:$C$110=$T$6)*(TDU_Info!$B$5:$B$110&lt;=$B1056),0)</f>
        <v>94</v>
      </c>
      <c r="U1056" s="152">
        <f>100*(INDEX(TDU_Info!$E$5:$E$110,$T1056)/T$11+INDEX(TDU_Info!$F$5:$F$110,$T1056))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MATCH(1,(TDU_Info!$C$5:$C$110=$T$6)*(TDU_Info!$B$5:$B$110&lt;=$B1057),0)</f>
        <v>94</v>
      </c>
      <c r="U1057" s="152">
        <f>100*(INDEX(TDU_Info!$E$5:$E$110,$T1057)/T$11+INDEX(TDU_Info!$F$5:$F$110,$T1057))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MATCH(1,(TDU_Info!$C$5:$C$110=$T$6)*(TDU_Info!$B$5:$B$110&lt;=$B1058),0)</f>
        <v>94</v>
      </c>
      <c r="U1058" s="152">
        <f>100*(INDEX(TDU_Info!$E$5:$E$110,$T1058)/T$11+INDEX(TDU_Info!$F$5:$F$110,$T1058))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MATCH(1,(TDU_Info!$C$5:$C$110=$T$6)*(TDU_Info!$B$5:$B$110&lt;=$B1059),0)</f>
        <v>94</v>
      </c>
      <c r="U1059" s="152">
        <f>100*(INDEX(TDU_Info!$E$5:$E$110,$T1059)/T$11+INDEX(TDU_Info!$F$5:$F$110,$T1059))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MATCH(1,(TDU_Info!$C$5:$C$110=$T$6)*(TDU_Info!$B$5:$B$110&lt;=$B1060),0)</f>
        <v>94</v>
      </c>
      <c r="U1060" s="152">
        <f>100*(INDEX(TDU_Info!$E$5:$E$110,$T1060)/T$11+INDEX(TDU_Info!$F$5:$F$110,$T1060))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MATCH(1,(TDU_Info!$C$5:$C$110=$T$6)*(TDU_Info!$B$5:$B$110&lt;=$B1061),0)</f>
        <v>94</v>
      </c>
      <c r="U1061" s="152">
        <f>100*(INDEX(TDU_Info!$E$5:$E$110,$T1061)/T$11+INDEX(TDU_Info!$F$5:$F$110,$T1061))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MATCH(1,(TDU_Info!$C$5:$C$110=$T$6)*(TDU_Info!$B$5:$B$110&lt;=$B1062),0)</f>
        <v>94</v>
      </c>
      <c r="U1062" s="152">
        <f>100*(INDEX(TDU_Info!$E$5:$E$110,$T1062)/T$11+INDEX(TDU_Info!$F$5:$F$110,$T1062))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MATCH(1,(TDU_Info!$C$5:$C$110=$T$6)*(TDU_Info!$B$5:$B$110&lt;=$B1063),0)</f>
        <v>94</v>
      </c>
      <c r="U1063" s="152">
        <f>100*(INDEX(TDU_Info!$E$5:$E$110,$T1063)/T$11+INDEX(TDU_Info!$F$5:$F$110,$T1063))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MATCH(1,(TDU_Info!$C$5:$C$110=$T$6)*(TDU_Info!$B$5:$B$110&lt;=$B1064),0)</f>
        <v>94</v>
      </c>
      <c r="U1064" s="152">
        <f>100*(INDEX(TDU_Info!$E$5:$E$110,$T1064)/T$11+INDEX(TDU_Info!$F$5:$F$110,$T1064))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MATCH(1,(TDU_Info!$C$5:$C$110=$T$6)*(TDU_Info!$B$5:$B$110&lt;=$B1065),0)</f>
        <v>94</v>
      </c>
      <c r="U1065" s="152">
        <f>100*(INDEX(TDU_Info!$E$5:$E$110,$T1065)/T$11+INDEX(TDU_Info!$F$5:$F$110,$T1065))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MATCH(1,(TDU_Info!$C$5:$C$110=$T$6)*(TDU_Info!$B$5:$B$110&lt;=$B1066),0)</f>
        <v>94</v>
      </c>
      <c r="U1066" s="152">
        <f>100*(INDEX(TDU_Info!$E$5:$E$110,$T1066)/T$11+INDEX(TDU_Info!$F$5:$F$110,$T1066))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MATCH(1,(TDU_Info!$C$5:$C$110=$T$6)*(TDU_Info!$B$5:$B$110&lt;=$B1067),0)</f>
        <v>94</v>
      </c>
      <c r="U1067" s="152">
        <f>100*(INDEX(TDU_Info!$E$5:$E$110,$T1067)/T$11+INDEX(TDU_Info!$F$5:$F$110,$T1067))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MATCH(1,(TDU_Info!$C$5:$C$110=$T$6)*(TDU_Info!$B$5:$B$110&lt;=$B1068),0)</f>
        <v>94</v>
      </c>
      <c r="U1068" s="152">
        <f>100*(INDEX(TDU_Info!$E$5:$E$110,$T1068)/T$11+INDEX(TDU_Info!$F$5:$F$110,$T1068))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MATCH(1,(TDU_Info!$C$5:$C$110=$T$6)*(TDU_Info!$B$5:$B$110&lt;=$B1069),0)</f>
        <v>94</v>
      </c>
      <c r="U1069" s="152">
        <f>100*(INDEX(TDU_Info!$E$5:$E$110,$T1069)/T$11+INDEX(TDU_Info!$F$5:$F$110,$T1069))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MATCH(1,(TDU_Info!$C$5:$C$110=$T$6)*(TDU_Info!$B$5:$B$110&lt;=$B1070),0)</f>
        <v>94</v>
      </c>
      <c r="U1070" s="152">
        <f>100*(INDEX(TDU_Info!$E$5:$E$110,$T1070)/T$11+INDEX(TDU_Info!$F$5:$F$110,$T1070))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MATCH(1,(TDU_Info!$C$5:$C$110=$T$6)*(TDU_Info!$B$5:$B$110&lt;=$B1071),0)</f>
        <v>94</v>
      </c>
      <c r="U1071" s="152">
        <f>100*(INDEX(TDU_Info!$E$5:$E$110,$T1071)/T$11+INDEX(TDU_Info!$F$5:$F$110,$T1071))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MATCH(1,(TDU_Info!$C$5:$C$110=$T$6)*(TDU_Info!$B$5:$B$110&lt;=$B1072),0)</f>
        <v>94</v>
      </c>
      <c r="U1072" s="152">
        <f>100*(INDEX(TDU_Info!$E$5:$E$110,$T1072)/T$11+INDEX(TDU_Info!$F$5:$F$110,$T1072))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MATCH(1,(TDU_Info!$C$5:$C$110=$T$6)*(TDU_Info!$B$5:$B$110&lt;=$B1073),0)</f>
        <v>94</v>
      </c>
      <c r="U1073" s="152">
        <f>100*(INDEX(TDU_Info!$E$5:$E$110,$T1073)/T$11+INDEX(TDU_Info!$F$5:$F$110,$T1073))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MATCH(1,(TDU_Info!$C$5:$C$110=$T$6)*(TDU_Info!$B$5:$B$110&lt;=$B1074),0)</f>
        <v>94</v>
      </c>
      <c r="U1074" s="152">
        <f>100*(INDEX(TDU_Info!$E$5:$E$110,$T1074)/T$11+INDEX(TDU_Info!$F$5:$F$110,$T1074))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MATCH(1,(TDU_Info!$C$5:$C$110=$T$6)*(TDU_Info!$B$5:$B$110&lt;=$B1075),0)</f>
        <v>94</v>
      </c>
      <c r="U1075" s="152">
        <f>100*(INDEX(TDU_Info!$E$5:$E$110,$T1075)/T$11+INDEX(TDU_Info!$F$5:$F$110,$T1075))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MATCH(1,(TDU_Info!$C$5:$C$110=$T$6)*(TDU_Info!$B$5:$B$110&lt;=$B1076),0)</f>
        <v>94</v>
      </c>
      <c r="U1076" s="152">
        <f>100*(INDEX(TDU_Info!$E$5:$E$110,$T1076)/T$11+INDEX(TDU_Info!$F$5:$F$110,$T1076))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MATCH(1,(TDU_Info!$C$5:$C$110=$T$6)*(TDU_Info!$B$5:$B$110&lt;=$B1077),0)</f>
        <v>94</v>
      </c>
      <c r="U1077" s="152">
        <f>100*(INDEX(TDU_Info!$E$5:$E$110,$T1077)/T$11+INDEX(TDU_Info!$F$5:$F$110,$T1077))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MATCH(1,(TDU_Info!$C$5:$C$110=$T$6)*(TDU_Info!$B$5:$B$110&lt;=$B1078),0)</f>
        <v>94</v>
      </c>
      <c r="U1078" s="152">
        <f>100*(INDEX(TDU_Info!$E$5:$E$110,$T1078)/T$11+INDEX(TDU_Info!$F$5:$F$110,$T1078))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MATCH(1,(TDU_Info!$C$5:$C$110=$T$6)*(TDU_Info!$B$5:$B$110&lt;=$B1079),0)</f>
        <v>94</v>
      </c>
      <c r="U1079" s="152">
        <f>100*(INDEX(TDU_Info!$E$5:$E$110,$T1079)/T$11+INDEX(TDU_Info!$F$5:$F$110,$T1079))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MATCH(1,(TDU_Info!$C$5:$C$110=$T$6)*(TDU_Info!$B$5:$B$110&lt;=$B1080),0)</f>
        <v>94</v>
      </c>
      <c r="U1080" s="152">
        <f>100*(INDEX(TDU_Info!$E$5:$E$110,$T1080)/T$11+INDEX(TDU_Info!$F$5:$F$110,$T1080))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MATCH(1,(TDU_Info!$C$5:$C$110=$T$6)*(TDU_Info!$B$5:$B$110&lt;=$B1081),0)</f>
        <v>94</v>
      </c>
      <c r="U1081" s="152">
        <f>100*(INDEX(TDU_Info!$E$5:$E$110,$T1081)/T$11+INDEX(TDU_Info!$F$5:$F$110,$T1081))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MATCH(1,(TDU_Info!$C$5:$C$110=$T$6)*(TDU_Info!$B$5:$B$110&lt;=$B1082),0)</f>
        <v>94</v>
      </c>
      <c r="U1082" s="152">
        <f>100*(INDEX(TDU_Info!$E$5:$E$110,$T1082)/T$11+INDEX(TDU_Info!$F$5:$F$110,$T1082))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MATCH(1,(TDU_Info!$C$5:$C$110=$T$6)*(TDU_Info!$B$5:$B$110&lt;=$B1083),0)</f>
        <v>94</v>
      </c>
      <c r="U1083" s="152">
        <f>100*(INDEX(TDU_Info!$E$5:$E$110,$T1083)/T$11+INDEX(TDU_Info!$F$5:$F$110,$T1083))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MATCH(1,(TDU_Info!$C$5:$C$110=$T$6)*(TDU_Info!$B$5:$B$110&lt;=$B1084),0)</f>
        <v>94</v>
      </c>
      <c r="U1084" s="152">
        <f>100*(INDEX(TDU_Info!$E$5:$E$110,$T1084)/T$11+INDEX(TDU_Info!$F$5:$F$110,$T1084))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MATCH(1,(TDU_Info!$C$5:$C$110=$T$6)*(TDU_Info!$B$5:$B$110&lt;=$B1085),0)</f>
        <v>94</v>
      </c>
      <c r="U1085" s="152">
        <f>100*(INDEX(TDU_Info!$E$5:$E$110,$T1085)/T$11+INDEX(TDU_Info!$F$5:$F$110,$T1085))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MATCH(1,(TDU_Info!$C$5:$C$110=$T$6)*(TDU_Info!$B$5:$B$110&lt;=$B1086),0)</f>
        <v>94</v>
      </c>
      <c r="U1086" s="152">
        <f>100*(INDEX(TDU_Info!$E$5:$E$110,$T1086)/T$11+INDEX(TDU_Info!$F$5:$F$110,$T1086))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MATCH(1,(TDU_Info!$C$5:$C$110=$T$6)*(TDU_Info!$B$5:$B$110&lt;=$B1087),0)</f>
        <v>94</v>
      </c>
      <c r="U1087" s="152">
        <f>100*(INDEX(TDU_Info!$E$5:$E$110,$T1087)/T$11+INDEX(TDU_Info!$F$5:$F$110,$T1087))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MATCH(1,(TDU_Info!$C$5:$C$110=$T$6)*(TDU_Info!$B$5:$B$110&lt;=$B1088),0)</f>
        <v>94</v>
      </c>
      <c r="U1088" s="152">
        <f>100*(INDEX(TDU_Info!$E$5:$E$110,$T1088)/T$11+INDEX(TDU_Info!$F$5:$F$110,$T1088))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MATCH(1,(TDU_Info!$C$5:$C$110=$T$6)*(TDU_Info!$B$5:$B$110&lt;=$B1089),0)</f>
        <v>94</v>
      </c>
      <c r="U1089" s="152">
        <f>100*(INDEX(TDU_Info!$E$5:$E$110,$T1089)/T$11+INDEX(TDU_Info!$F$5:$F$110,$T1089))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MATCH(1,(TDU_Info!$C$5:$C$110=$T$6)*(TDU_Info!$B$5:$B$110&lt;=$B1090),0)</f>
        <v>94</v>
      </c>
      <c r="U1090" s="152">
        <f>100*(INDEX(TDU_Info!$E$5:$E$110,$T1090)/T$11+INDEX(TDU_Info!$F$5:$F$110,$T1090))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MATCH(1,(TDU_Info!$C$5:$C$110=$T$6)*(TDU_Info!$B$5:$B$110&lt;=$B1091),0)</f>
        <v>94</v>
      </c>
      <c r="U1091" s="152">
        <f>100*(INDEX(TDU_Info!$E$5:$E$110,$T1091)/T$11+INDEX(TDU_Info!$F$5:$F$110,$T1091))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MATCH(1,(TDU_Info!$C$5:$C$110=$T$6)*(TDU_Info!$B$5:$B$110&lt;=$B1092),0)</f>
        <v>94</v>
      </c>
      <c r="U1092" s="152">
        <f>100*(INDEX(TDU_Info!$E$5:$E$110,$T1092)/T$11+INDEX(TDU_Info!$F$5:$F$110,$T1092))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MATCH(1,(TDU_Info!$C$5:$C$110=$T$6)*(TDU_Info!$B$5:$B$110&lt;=$B1093),0)</f>
        <v>94</v>
      </c>
      <c r="U1093" s="152">
        <f>100*(INDEX(TDU_Info!$E$5:$E$110,$T1093)/T$11+INDEX(TDU_Info!$F$5:$F$110,$T1093))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MATCH(1,(TDU_Info!$C$5:$C$110=$T$6)*(TDU_Info!$B$5:$B$110&lt;=$B1094),0)</f>
        <v>94</v>
      </c>
      <c r="U1094" s="152">
        <f>100*(INDEX(TDU_Info!$E$5:$E$110,$T1094)/T$11+INDEX(TDU_Info!$F$5:$F$110,$T1094))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MATCH(1,(TDU_Info!$C$5:$C$110=$T$6)*(TDU_Info!$B$5:$B$110&lt;=$B1095),0)</f>
        <v>94</v>
      </c>
      <c r="U1095" s="152">
        <f>100*(INDEX(TDU_Info!$E$5:$E$110,$T1095)/T$11+INDEX(TDU_Info!$F$5:$F$110,$T1095))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MATCH(1,(TDU_Info!$C$5:$C$110=$T$6)*(TDU_Info!$B$5:$B$110&lt;=$B1096),0)</f>
        <v>94</v>
      </c>
      <c r="U1096" s="152">
        <f>100*(INDEX(TDU_Info!$E$5:$E$110,$T1096)/T$11+INDEX(TDU_Info!$F$5:$F$110,$T1096))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MATCH(1,(TDU_Info!$C$5:$C$110=$T$6)*(TDU_Info!$B$5:$B$110&lt;=$B1097),0)</f>
        <v>94</v>
      </c>
      <c r="U1097" s="152">
        <f>100*(INDEX(TDU_Info!$E$5:$E$110,$T1097)/T$11+INDEX(TDU_Info!$F$5:$F$110,$T1097))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MATCH(1,(TDU_Info!$C$5:$C$110=$T$6)*(TDU_Info!$B$5:$B$110&lt;=$B1098),0)</f>
        <v>94</v>
      </c>
      <c r="U1098" s="152">
        <f>100*(INDEX(TDU_Info!$E$5:$E$110,$T1098)/T$11+INDEX(TDU_Info!$F$5:$F$110,$T1098))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MATCH(1,(TDU_Info!$C$5:$C$110=$T$6)*(TDU_Info!$B$5:$B$110&lt;=$B1099),0)</f>
        <v>94</v>
      </c>
      <c r="U1099" s="152">
        <f>100*(INDEX(TDU_Info!$E$5:$E$110,$T1099)/T$11+INDEX(TDU_Info!$F$5:$F$110,$T1099))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MATCH(1,(TDU_Info!$C$5:$C$110=$T$6)*(TDU_Info!$B$5:$B$110&lt;=$B1100),0)</f>
        <v>94</v>
      </c>
      <c r="U1100" s="152">
        <f>100*(INDEX(TDU_Info!$E$5:$E$110,$T1100)/T$11+INDEX(TDU_Info!$F$5:$F$110,$T1100))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MATCH(1,(TDU_Info!$C$5:$C$110=$T$6)*(TDU_Info!$B$5:$B$110&lt;=$B1101),0)</f>
        <v>94</v>
      </c>
      <c r="U1101" s="152">
        <f>100*(INDEX(TDU_Info!$E$5:$E$110,$T1101)/T$11+INDEX(TDU_Info!$F$5:$F$110,$T1101))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MATCH(1,(TDU_Info!$C$5:$C$110=$T$6)*(TDU_Info!$B$5:$B$110&lt;=$B1102),0)</f>
        <v>94</v>
      </c>
      <c r="U1102" s="152">
        <f>100*(INDEX(TDU_Info!$E$5:$E$110,$T1102)/T$11+INDEX(TDU_Info!$F$5:$F$110,$T1102))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MATCH(1,(TDU_Info!$C$5:$C$110=$T$6)*(TDU_Info!$B$5:$B$110&lt;=$B1103),0)</f>
        <v>94</v>
      </c>
      <c r="U1103" s="152">
        <f>100*(INDEX(TDU_Info!$E$5:$E$110,$T1103)/T$11+INDEX(TDU_Info!$F$5:$F$110,$T1103))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MATCH(1,(TDU_Info!$C$5:$C$110=$T$6)*(TDU_Info!$B$5:$B$110&lt;=$B1104),0)</f>
        <v>94</v>
      </c>
      <c r="U1104" s="152">
        <f>100*(INDEX(TDU_Info!$E$5:$E$110,$T1104)/T$11+INDEX(TDU_Info!$F$5:$F$110,$T1104))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MATCH(1,(TDU_Info!$C$5:$C$110=$T$6)*(TDU_Info!$B$5:$B$110&lt;=$B1105),0)</f>
        <v>94</v>
      </c>
      <c r="U1105" s="152">
        <f>100*(INDEX(TDU_Info!$E$5:$E$110,$T1105)/T$11+INDEX(TDU_Info!$F$5:$F$110,$T1105))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MATCH(1,(TDU_Info!$C$5:$C$110=$T$6)*(TDU_Info!$B$5:$B$110&lt;=$B1106),0)</f>
        <v>94</v>
      </c>
      <c r="U1106" s="152">
        <f>100*(INDEX(TDU_Info!$E$5:$E$110,$T1106)/T$11+INDEX(TDU_Info!$F$5:$F$110,$T1106))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MATCH(1,(TDU_Info!$C$5:$C$110=$T$6)*(TDU_Info!$B$5:$B$110&lt;=$B1107),0)</f>
        <v>94</v>
      </c>
      <c r="U1107" s="152">
        <f>100*(INDEX(TDU_Info!$E$5:$E$110,$T1107)/T$11+INDEX(TDU_Info!$F$5:$F$110,$T1107))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MATCH(1,(TDU_Info!$C$5:$C$110=$T$6)*(TDU_Info!$B$5:$B$110&lt;=$B1108),0)</f>
        <v>94</v>
      </c>
      <c r="U1108" s="152">
        <f>100*(INDEX(TDU_Info!$E$5:$E$110,$T1108)/T$11+INDEX(TDU_Info!$F$5:$F$110,$T1108))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MATCH(1,(TDU_Info!$C$5:$C$110=$T$6)*(TDU_Info!$B$5:$B$110&lt;=$B1109),0)</f>
        <v>94</v>
      </c>
      <c r="U1109" s="152">
        <f>100*(INDEX(TDU_Info!$E$5:$E$110,$T1109)/T$11+INDEX(TDU_Info!$F$5:$F$110,$T1109))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MATCH(1,(TDU_Info!$C$5:$C$110=$T$6)*(TDU_Info!$B$5:$B$110&lt;=$B1110),0)</f>
        <v>94</v>
      </c>
      <c r="U1110" s="152">
        <f>100*(INDEX(TDU_Info!$E$5:$E$110,$T1110)/T$11+INDEX(TDU_Info!$F$5:$F$110,$T1110))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MATCH(1,(TDU_Info!$C$5:$C$110=$T$6)*(TDU_Info!$B$5:$B$110&lt;=$B1111),0)</f>
        <v>94</v>
      </c>
      <c r="U1111" s="152">
        <f>100*(INDEX(TDU_Info!$E$5:$E$110,$T1111)/T$11+INDEX(TDU_Info!$F$5:$F$110,$T1111))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MATCH(1,(TDU_Info!$C$5:$C$110=$T$6)*(TDU_Info!$B$5:$B$110&lt;=$B1112),0)</f>
        <v>94</v>
      </c>
      <c r="U1112" s="152">
        <f>100*(INDEX(TDU_Info!$E$5:$E$110,$T1112)/T$11+INDEX(TDU_Info!$F$5:$F$110,$T1112))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MATCH(1,(TDU_Info!$C$5:$C$110=$T$6)*(TDU_Info!$B$5:$B$110&lt;=$B1113),0)</f>
        <v>94</v>
      </c>
      <c r="U1113" s="152">
        <f>100*(INDEX(TDU_Info!$E$5:$E$110,$T1113)/T$11+INDEX(TDU_Info!$F$5:$F$110,$T1113))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MATCH(1,(TDU_Info!$C$5:$C$110=$T$6)*(TDU_Info!$B$5:$B$110&lt;=$B1114),0)</f>
        <v>94</v>
      </c>
      <c r="U1114" s="152">
        <f>100*(INDEX(TDU_Info!$E$5:$E$110,$T1114)/T$11+INDEX(TDU_Info!$F$5:$F$110,$T1114))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MATCH(1,(TDU_Info!$C$5:$C$110=$T$6)*(TDU_Info!$B$5:$B$110&lt;=$B1115),0)</f>
        <v>94</v>
      </c>
      <c r="U1115" s="152">
        <f>100*(INDEX(TDU_Info!$E$5:$E$110,$T1115)/T$11+INDEX(TDU_Info!$F$5:$F$110,$T1115))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MATCH(1,(TDU_Info!$C$5:$C$110=$T$6)*(TDU_Info!$B$5:$B$110&lt;=$B1116),0)</f>
        <v>94</v>
      </c>
      <c r="U1116" s="152">
        <f>100*(INDEX(TDU_Info!$E$5:$E$110,$T1116)/T$11+INDEX(TDU_Info!$F$5:$F$110,$T1116))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MATCH(1,(TDU_Info!$C$5:$C$110=$T$6)*(TDU_Info!$B$5:$B$110&lt;=$B1117),0)</f>
        <v>94</v>
      </c>
      <c r="U1117" s="152">
        <f>100*(INDEX(TDU_Info!$E$5:$E$110,$T1117)/T$11+INDEX(TDU_Info!$F$5:$F$110,$T1117))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MATCH(1,(TDU_Info!$C$5:$C$110=$T$6)*(TDU_Info!$B$5:$B$110&lt;=$B1118),0)</f>
        <v>94</v>
      </c>
      <c r="U1118" s="152">
        <f>100*(INDEX(TDU_Info!$E$5:$E$110,$T1118)/T$11+INDEX(TDU_Info!$F$5:$F$110,$T1118))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MATCH(1,(TDU_Info!$C$5:$C$110=$T$6)*(TDU_Info!$B$5:$B$110&lt;=$B1119),0)</f>
        <v>94</v>
      </c>
      <c r="U1119" s="152">
        <f>100*(INDEX(TDU_Info!$E$5:$E$110,$T1119)/T$11+INDEX(TDU_Info!$F$5:$F$110,$T1119))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MATCH(1,(TDU_Info!$C$5:$C$110=$T$6)*(TDU_Info!$B$5:$B$110&lt;=$B1120),0)</f>
        <v>94</v>
      </c>
      <c r="U1120" s="152">
        <f>100*(INDEX(TDU_Info!$E$5:$E$110,$T1120)/T$11+INDEX(TDU_Info!$F$5:$F$110,$T1120))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MATCH(1,(TDU_Info!$C$5:$C$110=$T$6)*(TDU_Info!$B$5:$B$110&lt;=$B1121),0)</f>
        <v>94</v>
      </c>
      <c r="U1121" s="152">
        <f>100*(INDEX(TDU_Info!$E$5:$E$110,$T1121)/T$11+INDEX(TDU_Info!$F$5:$F$110,$T1121))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MATCH(1,(TDU_Info!$C$5:$C$110=$T$6)*(TDU_Info!$B$5:$B$110&lt;=$B1122),0)</f>
        <v>94</v>
      </c>
      <c r="U1122" s="152">
        <f>100*(INDEX(TDU_Info!$E$5:$E$110,$T1122)/T$11+INDEX(TDU_Info!$F$5:$F$110,$T1122))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MATCH(1,(TDU_Info!$C$5:$C$110=$T$6)*(TDU_Info!$B$5:$B$110&lt;=$B1123),0)</f>
        <v>94</v>
      </c>
      <c r="U1123" s="152">
        <f>100*(INDEX(TDU_Info!$E$5:$E$110,$T1123)/T$11+INDEX(TDU_Info!$F$5:$F$110,$T1123))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MATCH(1,(TDU_Info!$C$5:$C$110=$T$6)*(TDU_Info!$B$5:$B$110&lt;=$B1124),0)</f>
        <v>94</v>
      </c>
      <c r="U1124" s="152">
        <f>100*(INDEX(TDU_Info!$E$5:$E$110,$T1124)/T$11+INDEX(TDU_Info!$F$5:$F$110,$T1124))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MATCH(1,(TDU_Info!$C$5:$C$110=$T$6)*(TDU_Info!$B$5:$B$110&lt;=$B1125),0)</f>
        <v>94</v>
      </c>
      <c r="U1125" s="152">
        <f>100*(INDEX(TDU_Info!$E$5:$E$110,$T1125)/T$11+INDEX(TDU_Info!$F$5:$F$110,$T1125))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MATCH(1,(TDU_Info!$C$5:$C$110=$T$6)*(TDU_Info!$B$5:$B$110&lt;=$B1126),0)</f>
        <v>94</v>
      </c>
      <c r="U1126" s="152">
        <f>100*(INDEX(TDU_Info!$E$5:$E$110,$T1126)/T$11+INDEX(TDU_Info!$F$5:$F$110,$T1126))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MATCH(1,(TDU_Info!$C$5:$C$110=$T$6)*(TDU_Info!$B$5:$B$110&lt;=$B1127),0)</f>
        <v>94</v>
      </c>
      <c r="U1127" s="152">
        <f>100*(INDEX(TDU_Info!$E$5:$E$110,$T1127)/T$11+INDEX(TDU_Info!$F$5:$F$110,$T1127))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MATCH(1,(TDU_Info!$C$5:$C$110=$T$6)*(TDU_Info!$B$5:$B$110&lt;=$B1128),0)</f>
        <v>94</v>
      </c>
      <c r="U1128" s="152">
        <f>100*(INDEX(TDU_Info!$E$5:$E$110,$T1128)/T$11+INDEX(TDU_Info!$F$5:$F$110,$T1128))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MATCH(1,(TDU_Info!$C$5:$C$110=$T$6)*(TDU_Info!$B$5:$B$110&lt;=$B1129),0)</f>
        <v>94</v>
      </c>
      <c r="U1129" s="152">
        <f>100*(INDEX(TDU_Info!$E$5:$E$110,$T1129)/T$11+INDEX(TDU_Info!$F$5:$F$110,$T1129))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MATCH(1,(TDU_Info!$C$5:$C$110=$T$6)*(TDU_Info!$B$5:$B$110&lt;=$B1130),0)</f>
        <v>94</v>
      </c>
      <c r="U1130" s="152">
        <f>100*(INDEX(TDU_Info!$E$5:$E$110,$T1130)/T$11+INDEX(TDU_Info!$F$5:$F$110,$T1130))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MATCH(1,(TDU_Info!$C$5:$C$110=$T$6)*(TDU_Info!$B$5:$B$110&lt;=$B1131),0)</f>
        <v>94</v>
      </c>
      <c r="U1131" s="152">
        <f>100*(INDEX(TDU_Info!$E$5:$E$110,$T1131)/T$11+INDEX(TDU_Info!$F$5:$F$110,$T1131))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MATCH(1,(TDU_Info!$C$5:$C$110=$T$6)*(TDU_Info!$B$5:$B$110&lt;=$B1132),0)</f>
        <v>94</v>
      </c>
      <c r="U1132" s="152">
        <f>100*(INDEX(TDU_Info!$E$5:$E$110,$T1132)/T$11+INDEX(TDU_Info!$F$5:$F$110,$T1132))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MATCH(1,(TDU_Info!$C$5:$C$110=$T$6)*(TDU_Info!$B$5:$B$110&lt;=$B1133),0)</f>
        <v>94</v>
      </c>
      <c r="U1133" s="152">
        <f>100*(INDEX(TDU_Info!$E$5:$E$110,$T1133)/T$11+INDEX(TDU_Info!$F$5:$F$110,$T1133))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MATCH(1,(TDU_Info!$C$5:$C$110=$T$6)*(TDU_Info!$B$5:$B$110&lt;=$B1134),0)</f>
        <v>94</v>
      </c>
      <c r="U1134" s="152">
        <f>100*(INDEX(TDU_Info!$E$5:$E$110,$T1134)/T$11+INDEX(TDU_Info!$F$5:$F$110,$T1134))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MATCH(1,(TDU_Info!$C$5:$C$110=$T$6)*(TDU_Info!$B$5:$B$110&lt;=$B1135),0)</f>
        <v>94</v>
      </c>
      <c r="U1135" s="152">
        <f>100*(INDEX(TDU_Info!$E$5:$E$110,$T1135)/T$11+INDEX(TDU_Info!$F$5:$F$110,$T1135))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MATCH(1,(TDU_Info!$C$5:$C$110=$T$6)*(TDU_Info!$B$5:$B$110&lt;=$B1136),0)</f>
        <v>94</v>
      </c>
      <c r="U1136" s="152">
        <f>100*(INDEX(TDU_Info!$E$5:$E$110,$T1136)/T$11+INDEX(TDU_Info!$F$5:$F$110,$T1136))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MATCH(1,(TDU_Info!$C$5:$C$110=$T$6)*(TDU_Info!$B$5:$B$110&lt;=$B1137),0)</f>
        <v>94</v>
      </c>
      <c r="U1137" s="152">
        <f>100*(INDEX(TDU_Info!$E$5:$E$110,$T1137)/T$11+INDEX(TDU_Info!$F$5:$F$110,$T1137))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MATCH(1,(TDU_Info!$C$5:$C$110=$T$6)*(TDU_Info!$B$5:$B$110&lt;=$B1138),0)</f>
        <v>94</v>
      </c>
      <c r="U1138" s="152">
        <f>100*(INDEX(TDU_Info!$E$5:$E$110,$T1138)/T$11+INDEX(TDU_Info!$F$5:$F$110,$T1138))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MATCH(1,(TDU_Info!$C$5:$C$110=$T$6)*(TDU_Info!$B$5:$B$110&lt;=$B1139),0)</f>
        <v>94</v>
      </c>
      <c r="U1139" s="152">
        <f>100*(INDEX(TDU_Info!$E$5:$E$110,$T1139)/T$11+INDEX(TDU_Info!$F$5:$F$110,$T1139))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MATCH(1,(TDU_Info!$C$5:$C$110=$T$6)*(TDU_Info!$B$5:$B$110&lt;=$B1140),0)</f>
        <v>94</v>
      </c>
      <c r="U1140" s="152">
        <f>100*(INDEX(TDU_Info!$E$5:$E$110,$T1140)/T$11+INDEX(TDU_Info!$F$5:$F$110,$T1140))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MATCH(1,(TDU_Info!$C$5:$C$110=$T$6)*(TDU_Info!$B$5:$B$110&lt;=$B1141),0)</f>
        <v>94</v>
      </c>
      <c r="U1141" s="152">
        <f>100*(INDEX(TDU_Info!$E$5:$E$110,$T1141)/T$11+INDEX(TDU_Info!$F$5:$F$110,$T1141))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MATCH(1,(TDU_Info!$C$5:$C$110=$T$6)*(TDU_Info!$B$5:$B$110&lt;=$B1142),0)</f>
        <v>94</v>
      </c>
      <c r="U1142" s="152">
        <f>100*(INDEX(TDU_Info!$E$5:$E$110,$T1142)/T$11+INDEX(TDU_Info!$F$5:$F$110,$T1142))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MATCH(1,(TDU_Info!$C$5:$C$110=$T$6)*(TDU_Info!$B$5:$B$110&lt;=$B1143),0)</f>
        <v>94</v>
      </c>
      <c r="U1143" s="152">
        <f>100*(INDEX(TDU_Info!$E$5:$E$110,$T1143)/T$11+INDEX(TDU_Info!$F$5:$F$110,$T1143))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MATCH(1,(TDU_Info!$C$5:$C$110=$T$6)*(TDU_Info!$B$5:$B$110&lt;=$B1144),0)</f>
        <v>94</v>
      </c>
      <c r="U1144" s="152">
        <f>100*(INDEX(TDU_Info!$E$5:$E$110,$T1144)/T$11+INDEX(TDU_Info!$F$5:$F$110,$T1144))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MATCH(1,(TDU_Info!$C$5:$C$110=$T$6)*(TDU_Info!$B$5:$B$110&lt;=$B1145),0)</f>
        <v>94</v>
      </c>
      <c r="U1145" s="152">
        <f>100*(INDEX(TDU_Info!$E$5:$E$110,$T1145)/T$11+INDEX(TDU_Info!$F$5:$F$110,$T1145))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MATCH(1,(TDU_Info!$C$5:$C$110=$T$6)*(TDU_Info!$B$5:$B$110&lt;=$B1146),0)</f>
        <v>94</v>
      </c>
      <c r="U1146" s="152">
        <f>100*(INDEX(TDU_Info!$E$5:$E$110,$T1146)/T$11+INDEX(TDU_Info!$F$5:$F$110,$T1146))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MATCH(1,(TDU_Info!$C$5:$C$110=$T$6)*(TDU_Info!$B$5:$B$110&lt;=$B1147),0)</f>
        <v>94</v>
      </c>
      <c r="U1147" s="152">
        <f>100*(INDEX(TDU_Info!$E$5:$E$110,$T1147)/T$11+INDEX(TDU_Info!$F$5:$F$110,$T1147))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MATCH(1,(TDU_Info!$C$5:$C$110=$T$6)*(TDU_Info!$B$5:$B$110&lt;=$B1148),0)</f>
        <v>94</v>
      </c>
      <c r="U1148" s="152">
        <f>100*(INDEX(TDU_Info!$E$5:$E$110,$T1148)/T$11+INDEX(TDU_Info!$F$5:$F$110,$T1148))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MATCH(1,(TDU_Info!$C$5:$C$110=$T$6)*(TDU_Info!$B$5:$B$110&lt;=$B1149),0)</f>
        <v>94</v>
      </c>
      <c r="U1149" s="152">
        <f>100*(INDEX(TDU_Info!$E$5:$E$110,$T1149)/T$11+INDEX(TDU_Info!$F$5:$F$110,$T1149))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MATCH(1,(TDU_Info!$C$5:$C$110=$T$6)*(TDU_Info!$B$5:$B$110&lt;=$B1150),0)</f>
        <v>94</v>
      </c>
      <c r="U1150" s="152">
        <f>100*(INDEX(TDU_Info!$E$5:$E$110,$T1150)/T$11+INDEX(TDU_Info!$F$5:$F$110,$T1150))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MATCH(1,(TDU_Info!$C$5:$C$110=$T$6)*(TDU_Info!$B$5:$B$110&lt;=$B1151),0)</f>
        <v>94</v>
      </c>
      <c r="U1151" s="152">
        <f>100*(INDEX(TDU_Info!$E$5:$E$110,$T1151)/T$11+INDEX(TDU_Info!$F$5:$F$110,$T1151))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MATCH(1,(TDU_Info!$C$5:$C$110=$T$6)*(TDU_Info!$B$5:$B$110&lt;=$B1152),0)</f>
        <v>94</v>
      </c>
      <c r="U1152" s="152">
        <f>100*(INDEX(TDU_Info!$E$5:$E$110,$T1152)/T$11+INDEX(TDU_Info!$F$5:$F$110,$T1152))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MATCH(1,(TDU_Info!$C$5:$C$110=$T$6)*(TDU_Info!$B$5:$B$110&lt;=$B1153),0)</f>
        <v>94</v>
      </c>
      <c r="U1153" s="152">
        <f>100*(INDEX(TDU_Info!$E$5:$E$110,$T1153)/T$11+INDEX(TDU_Info!$F$5:$F$110,$T1153))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MATCH(1,(TDU_Info!$C$5:$C$110=$T$6)*(TDU_Info!$B$5:$B$110&lt;=$B1154),0)</f>
        <v>94</v>
      </c>
      <c r="U1154" s="152">
        <f>100*(INDEX(TDU_Info!$E$5:$E$110,$T1154)/T$11+INDEX(TDU_Info!$F$5:$F$110,$T1154))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MATCH(1,(TDU_Info!$C$5:$C$110=$T$6)*(TDU_Info!$B$5:$B$110&lt;=$B1155),0)</f>
        <v>94</v>
      </c>
      <c r="U1155" s="152">
        <f>100*(INDEX(TDU_Info!$E$5:$E$110,$T1155)/T$11+INDEX(TDU_Info!$F$5:$F$110,$T1155))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MATCH(1,(TDU_Info!$C$5:$C$110=$T$6)*(TDU_Info!$B$5:$B$110&lt;=$B1156),0)</f>
        <v>94</v>
      </c>
      <c r="U1156" s="152">
        <f>100*(INDEX(TDU_Info!$E$5:$E$110,$T1156)/T$11+INDEX(TDU_Info!$F$5:$F$110,$T1156))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MATCH(1,(TDU_Info!$C$5:$C$110=$T$6)*(TDU_Info!$B$5:$B$110&lt;=$B1157),0)</f>
        <v>94</v>
      </c>
      <c r="U1157" s="152">
        <f>100*(INDEX(TDU_Info!$E$5:$E$110,$T1157)/T$11+INDEX(TDU_Info!$F$5:$F$110,$T1157))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MATCH(1,(TDU_Info!$C$5:$C$110=$T$6)*(TDU_Info!$B$5:$B$110&lt;=$B1158),0)</f>
        <v>94</v>
      </c>
      <c r="U1158" s="152">
        <f>100*(INDEX(TDU_Info!$E$5:$E$110,$T1158)/T$11+INDEX(TDU_Info!$F$5:$F$110,$T1158))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MATCH(1,(TDU_Info!$C$5:$C$110=$T$6)*(TDU_Info!$B$5:$B$110&lt;=$B1159),0)</f>
        <v>94</v>
      </c>
      <c r="U1159" s="152">
        <f>100*(INDEX(TDU_Info!$E$5:$E$110,$T1159)/T$11+INDEX(TDU_Info!$F$5:$F$110,$T1159))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MATCH(1,(TDU_Info!$C$5:$C$110=$T$6)*(TDU_Info!$B$5:$B$110&lt;=$B1160),0)</f>
        <v>94</v>
      </c>
      <c r="U1160" s="152">
        <f>100*(INDEX(TDU_Info!$E$5:$E$110,$T1160)/T$11+INDEX(TDU_Info!$F$5:$F$110,$T1160))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MATCH(1,(TDU_Info!$C$5:$C$110=$T$6)*(TDU_Info!$B$5:$B$110&lt;=$B1161),0)</f>
        <v>94</v>
      </c>
      <c r="U1161" s="152">
        <f>100*(INDEX(TDU_Info!$E$5:$E$110,$T1161)/T$11+INDEX(TDU_Info!$F$5:$F$110,$T1161))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MATCH(1,(TDU_Info!$C$5:$C$110=$T$6)*(TDU_Info!$B$5:$B$110&lt;=$B1162),0)</f>
        <v>94</v>
      </c>
      <c r="U1162" s="152">
        <f>100*(INDEX(TDU_Info!$E$5:$E$110,$T1162)/T$11+INDEX(TDU_Info!$F$5:$F$110,$T1162))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MATCH(1,(TDU_Info!$C$5:$C$110=$T$6)*(TDU_Info!$B$5:$B$110&lt;=$B1163),0)</f>
        <v>94</v>
      </c>
      <c r="U1163" s="152">
        <f>100*(INDEX(TDU_Info!$E$5:$E$110,$T1163)/T$11+INDEX(TDU_Info!$F$5:$F$110,$T1163))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MATCH(1,(TDU_Info!$C$5:$C$110=$T$6)*(TDU_Info!$B$5:$B$110&lt;=$B1164),0)</f>
        <v>94</v>
      </c>
      <c r="U1164" s="152">
        <f>100*(INDEX(TDU_Info!$E$5:$E$110,$T1164)/T$11+INDEX(TDU_Info!$F$5:$F$110,$T1164))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MATCH(1,(TDU_Info!$C$5:$C$110=$T$6)*(TDU_Info!$B$5:$B$110&lt;=$B1165),0)</f>
        <v>94</v>
      </c>
      <c r="U1165" s="152">
        <f>100*(INDEX(TDU_Info!$E$5:$E$110,$T1165)/T$11+INDEX(TDU_Info!$F$5:$F$110,$T1165))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MATCH(1,(TDU_Info!$C$5:$C$110=$T$6)*(TDU_Info!$B$5:$B$110&lt;=$B1166),0)</f>
        <v>94</v>
      </c>
      <c r="U1166" s="152">
        <f>100*(INDEX(TDU_Info!$E$5:$E$110,$T1166)/T$11+INDEX(TDU_Info!$F$5:$F$110,$T1166))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MATCH(1,(TDU_Info!$C$5:$C$110=$T$6)*(TDU_Info!$B$5:$B$110&lt;=$B1167),0)</f>
        <v>94</v>
      </c>
      <c r="U1167" s="152">
        <f>100*(INDEX(TDU_Info!$E$5:$E$110,$T1167)/T$11+INDEX(TDU_Info!$F$5:$F$110,$T1167))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MATCH(1,(TDU_Info!$C$5:$C$110=$T$6)*(TDU_Info!$B$5:$B$110&lt;=$B1168),0)</f>
        <v>94</v>
      </c>
      <c r="U1168" s="152">
        <f>100*(INDEX(TDU_Info!$E$5:$E$110,$T1168)/T$11+INDEX(TDU_Info!$F$5:$F$110,$T1168))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MATCH(1,(TDU_Info!$C$5:$C$110=$T$6)*(TDU_Info!$B$5:$B$110&lt;=$B1169),0)</f>
        <v>94</v>
      </c>
      <c r="U1169" s="152">
        <f>100*(INDEX(TDU_Info!$E$5:$E$110,$T1169)/T$11+INDEX(TDU_Info!$F$5:$F$110,$T1169))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MATCH(1,(TDU_Info!$C$5:$C$110=$T$6)*(TDU_Info!$B$5:$B$110&lt;=$B1170),0)</f>
        <v>94</v>
      </c>
      <c r="U1170" s="152">
        <f>100*(INDEX(TDU_Info!$E$5:$E$110,$T1170)/T$11+INDEX(TDU_Info!$F$5:$F$110,$T1170))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MATCH(1,(TDU_Info!$C$5:$C$110=$T$6)*(TDU_Info!$B$5:$B$110&lt;=$B1171),0)</f>
        <v>94</v>
      </c>
      <c r="U1171" s="152">
        <f>100*(INDEX(TDU_Info!$E$5:$E$110,$T1171)/T$11+INDEX(TDU_Info!$F$5:$F$110,$T1171))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MATCH(1,(TDU_Info!$C$5:$C$110=$T$6)*(TDU_Info!$B$5:$B$110&lt;=$B1172),0)</f>
        <v>93</v>
      </c>
      <c r="U1172" s="152">
        <f>100*(INDEX(TDU_Info!$E$5:$E$110,$T1172)/T$11+INDEX(TDU_Info!$F$5:$F$110,$T1172))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MATCH(1,(TDU_Info!$C$5:$C$110=$T$6)*(TDU_Info!$B$5:$B$110&lt;=$B1173),0)</f>
        <v>93</v>
      </c>
      <c r="U1173" s="152">
        <f>100*(INDEX(TDU_Info!$E$5:$E$110,$T1173)/T$11+INDEX(TDU_Info!$F$5:$F$110,$T1173))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MATCH(1,(TDU_Info!$C$5:$C$110=$T$6)*(TDU_Info!$B$5:$B$110&lt;=$B1174),0)</f>
        <v>93</v>
      </c>
      <c r="U1174" s="152">
        <f>100*(INDEX(TDU_Info!$E$5:$E$110,$T1174)/T$11+INDEX(TDU_Info!$F$5:$F$110,$T1174))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MATCH(1,(TDU_Info!$C$5:$C$110=$T$6)*(TDU_Info!$B$5:$B$110&lt;=$B1175),0)</f>
        <v>93</v>
      </c>
      <c r="U1175" s="152">
        <f>100*(INDEX(TDU_Info!$E$5:$E$110,$T1175)/T$11+INDEX(TDU_Info!$F$5:$F$110,$T1175))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MATCH(1,(TDU_Info!$C$5:$C$110=$T$6)*(TDU_Info!$B$5:$B$110&lt;=$B1176),0)</f>
        <v>93</v>
      </c>
      <c r="U1176" s="152">
        <f>100*(INDEX(TDU_Info!$E$5:$E$110,$T1176)/T$11+INDEX(TDU_Info!$F$5:$F$110,$T1176))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MATCH(1,(TDU_Info!$C$5:$C$110=$T$6)*(TDU_Info!$B$5:$B$110&lt;=$B1177),0)</f>
        <v>93</v>
      </c>
      <c r="U1177" s="152">
        <f>100*(INDEX(TDU_Info!$E$5:$E$110,$T1177)/T$11+INDEX(TDU_Info!$F$5:$F$110,$T1177))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MATCH(1,(TDU_Info!$C$5:$C$110=$T$6)*(TDU_Info!$B$5:$B$110&lt;=$B1178),0)</f>
        <v>93</v>
      </c>
      <c r="U1178" s="152">
        <f>100*(INDEX(TDU_Info!$E$5:$E$110,$T1178)/T$11+INDEX(TDU_Info!$F$5:$F$110,$T1178))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MATCH(1,(TDU_Info!$C$5:$C$110=$T$6)*(TDU_Info!$B$5:$B$110&lt;=$B1179),0)</f>
        <v>93</v>
      </c>
      <c r="U1179" s="152">
        <f>100*(INDEX(TDU_Info!$E$5:$E$110,$T1179)/T$11+INDEX(TDU_Info!$F$5:$F$110,$T1179))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MATCH(1,(TDU_Info!$C$5:$C$110=$T$6)*(TDU_Info!$B$5:$B$110&lt;=$B1180),0)</f>
        <v>93</v>
      </c>
      <c r="U1180" s="152">
        <f>100*(INDEX(TDU_Info!$E$5:$E$110,$T1180)/T$11+INDEX(TDU_Info!$F$5:$F$110,$T1180))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MATCH(1,(TDU_Info!$C$5:$C$110=$T$6)*(TDU_Info!$B$5:$B$110&lt;=$B1181),0)</f>
        <v>93</v>
      </c>
      <c r="U1181" s="152">
        <f>100*(INDEX(TDU_Info!$E$5:$E$110,$T1181)/T$11+INDEX(TDU_Info!$F$5:$F$110,$T1181))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MATCH(1,(TDU_Info!$C$5:$C$110=$T$6)*(TDU_Info!$B$5:$B$110&lt;=$B1182),0)</f>
        <v>93</v>
      </c>
      <c r="U1182" s="152">
        <f>100*(INDEX(TDU_Info!$E$5:$E$110,$T1182)/T$11+INDEX(TDU_Info!$F$5:$F$110,$T1182))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MATCH(1,(TDU_Info!$C$5:$C$110=$T$6)*(TDU_Info!$B$5:$B$110&lt;=$B1183),0)</f>
        <v>93</v>
      </c>
      <c r="U1183" s="152">
        <f>100*(INDEX(TDU_Info!$E$5:$E$110,$T1183)/T$11+INDEX(TDU_Info!$F$5:$F$110,$T1183))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MATCH(1,(TDU_Info!$C$5:$C$110=$T$6)*(TDU_Info!$B$5:$B$110&lt;=$B1184),0)</f>
        <v>93</v>
      </c>
      <c r="U1184" s="152">
        <f>100*(INDEX(TDU_Info!$E$5:$E$110,$T1184)/T$11+INDEX(TDU_Info!$F$5:$F$110,$T1184))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MATCH(1,(TDU_Info!$C$5:$C$110=$T$6)*(TDU_Info!$B$5:$B$110&lt;=$B1185),0)</f>
        <v>93</v>
      </c>
      <c r="U1185" s="152">
        <f>100*(INDEX(TDU_Info!$E$5:$E$110,$T1185)/T$11+INDEX(TDU_Info!$F$5:$F$110,$T1185))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MATCH(1,(TDU_Info!$C$5:$C$110=$T$6)*(TDU_Info!$B$5:$B$110&lt;=$B1186),0)</f>
        <v>93</v>
      </c>
      <c r="U1186" s="152">
        <f>100*(INDEX(TDU_Info!$E$5:$E$110,$T1186)/T$11+INDEX(TDU_Info!$F$5:$F$110,$T1186))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MATCH(1,(TDU_Info!$C$5:$C$110=$T$6)*(TDU_Info!$B$5:$B$110&lt;=$B1187),0)</f>
        <v>93</v>
      </c>
      <c r="U1187" s="152">
        <f>100*(INDEX(TDU_Info!$E$5:$E$110,$T1187)/T$11+INDEX(TDU_Info!$F$5:$F$110,$T1187))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MATCH(1,(TDU_Info!$C$5:$C$110=$T$6)*(TDU_Info!$B$5:$B$110&lt;=$B1188),0)</f>
        <v>93</v>
      </c>
      <c r="U1188" s="152">
        <f>100*(INDEX(TDU_Info!$E$5:$E$110,$T1188)/T$11+INDEX(TDU_Info!$F$5:$F$110,$T1188))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MATCH(1,(TDU_Info!$C$5:$C$110=$T$6)*(TDU_Info!$B$5:$B$110&lt;=$B1189),0)</f>
        <v>93</v>
      </c>
      <c r="U1189" s="152">
        <f>100*(INDEX(TDU_Info!$E$5:$E$110,$T1189)/T$11+INDEX(TDU_Info!$F$5:$F$110,$T1189))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MATCH(1,(TDU_Info!$C$5:$C$110=$T$6)*(TDU_Info!$B$5:$B$110&lt;=$B1190),0)</f>
        <v>93</v>
      </c>
      <c r="U1190" s="152">
        <f>100*(INDEX(TDU_Info!$E$5:$E$110,$T1190)/T$11+INDEX(TDU_Info!$F$5:$F$110,$T1190))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MATCH(1,(TDU_Info!$C$5:$C$110=$T$6)*(TDU_Info!$B$5:$B$110&lt;=$B1191),0)</f>
        <v>93</v>
      </c>
      <c r="U1191" s="152">
        <f>100*(INDEX(TDU_Info!$E$5:$E$110,$T1191)/T$11+INDEX(TDU_Info!$F$5:$F$110,$T1191))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MATCH(1,(TDU_Info!$C$5:$C$110=$T$6)*(TDU_Info!$B$5:$B$110&lt;=$B1192),0)</f>
        <v>93</v>
      </c>
      <c r="U1192" s="152">
        <f>100*(INDEX(TDU_Info!$E$5:$E$110,$T1192)/T$11+INDEX(TDU_Info!$F$5:$F$110,$T1192))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MATCH(1,(TDU_Info!$C$5:$C$110=$T$6)*(TDU_Info!$B$5:$B$110&lt;=$B1193),0)</f>
        <v>93</v>
      </c>
      <c r="U1193" s="152">
        <f>100*(INDEX(TDU_Info!$E$5:$E$110,$T1193)/T$11+INDEX(TDU_Info!$F$5:$F$110,$T1193))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MATCH(1,(TDU_Info!$C$5:$C$110=$T$6)*(TDU_Info!$B$5:$B$110&lt;=$B1194),0)</f>
        <v>93</v>
      </c>
      <c r="U1194" s="152">
        <f>100*(INDEX(TDU_Info!$E$5:$E$110,$T1194)/T$11+INDEX(TDU_Info!$F$5:$F$110,$T1194))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MATCH(1,(TDU_Info!$C$5:$C$110=$T$6)*(TDU_Info!$B$5:$B$110&lt;=$B1195),0)</f>
        <v>93</v>
      </c>
      <c r="U1195" s="152">
        <f>100*(INDEX(TDU_Info!$E$5:$E$110,$T1195)/T$11+INDEX(TDU_Info!$F$5:$F$110,$T1195))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MATCH(1,(TDU_Info!$C$5:$C$110=$T$6)*(TDU_Info!$B$5:$B$110&lt;=$B1196),0)</f>
        <v>93</v>
      </c>
      <c r="U1196" s="152">
        <f>100*(INDEX(TDU_Info!$E$5:$E$110,$T1196)/T$11+INDEX(TDU_Info!$F$5:$F$110,$T1196))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MATCH(1,(TDU_Info!$C$5:$C$110=$T$6)*(TDU_Info!$B$5:$B$110&lt;=$B1197),0)</f>
        <v>93</v>
      </c>
      <c r="U1197" s="152">
        <f>100*(INDEX(TDU_Info!$E$5:$E$110,$T1197)/T$11+INDEX(TDU_Info!$F$5:$F$110,$T1197))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MATCH(1,(TDU_Info!$C$5:$C$110=$T$6)*(TDU_Info!$B$5:$B$110&lt;=$B1198),0)</f>
        <v>93</v>
      </c>
      <c r="U1198" s="152">
        <f>100*(INDEX(TDU_Info!$E$5:$E$110,$T1198)/T$11+INDEX(TDU_Info!$F$5:$F$110,$T1198))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MATCH(1,(TDU_Info!$C$5:$C$110=$T$6)*(TDU_Info!$B$5:$B$110&lt;=$B1199),0)</f>
        <v>93</v>
      </c>
      <c r="U1199" s="152">
        <f>100*(INDEX(TDU_Info!$E$5:$E$110,$T1199)/T$11+INDEX(TDU_Info!$F$5:$F$110,$T1199))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MATCH(1,(TDU_Info!$C$5:$C$110=$T$6)*(TDU_Info!$B$5:$B$110&lt;=$B1200),0)</f>
        <v>93</v>
      </c>
      <c r="U1200" s="152">
        <f>100*(INDEX(TDU_Info!$E$5:$E$110,$T1200)/T$11+INDEX(TDU_Info!$F$5:$F$110,$T1200))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MATCH(1,(TDU_Info!$C$5:$C$110=$T$6)*(TDU_Info!$B$5:$B$110&lt;=$B1201),0)</f>
        <v>93</v>
      </c>
      <c r="U1201" s="152">
        <f>100*(INDEX(TDU_Info!$E$5:$E$110,$T1201)/T$11+INDEX(TDU_Info!$F$5:$F$110,$T1201))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MATCH(1,(TDU_Info!$C$5:$C$110=$T$6)*(TDU_Info!$B$5:$B$110&lt;=$B1202),0)</f>
        <v>93</v>
      </c>
      <c r="U1202" s="152">
        <f>100*(INDEX(TDU_Info!$E$5:$E$110,$T1202)/T$11+INDEX(TDU_Info!$F$5:$F$110,$T1202))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MATCH(1,(TDU_Info!$C$5:$C$110=$T$6)*(TDU_Info!$B$5:$B$110&lt;=$B1203),0)</f>
        <v>92</v>
      </c>
      <c r="U1203" s="152">
        <f>100*(INDEX(TDU_Info!$E$5:$E$110,$T1203)/T$11+INDEX(TDU_Info!$F$5:$F$110,$T1203))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MATCH(1,(TDU_Info!$C$5:$C$110=$T$6)*(TDU_Info!$B$5:$B$110&lt;=$B1204),0)</f>
        <v>92</v>
      </c>
      <c r="U1204" s="152">
        <f>100*(INDEX(TDU_Info!$E$5:$E$110,$T1204)/T$11+INDEX(TDU_Info!$F$5:$F$110,$T1204))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MATCH(1,(TDU_Info!$C$5:$C$110=$T$6)*(TDU_Info!$B$5:$B$110&lt;=$B1205),0)</f>
        <v>92</v>
      </c>
      <c r="U1205" s="152">
        <f>100*(INDEX(TDU_Info!$E$5:$E$110,$T1205)/T$11+INDEX(TDU_Info!$F$5:$F$110,$T1205))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MATCH(1,(TDU_Info!$C$5:$C$110=$T$6)*(TDU_Info!$B$5:$B$110&lt;=$B1206),0)</f>
        <v>92</v>
      </c>
      <c r="U1206" s="152">
        <f>100*(INDEX(TDU_Info!$E$5:$E$110,$T1206)/T$11+INDEX(TDU_Info!$F$5:$F$110,$T1206))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MATCH(1,(TDU_Info!$C$5:$C$110=$T$6)*(TDU_Info!$B$5:$B$110&lt;=$B1207),0)</f>
        <v>92</v>
      </c>
      <c r="U1207" s="152">
        <f>100*(INDEX(TDU_Info!$E$5:$E$110,$T1207)/T$11+INDEX(TDU_Info!$F$5:$F$110,$T1207))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MATCH(1,(TDU_Info!$C$5:$C$110=$T$6)*(TDU_Info!$B$5:$B$110&lt;=$B1208),0)</f>
        <v>92</v>
      </c>
      <c r="U1208" s="152">
        <f>100*(INDEX(TDU_Info!$E$5:$E$110,$T1208)/T$11+INDEX(TDU_Info!$F$5:$F$110,$T1208))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MATCH(1,(TDU_Info!$C$5:$C$110=$T$6)*(TDU_Info!$B$5:$B$110&lt;=$B1209),0)</f>
        <v>92</v>
      </c>
      <c r="U1209" s="152">
        <f>100*(INDEX(TDU_Info!$E$5:$E$110,$T1209)/T$11+INDEX(TDU_Info!$F$5:$F$110,$T1209))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MATCH(1,(TDU_Info!$C$5:$C$110=$T$6)*(TDU_Info!$B$5:$B$110&lt;=$B1210),0)</f>
        <v>92</v>
      </c>
      <c r="U1210" s="152">
        <f>100*(INDEX(TDU_Info!$E$5:$E$110,$T1210)/T$11+INDEX(TDU_Info!$F$5:$F$110,$T1210))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MATCH(1,(TDU_Info!$C$5:$C$110=$T$6)*(TDU_Info!$B$5:$B$110&lt;=$B1211),0)</f>
        <v>92</v>
      </c>
      <c r="U1211" s="152">
        <f>100*(INDEX(TDU_Info!$E$5:$E$110,$T1211)/T$11+INDEX(TDU_Info!$F$5:$F$110,$T1211))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MATCH(1,(TDU_Info!$C$5:$C$110=$T$6)*(TDU_Info!$B$5:$B$110&lt;=$B1212),0)</f>
        <v>92</v>
      </c>
      <c r="U1212" s="152">
        <f>100*(INDEX(TDU_Info!$E$5:$E$110,$T1212)/T$11+INDEX(TDU_Info!$F$5:$F$110,$T1212))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MATCH(1,(TDU_Info!$C$5:$C$110=$T$6)*(TDU_Info!$B$5:$B$110&lt;=$B1213),0)</f>
        <v>92</v>
      </c>
      <c r="U1213" s="152">
        <f>100*(INDEX(TDU_Info!$E$5:$E$110,$T1213)/T$11+INDEX(TDU_Info!$F$5:$F$110,$T1213))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MATCH(1,(TDU_Info!$C$5:$C$110=$T$6)*(TDU_Info!$B$5:$B$110&lt;=$B1214),0)</f>
        <v>92</v>
      </c>
      <c r="U1214" s="152">
        <f>100*(INDEX(TDU_Info!$E$5:$E$110,$T1214)/T$11+INDEX(TDU_Info!$F$5:$F$110,$T1214))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MATCH(1,(TDU_Info!$C$5:$C$110=$T$6)*(TDU_Info!$B$5:$B$110&lt;=$B1215),0)</f>
        <v>92</v>
      </c>
      <c r="U1215" s="152">
        <f>100*(INDEX(TDU_Info!$E$5:$E$110,$T1215)/T$11+INDEX(TDU_Info!$F$5:$F$110,$T1215))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MATCH(1,(TDU_Info!$C$5:$C$110=$T$6)*(TDU_Info!$B$5:$B$110&lt;=$B1216),0)</f>
        <v>92</v>
      </c>
      <c r="U1216" s="152">
        <f>100*(INDEX(TDU_Info!$E$5:$E$110,$T1216)/T$11+INDEX(TDU_Info!$F$5:$F$110,$T1216))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MATCH(1,(TDU_Info!$C$5:$C$110=$T$6)*(TDU_Info!$B$5:$B$110&lt;=$B1217),0)</f>
        <v>92</v>
      </c>
      <c r="U1217" s="152">
        <f>100*(INDEX(TDU_Info!$E$5:$E$110,$T1217)/T$11+INDEX(TDU_Info!$F$5:$F$110,$T1217))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MATCH(1,(TDU_Info!$C$5:$C$110=$T$6)*(TDU_Info!$B$5:$B$110&lt;=$B1218),0)</f>
        <v>92</v>
      </c>
      <c r="U1218" s="152">
        <f>100*(INDEX(TDU_Info!$E$5:$E$110,$T1218)/T$11+INDEX(TDU_Info!$F$5:$F$110,$T1218))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MATCH(1,(TDU_Info!$C$5:$C$110=$T$6)*(TDU_Info!$B$5:$B$110&lt;=$B1219),0)</f>
        <v>92</v>
      </c>
      <c r="U1219" s="152">
        <f>100*(INDEX(TDU_Info!$E$5:$E$110,$T1219)/T$11+INDEX(TDU_Info!$F$5:$F$110,$T1219))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MATCH(1,(TDU_Info!$C$5:$C$110=$T$6)*(TDU_Info!$B$5:$B$110&lt;=$B1220),0)</f>
        <v>92</v>
      </c>
      <c r="U1220" s="152">
        <f>100*(INDEX(TDU_Info!$E$5:$E$110,$T1220)/T$11+INDEX(TDU_Info!$F$5:$F$110,$T1220))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MATCH(1,(TDU_Info!$C$5:$C$110=$T$6)*(TDU_Info!$B$5:$B$110&lt;=$B1221),0)</f>
        <v>92</v>
      </c>
      <c r="U1221" s="152">
        <f>100*(INDEX(TDU_Info!$E$5:$E$110,$T1221)/T$11+INDEX(TDU_Info!$F$5:$F$110,$T1221))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MATCH(1,(TDU_Info!$C$5:$C$110=$T$6)*(TDU_Info!$B$5:$B$110&lt;=$B1222),0)</f>
        <v>92</v>
      </c>
      <c r="U1222" s="152">
        <f>100*(INDEX(TDU_Info!$E$5:$E$110,$T1222)/T$11+INDEX(TDU_Info!$F$5:$F$110,$T1222))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MATCH(1,(TDU_Info!$C$5:$C$110=$T$6)*(TDU_Info!$B$5:$B$110&lt;=$B1223),0)</f>
        <v>92</v>
      </c>
      <c r="U1223" s="152">
        <f>100*(INDEX(TDU_Info!$E$5:$E$110,$T1223)/T$11+INDEX(TDU_Info!$F$5:$F$110,$T1223))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MATCH(1,(TDU_Info!$C$5:$C$110=$T$6)*(TDU_Info!$B$5:$B$110&lt;=$B1224),0)</f>
        <v>92</v>
      </c>
      <c r="U1224" s="152">
        <f>100*(INDEX(TDU_Info!$E$5:$E$110,$T1224)/T$11+INDEX(TDU_Info!$F$5:$F$110,$T1224))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MATCH(1,(TDU_Info!$C$5:$C$110=$T$6)*(TDU_Info!$B$5:$B$110&lt;=$B1225),0)</f>
        <v>92</v>
      </c>
      <c r="U1225" s="152">
        <f>100*(INDEX(TDU_Info!$E$5:$E$110,$T1225)/T$11+INDEX(TDU_Info!$F$5:$F$110,$T1225))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MATCH(1,(TDU_Info!$C$5:$C$110=$T$6)*(TDU_Info!$B$5:$B$110&lt;=$B1226),0)</f>
        <v>92</v>
      </c>
      <c r="U1226" s="152">
        <f>100*(INDEX(TDU_Info!$E$5:$E$110,$T1226)/T$11+INDEX(TDU_Info!$F$5:$F$110,$T1226))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MATCH(1,(TDU_Info!$C$5:$C$110=$T$6)*(TDU_Info!$B$5:$B$110&lt;=$B1227),0)</f>
        <v>92</v>
      </c>
      <c r="U1227" s="152">
        <f>100*(INDEX(TDU_Info!$E$5:$E$110,$T1227)/T$11+INDEX(TDU_Info!$F$5:$F$110,$T1227))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MATCH(1,(TDU_Info!$C$5:$C$110=$T$6)*(TDU_Info!$B$5:$B$110&lt;=$B1228),0)</f>
        <v>92</v>
      </c>
      <c r="U1228" s="152">
        <f>100*(INDEX(TDU_Info!$E$5:$E$110,$T1228)/T$11+INDEX(TDU_Info!$F$5:$F$110,$T1228))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MATCH(1,(TDU_Info!$C$5:$C$110=$T$6)*(TDU_Info!$B$5:$B$110&lt;=$B1229),0)</f>
        <v>92</v>
      </c>
      <c r="U1229" s="152">
        <f>100*(INDEX(TDU_Info!$E$5:$E$110,$T1229)/T$11+INDEX(TDU_Info!$F$5:$F$110,$T1229))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MATCH(1,(TDU_Info!$C$5:$C$110=$T$6)*(TDU_Info!$B$5:$B$110&lt;=$B1230),0)</f>
        <v>92</v>
      </c>
      <c r="U1230" s="152">
        <f>100*(INDEX(TDU_Info!$E$5:$E$110,$T1230)/T$11+INDEX(TDU_Info!$F$5:$F$110,$T1230))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MATCH(1,(TDU_Info!$C$5:$C$110=$T$6)*(TDU_Info!$B$5:$B$110&lt;=$B1231),0)</f>
        <v>92</v>
      </c>
      <c r="U1231" s="152">
        <f>100*(INDEX(TDU_Info!$E$5:$E$110,$T1231)/T$11+INDEX(TDU_Info!$F$5:$F$110,$T1231))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MATCH(1,(TDU_Info!$C$5:$C$110=$T$6)*(TDU_Info!$B$5:$B$110&lt;=$B1232),0)</f>
        <v>92</v>
      </c>
      <c r="U1232" s="152">
        <f>100*(INDEX(TDU_Info!$E$5:$E$110,$T1232)/T$11+INDEX(TDU_Info!$F$5:$F$110,$T1232))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MATCH(1,(TDU_Info!$C$5:$C$110=$T$6)*(TDU_Info!$B$5:$B$110&lt;=$B1233),0)</f>
        <v>92</v>
      </c>
      <c r="U1233" s="152">
        <f>100*(INDEX(TDU_Info!$E$5:$E$110,$T1233)/T$11+INDEX(TDU_Info!$F$5:$F$110,$T1233))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MATCH(1,(TDU_Info!$C$5:$C$110=$T$6)*(TDU_Info!$B$5:$B$110&lt;=$B1234),0)</f>
        <v>92</v>
      </c>
      <c r="U1234" s="152">
        <f>100*(INDEX(TDU_Info!$E$5:$E$110,$T1234)/T$11+INDEX(TDU_Info!$F$5:$F$110,$T1234))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MATCH(1,(TDU_Info!$C$5:$C$110=$T$6)*(TDU_Info!$B$5:$B$110&lt;=$B1235),0)</f>
        <v>92</v>
      </c>
      <c r="U1235" s="152">
        <f>100*(INDEX(TDU_Info!$E$5:$E$110,$T1235)/T$11+INDEX(TDU_Info!$F$5:$F$110,$T1235))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MATCH(1,(TDU_Info!$C$5:$C$110=$T$6)*(TDU_Info!$B$5:$B$110&lt;=$B1236),0)</f>
        <v>92</v>
      </c>
      <c r="U1236" s="152">
        <f>100*(INDEX(TDU_Info!$E$5:$E$110,$T1236)/T$11+INDEX(TDU_Info!$F$5:$F$110,$T1236))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MATCH(1,(TDU_Info!$C$5:$C$110=$T$6)*(TDU_Info!$B$5:$B$110&lt;=$B1237),0)</f>
        <v>92</v>
      </c>
      <c r="U1237" s="152">
        <f>100*(INDEX(TDU_Info!$E$5:$E$110,$T1237)/T$11+INDEX(TDU_Info!$F$5:$F$110,$T1237))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MATCH(1,(TDU_Info!$C$5:$C$110=$T$6)*(TDU_Info!$B$5:$B$110&lt;=$B1238),0)</f>
        <v>92</v>
      </c>
      <c r="U1238" s="152">
        <f>100*(INDEX(TDU_Info!$E$5:$E$110,$T1238)/T$11+INDEX(TDU_Info!$F$5:$F$110,$T1238))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MATCH(1,(TDU_Info!$C$5:$C$110=$T$6)*(TDU_Info!$B$5:$B$110&lt;=$B1239),0)</f>
        <v>92</v>
      </c>
      <c r="U1239" s="152">
        <f>100*(INDEX(TDU_Info!$E$5:$E$110,$T1239)/T$11+INDEX(TDU_Info!$F$5:$F$110,$T1239))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MATCH(1,(TDU_Info!$C$5:$C$110=$T$6)*(TDU_Info!$B$5:$B$110&lt;=$B1240),0)</f>
        <v>92</v>
      </c>
      <c r="U1240" s="152">
        <f>100*(INDEX(TDU_Info!$E$5:$E$110,$T1240)/T$11+INDEX(TDU_Info!$F$5:$F$110,$T1240))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MATCH(1,(TDU_Info!$C$5:$C$110=$T$6)*(TDU_Info!$B$5:$B$110&lt;=$B1241),0)</f>
        <v>92</v>
      </c>
      <c r="U1241" s="152">
        <f>100*(INDEX(TDU_Info!$E$5:$E$110,$T1241)/T$11+INDEX(TDU_Info!$F$5:$F$110,$T1241))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MATCH(1,(TDU_Info!$C$5:$C$110=$T$6)*(TDU_Info!$B$5:$B$110&lt;=$B1242),0)</f>
        <v>92</v>
      </c>
      <c r="U1242" s="152">
        <f>100*(INDEX(TDU_Info!$E$5:$E$110,$T1242)/T$11+INDEX(TDU_Info!$F$5:$F$110,$T1242))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MATCH(1,(TDU_Info!$C$5:$C$110=$T$6)*(TDU_Info!$B$5:$B$110&lt;=$B1243),0)</f>
        <v>92</v>
      </c>
      <c r="U1243" s="152">
        <f>100*(INDEX(TDU_Info!$E$5:$E$110,$T1243)/T$11+INDEX(TDU_Info!$F$5:$F$110,$T1243))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MATCH(1,(TDU_Info!$C$5:$C$110=$T$6)*(TDU_Info!$B$5:$B$110&lt;=$B1244),0)</f>
        <v>92</v>
      </c>
      <c r="U1244" s="152">
        <f>100*(INDEX(TDU_Info!$E$5:$E$110,$T1244)/T$11+INDEX(TDU_Info!$F$5:$F$110,$T1244))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MATCH(1,(TDU_Info!$C$5:$C$110=$T$6)*(TDU_Info!$B$5:$B$110&lt;=$B1245),0)</f>
        <v>92</v>
      </c>
      <c r="U1245" s="152">
        <f>100*(INDEX(TDU_Info!$E$5:$E$110,$T1245)/T$11+INDEX(TDU_Info!$F$5:$F$110,$T1245))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MATCH(1,(TDU_Info!$C$5:$C$110=$T$6)*(TDU_Info!$B$5:$B$110&lt;=$B1246),0)</f>
        <v>92</v>
      </c>
      <c r="U1246" s="152">
        <f>100*(INDEX(TDU_Info!$E$5:$E$110,$T1246)/T$11+INDEX(TDU_Info!$F$5:$F$110,$T1246))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MATCH(1,(TDU_Info!$C$5:$C$110=$T$6)*(TDU_Info!$B$5:$B$110&lt;=$B1247),0)</f>
        <v>92</v>
      </c>
      <c r="U1247" s="152">
        <f>100*(INDEX(TDU_Info!$E$5:$E$110,$T1247)/T$11+INDEX(TDU_Info!$F$5:$F$110,$T1247))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MATCH(1,(TDU_Info!$C$5:$C$110=$T$6)*(TDU_Info!$B$5:$B$110&lt;=$B1248),0)</f>
        <v>92</v>
      </c>
      <c r="U1248" s="152">
        <f>100*(INDEX(TDU_Info!$E$5:$E$110,$T1248)/T$11+INDEX(TDU_Info!$F$5:$F$110,$T1248))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MATCH(1,(TDU_Info!$C$5:$C$110=$T$6)*(TDU_Info!$B$5:$B$110&lt;=$B1249),0)</f>
        <v>92</v>
      </c>
      <c r="U1249" s="152">
        <f>100*(INDEX(TDU_Info!$E$5:$E$110,$T1249)/T$11+INDEX(TDU_Info!$F$5:$F$110,$T1249))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MATCH(1,(TDU_Info!$C$5:$C$110=$T$6)*(TDU_Info!$B$5:$B$110&lt;=$B1250),0)</f>
        <v>92</v>
      </c>
      <c r="U1250" s="152">
        <f>100*(INDEX(TDU_Info!$E$5:$E$110,$T1250)/T$11+INDEX(TDU_Info!$F$5:$F$110,$T1250))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MATCH(1,(TDU_Info!$C$5:$C$110=$T$6)*(TDU_Info!$B$5:$B$110&lt;=$B1251),0)</f>
        <v>92</v>
      </c>
      <c r="U1251" s="152">
        <f>100*(INDEX(TDU_Info!$E$5:$E$110,$T1251)/T$11+INDEX(TDU_Info!$F$5:$F$110,$T1251))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MATCH(1,(TDU_Info!$C$5:$C$110=$T$6)*(TDU_Info!$B$5:$B$110&lt;=$B1252),0)</f>
        <v>92</v>
      </c>
      <c r="U1252" s="152">
        <f>100*(INDEX(TDU_Info!$E$5:$E$110,$T1252)/T$11+INDEX(TDU_Info!$F$5:$F$110,$T1252))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MATCH(1,(TDU_Info!$C$5:$C$110=$T$6)*(TDU_Info!$B$5:$B$110&lt;=$B1253),0)</f>
        <v>92</v>
      </c>
      <c r="U1253" s="152">
        <f>100*(INDEX(TDU_Info!$E$5:$E$110,$T1253)/T$11+INDEX(TDU_Info!$F$5:$F$110,$T1253))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MATCH(1,(TDU_Info!$C$5:$C$110=$T$6)*(TDU_Info!$B$5:$B$110&lt;=$B1254),0)</f>
        <v>92</v>
      </c>
      <c r="U1254" s="152">
        <f>100*(INDEX(TDU_Info!$E$5:$E$110,$T1254)/T$11+INDEX(TDU_Info!$F$5:$F$110,$T1254))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MATCH(1,(TDU_Info!$C$5:$C$110=$T$6)*(TDU_Info!$B$5:$B$110&lt;=$B1255),0)</f>
        <v>92</v>
      </c>
      <c r="U1255" s="152">
        <f>100*(INDEX(TDU_Info!$E$5:$E$110,$T1255)/T$11+INDEX(TDU_Info!$F$5:$F$110,$T1255))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MATCH(1,(TDU_Info!$C$5:$C$110=$T$6)*(TDU_Info!$B$5:$B$110&lt;=$B1256),0)</f>
        <v>92</v>
      </c>
      <c r="U1256" s="152">
        <f>100*(INDEX(TDU_Info!$E$5:$E$110,$T1256)/T$11+INDEX(TDU_Info!$F$5:$F$110,$T1256))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MATCH(1,(TDU_Info!$C$5:$C$110=$T$6)*(TDU_Info!$B$5:$B$110&lt;=$B1257),0)</f>
        <v>92</v>
      </c>
      <c r="U1257" s="152">
        <f>100*(INDEX(TDU_Info!$E$5:$E$110,$T1257)/T$11+INDEX(TDU_Info!$F$5:$F$110,$T1257))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MATCH(1,(TDU_Info!$C$5:$C$110=$T$6)*(TDU_Info!$B$5:$B$110&lt;=$B1258),0)</f>
        <v>92</v>
      </c>
      <c r="U1258" s="152">
        <f>100*(INDEX(TDU_Info!$E$5:$E$110,$T1258)/T$11+INDEX(TDU_Info!$F$5:$F$110,$T1258))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MATCH(1,(TDU_Info!$C$5:$C$110=$T$6)*(TDU_Info!$B$5:$B$110&lt;=$B1259),0)</f>
        <v>92</v>
      </c>
      <c r="U1259" s="152">
        <f>100*(INDEX(TDU_Info!$E$5:$E$110,$T1259)/T$11+INDEX(TDU_Info!$F$5:$F$110,$T1259))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MATCH(1,(TDU_Info!$C$5:$C$110=$T$6)*(TDU_Info!$B$5:$B$110&lt;=$B1260),0)</f>
        <v>92</v>
      </c>
      <c r="U1260" s="152">
        <f>100*(INDEX(TDU_Info!$E$5:$E$110,$T1260)/T$11+INDEX(TDU_Info!$F$5:$F$110,$T1260))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MATCH(1,(TDU_Info!$C$5:$C$110=$T$6)*(TDU_Info!$B$5:$B$110&lt;=$B1261),0)</f>
        <v>92</v>
      </c>
      <c r="U1261" s="152">
        <f>100*(INDEX(TDU_Info!$E$5:$E$110,$T1261)/T$11+INDEX(TDU_Info!$F$5:$F$110,$T1261))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MATCH(1,(TDU_Info!$C$5:$C$110=$T$6)*(TDU_Info!$B$5:$B$110&lt;=$B1262),0)</f>
        <v>92</v>
      </c>
      <c r="U1262" s="152">
        <f>100*(INDEX(TDU_Info!$E$5:$E$110,$T1262)/T$11+INDEX(TDU_Info!$F$5:$F$110,$T1262))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MATCH(1,(TDU_Info!$C$5:$C$110=$T$6)*(TDU_Info!$B$5:$B$110&lt;=$B1263),0)</f>
        <v>92</v>
      </c>
      <c r="U1263" s="152">
        <f>100*(INDEX(TDU_Info!$E$5:$E$110,$T1263)/T$11+INDEX(TDU_Info!$F$5:$F$110,$T1263))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MATCH(1,(TDU_Info!$C$5:$C$110=$T$6)*(TDU_Info!$B$5:$B$110&lt;=$B1264),0)</f>
        <v>92</v>
      </c>
      <c r="U1264" s="152">
        <f>100*(INDEX(TDU_Info!$E$5:$E$110,$T1264)/T$11+INDEX(TDU_Info!$F$5:$F$110,$T1264))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MATCH(1,(TDU_Info!$C$5:$C$110=$T$6)*(TDU_Info!$B$5:$B$110&lt;=$B1265),0)</f>
        <v>92</v>
      </c>
      <c r="U1265" s="152">
        <f>100*(INDEX(TDU_Info!$E$5:$E$110,$T1265)/T$11+INDEX(TDU_Info!$F$5:$F$110,$T1265))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MATCH(1,(TDU_Info!$C$5:$C$110=$T$6)*(TDU_Info!$B$5:$B$110&lt;=$B1266),0)</f>
        <v>92</v>
      </c>
      <c r="U1266" s="152">
        <f>100*(INDEX(TDU_Info!$E$5:$E$110,$T1266)/T$11+INDEX(TDU_Info!$F$5:$F$110,$T1266))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MATCH(1,(TDU_Info!$C$5:$C$110=$T$6)*(TDU_Info!$B$5:$B$110&lt;=$B1267),0)</f>
        <v>92</v>
      </c>
      <c r="U1267" s="152">
        <f>100*(INDEX(TDU_Info!$E$5:$E$110,$T1267)/T$11+INDEX(TDU_Info!$F$5:$F$110,$T1267))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MATCH(1,(TDU_Info!$C$5:$C$110=$T$6)*(TDU_Info!$B$5:$B$110&lt;=$B1268),0)</f>
        <v>92</v>
      </c>
      <c r="U1268" s="152">
        <f>100*(INDEX(TDU_Info!$E$5:$E$110,$T1268)/T$11+INDEX(TDU_Info!$F$5:$F$110,$T1268))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MATCH(1,(TDU_Info!$C$5:$C$110=$T$6)*(TDU_Info!$B$5:$B$110&lt;=$B1269),0)</f>
        <v>92</v>
      </c>
      <c r="U1269" s="152">
        <f>100*(INDEX(TDU_Info!$E$5:$E$110,$T1269)/T$11+INDEX(TDU_Info!$F$5:$F$110,$T1269))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MATCH(1,(TDU_Info!$C$5:$C$110=$T$6)*(TDU_Info!$B$5:$B$110&lt;=$B1270),0)</f>
        <v>92</v>
      </c>
      <c r="U1270" s="152">
        <f>100*(INDEX(TDU_Info!$E$5:$E$110,$T1270)/T$11+INDEX(TDU_Info!$F$5:$F$110,$T1270))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MATCH(1,(TDU_Info!$C$5:$C$110=$T$6)*(TDU_Info!$B$5:$B$110&lt;=$B1271),0)</f>
        <v>92</v>
      </c>
      <c r="U1271" s="152">
        <f>100*(INDEX(TDU_Info!$E$5:$E$110,$T1271)/T$11+INDEX(TDU_Info!$F$5:$F$110,$T1271))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MATCH(1,(TDU_Info!$C$5:$C$110=$T$6)*(TDU_Info!$B$5:$B$110&lt;=$B1272),0)</f>
        <v>92</v>
      </c>
      <c r="U1272" s="152">
        <f>100*(INDEX(TDU_Info!$E$5:$E$110,$T1272)/T$11+INDEX(TDU_Info!$F$5:$F$110,$T1272))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MATCH(1,(TDU_Info!$C$5:$C$110=$T$6)*(TDU_Info!$B$5:$B$110&lt;=$B1273),0)</f>
        <v>92</v>
      </c>
      <c r="U1273" s="152">
        <f>100*(INDEX(TDU_Info!$E$5:$E$110,$T1273)/T$11+INDEX(TDU_Info!$F$5:$F$110,$T1273))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MATCH(1,(TDU_Info!$C$5:$C$110=$T$6)*(TDU_Info!$B$5:$B$110&lt;=$B1274),0)</f>
        <v>92</v>
      </c>
      <c r="U1274" s="152">
        <f>100*(INDEX(TDU_Info!$E$5:$E$110,$T1274)/T$11+INDEX(TDU_Info!$F$5:$F$110,$T1274))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MATCH(1,(TDU_Info!$C$5:$C$110=$T$6)*(TDU_Info!$B$5:$B$110&lt;=$B1275),0)</f>
        <v>92</v>
      </c>
      <c r="U1275" s="152">
        <f>100*(INDEX(TDU_Info!$E$5:$E$110,$T1275)/T$11+INDEX(TDU_Info!$F$5:$F$110,$T1275))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MATCH(1,(TDU_Info!$C$5:$C$110=$T$6)*(TDU_Info!$B$5:$B$110&lt;=$B1276),0)</f>
        <v>92</v>
      </c>
      <c r="U1276" s="152">
        <f>100*(INDEX(TDU_Info!$E$5:$E$110,$T1276)/T$11+INDEX(TDU_Info!$F$5:$F$110,$T1276))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MATCH(1,(TDU_Info!$C$5:$C$110=$T$6)*(TDU_Info!$B$5:$B$110&lt;=$B1277),0)</f>
        <v>92</v>
      </c>
      <c r="U1277" s="152">
        <f>100*(INDEX(TDU_Info!$E$5:$E$110,$T1277)/T$11+INDEX(TDU_Info!$F$5:$F$110,$T1277))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MATCH(1,(TDU_Info!$C$5:$C$110=$T$6)*(TDU_Info!$B$5:$B$110&lt;=$B1278),0)</f>
        <v>92</v>
      </c>
      <c r="U1278" s="152">
        <f>100*(INDEX(TDU_Info!$E$5:$E$110,$T1278)/T$11+INDEX(TDU_Info!$F$5:$F$110,$T1278))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MATCH(1,(TDU_Info!$C$5:$C$110=$T$6)*(TDU_Info!$B$5:$B$110&lt;=$B1279),0)</f>
        <v>92</v>
      </c>
      <c r="U1279" s="152">
        <f>100*(INDEX(TDU_Info!$E$5:$E$110,$T1279)/T$11+INDEX(TDU_Info!$F$5:$F$110,$T1279))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MATCH(1,(TDU_Info!$C$5:$C$110=$T$6)*(TDU_Info!$B$5:$B$110&lt;=$B1280),0)</f>
        <v>92</v>
      </c>
      <c r="U1280" s="152">
        <f>100*(INDEX(TDU_Info!$E$5:$E$110,$T1280)/T$11+INDEX(TDU_Info!$F$5:$F$110,$T1280))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MATCH(1,(TDU_Info!$C$5:$C$110=$T$6)*(TDU_Info!$B$5:$B$110&lt;=$B1281),0)</f>
        <v>92</v>
      </c>
      <c r="U1281" s="152">
        <f>100*(INDEX(TDU_Info!$E$5:$E$110,$T1281)/T$11+INDEX(TDU_Info!$F$5:$F$110,$T1281))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MATCH(1,(TDU_Info!$C$5:$C$110=$T$6)*(TDU_Info!$B$5:$B$110&lt;=$B1282),0)</f>
        <v>92</v>
      </c>
      <c r="U1282" s="152">
        <f>100*(INDEX(TDU_Info!$E$5:$E$110,$T1282)/T$11+INDEX(TDU_Info!$F$5:$F$110,$T1282))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MATCH(1,(TDU_Info!$C$5:$C$110=$T$6)*(TDU_Info!$B$5:$B$110&lt;=$B1283),0)</f>
        <v>92</v>
      </c>
      <c r="U1283" s="152">
        <f>100*(INDEX(TDU_Info!$E$5:$E$110,$T1283)/T$11+INDEX(TDU_Info!$F$5:$F$110,$T1283))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MATCH(1,(TDU_Info!$C$5:$C$110=$T$6)*(TDU_Info!$B$5:$B$110&lt;=$B1284),0)</f>
        <v>92</v>
      </c>
      <c r="U1284" s="152">
        <f>100*(INDEX(TDU_Info!$E$5:$E$110,$T1284)/T$11+INDEX(TDU_Info!$F$5:$F$110,$T1284))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MATCH(1,(TDU_Info!$C$5:$C$110=$T$6)*(TDU_Info!$B$5:$B$110&lt;=$B1285),0)</f>
        <v>92</v>
      </c>
      <c r="U1285" s="152">
        <f>100*(INDEX(TDU_Info!$E$5:$E$110,$T1285)/T$11+INDEX(TDU_Info!$F$5:$F$110,$T1285))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MATCH(1,(TDU_Info!$C$5:$C$110=$T$6)*(TDU_Info!$B$5:$B$110&lt;=$B1286),0)</f>
        <v>92</v>
      </c>
      <c r="U1286" s="152">
        <f>100*(INDEX(TDU_Info!$E$5:$E$110,$T1286)/T$11+INDEX(TDU_Info!$F$5:$F$110,$T1286))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MATCH(1,(TDU_Info!$C$5:$C$110=$T$6)*(TDU_Info!$B$5:$B$110&lt;=$B1287),0)</f>
        <v>92</v>
      </c>
      <c r="U1287" s="152">
        <f>100*(INDEX(TDU_Info!$E$5:$E$110,$T1287)/T$11+INDEX(TDU_Info!$F$5:$F$110,$T1287))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MATCH(1,(TDU_Info!$C$5:$C$110=$T$6)*(TDU_Info!$B$5:$B$110&lt;=$B1288),0)</f>
        <v>92</v>
      </c>
      <c r="U1288" s="152">
        <f>100*(INDEX(TDU_Info!$E$5:$E$110,$T1288)/T$11+INDEX(TDU_Info!$F$5:$F$110,$T1288))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MATCH(1,(TDU_Info!$C$5:$C$110=$T$6)*(TDU_Info!$B$5:$B$110&lt;=$B1289),0)</f>
        <v>92</v>
      </c>
      <c r="U1289" s="152">
        <f>100*(INDEX(TDU_Info!$E$5:$E$110,$T1289)/T$11+INDEX(TDU_Info!$F$5:$F$110,$T1289))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MATCH(1,(TDU_Info!$C$5:$C$110=$T$6)*(TDU_Info!$B$5:$B$110&lt;=$B1290),0)</f>
        <v>92</v>
      </c>
      <c r="U1290" s="152">
        <f>100*(INDEX(TDU_Info!$E$5:$E$110,$T1290)/T$11+INDEX(TDU_Info!$F$5:$F$110,$T1290))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MATCH(1,(TDU_Info!$C$5:$C$110=$T$6)*(TDU_Info!$B$5:$B$110&lt;=$B1291),0)</f>
        <v>92</v>
      </c>
      <c r="U1291" s="152">
        <f>100*(INDEX(TDU_Info!$E$5:$E$110,$T1291)/T$11+INDEX(TDU_Info!$F$5:$F$110,$T1291))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MATCH(1,(TDU_Info!$C$5:$C$110=$T$6)*(TDU_Info!$B$5:$B$110&lt;=$B1292),0)</f>
        <v>92</v>
      </c>
      <c r="U1292" s="152">
        <f>100*(INDEX(TDU_Info!$E$5:$E$110,$T1292)/T$11+INDEX(TDU_Info!$F$5:$F$110,$T1292))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MATCH(1,(TDU_Info!$C$5:$C$110=$T$6)*(TDU_Info!$B$5:$B$110&lt;=$B1293),0)</f>
        <v>92</v>
      </c>
      <c r="U1293" s="152">
        <f>100*(INDEX(TDU_Info!$E$5:$E$110,$T1293)/T$11+INDEX(TDU_Info!$F$5:$F$110,$T1293))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MATCH(1,(TDU_Info!$C$5:$C$110=$T$6)*(TDU_Info!$B$5:$B$110&lt;=$B1294),0)</f>
        <v>92</v>
      </c>
      <c r="U1294" s="152">
        <f>100*(INDEX(TDU_Info!$E$5:$E$110,$T1294)/T$11+INDEX(TDU_Info!$F$5:$F$110,$T1294))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MATCH(1,(TDU_Info!$C$5:$C$110=$T$6)*(TDU_Info!$B$5:$B$110&lt;=$B1295),0)</f>
        <v>92</v>
      </c>
      <c r="U1295" s="152">
        <f>100*(INDEX(TDU_Info!$E$5:$E$110,$T1295)/T$11+INDEX(TDU_Info!$F$5:$F$110,$T1295))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MATCH(1,(TDU_Info!$C$5:$C$110=$T$6)*(TDU_Info!$B$5:$B$110&lt;=$B1296),0)</f>
        <v>92</v>
      </c>
      <c r="U1296" s="152">
        <f>100*(INDEX(TDU_Info!$E$5:$E$110,$T1296)/T$11+INDEX(TDU_Info!$F$5:$F$110,$T1296))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MATCH(1,(TDU_Info!$C$5:$C$110=$T$6)*(TDU_Info!$B$5:$B$110&lt;=$B1297),0)</f>
        <v>92</v>
      </c>
      <c r="U1297" s="152">
        <f>100*(INDEX(TDU_Info!$E$5:$E$110,$T1297)/T$11+INDEX(TDU_Info!$F$5:$F$110,$T1297))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MATCH(1,(TDU_Info!$C$5:$C$110=$T$6)*(TDU_Info!$B$5:$B$110&lt;=$B1298),0)</f>
        <v>92</v>
      </c>
      <c r="U1298" s="152">
        <f>100*(INDEX(TDU_Info!$E$5:$E$110,$T1298)/T$11+INDEX(TDU_Info!$F$5:$F$110,$T1298))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MATCH(1,(TDU_Info!$C$5:$C$110=$T$6)*(TDU_Info!$B$5:$B$110&lt;=$B1299),0)</f>
        <v>92</v>
      </c>
      <c r="U1299" s="152">
        <f>100*(INDEX(TDU_Info!$E$5:$E$110,$T1299)/T$11+INDEX(TDU_Info!$F$5:$F$110,$T1299))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MATCH(1,(TDU_Info!$C$5:$C$110=$T$6)*(TDU_Info!$B$5:$B$110&lt;=$B1300),0)</f>
        <v>92</v>
      </c>
      <c r="U1300" s="152">
        <f>100*(INDEX(TDU_Info!$E$5:$E$110,$T1300)/T$11+INDEX(TDU_Info!$F$5:$F$110,$T1300))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MATCH(1,(TDU_Info!$C$5:$C$110=$T$6)*(TDU_Info!$B$5:$B$110&lt;=$B1301),0)</f>
        <v>92</v>
      </c>
      <c r="U1301" s="152">
        <f>100*(INDEX(TDU_Info!$E$5:$E$110,$T1301)/T$11+INDEX(TDU_Info!$F$5:$F$110,$T1301))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MATCH(1,(TDU_Info!$C$5:$C$110=$T$6)*(TDU_Info!$B$5:$B$110&lt;=$B1302),0)</f>
        <v>92</v>
      </c>
      <c r="U1302" s="152">
        <f>100*(INDEX(TDU_Info!$E$5:$E$110,$T1302)/T$11+INDEX(TDU_Info!$F$5:$F$110,$T1302))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MATCH(1,(TDU_Info!$C$5:$C$110=$T$6)*(TDU_Info!$B$5:$B$110&lt;=$B1303),0)</f>
        <v>92</v>
      </c>
      <c r="U1303" s="152">
        <f>100*(INDEX(TDU_Info!$E$5:$E$110,$T1303)/T$11+INDEX(TDU_Info!$F$5:$F$110,$T1303))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MATCH(1,(TDU_Info!$C$5:$C$110=$T$6)*(TDU_Info!$B$5:$B$110&lt;=$B1304),0)</f>
        <v>92</v>
      </c>
      <c r="U1304" s="152">
        <f>100*(INDEX(TDU_Info!$E$5:$E$110,$T1304)/T$11+INDEX(TDU_Info!$F$5:$F$110,$T1304))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MATCH(1,(TDU_Info!$C$5:$C$110=$T$6)*(TDU_Info!$B$5:$B$110&lt;=$B1305),0)</f>
        <v>92</v>
      </c>
      <c r="U1305" s="152">
        <f>100*(INDEX(TDU_Info!$E$5:$E$110,$T1305)/T$11+INDEX(TDU_Info!$F$5:$F$110,$T1305))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MATCH(1,(TDU_Info!$C$5:$C$110=$T$6)*(TDU_Info!$B$5:$B$110&lt;=$B1306),0)</f>
        <v>92</v>
      </c>
      <c r="U1306" s="152">
        <f>100*(INDEX(TDU_Info!$E$5:$E$110,$T1306)/T$11+INDEX(TDU_Info!$F$5:$F$110,$T1306))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MATCH(1,(TDU_Info!$C$5:$C$110=$T$6)*(TDU_Info!$B$5:$B$110&lt;=$B1307),0)</f>
        <v>92</v>
      </c>
      <c r="U1307" s="152">
        <f>100*(INDEX(TDU_Info!$E$5:$E$110,$T1307)/T$11+INDEX(TDU_Info!$F$5:$F$110,$T1307))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MATCH(1,(TDU_Info!$C$5:$C$110=$T$6)*(TDU_Info!$B$5:$B$110&lt;=$B1308),0)</f>
        <v>92</v>
      </c>
      <c r="U1308" s="152">
        <f>100*(INDEX(TDU_Info!$E$5:$E$110,$T1308)/T$11+INDEX(TDU_Info!$F$5:$F$110,$T1308))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MATCH(1,(TDU_Info!$C$5:$C$110=$T$6)*(TDU_Info!$B$5:$B$110&lt;=$B1309),0)</f>
        <v>92</v>
      </c>
      <c r="U1309" s="152">
        <f>100*(INDEX(TDU_Info!$E$5:$E$110,$T1309)/T$11+INDEX(TDU_Info!$F$5:$F$110,$T1309))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MATCH(1,(TDU_Info!$C$5:$C$110=$T$6)*(TDU_Info!$B$5:$B$110&lt;=$B1310),0)</f>
        <v>92</v>
      </c>
      <c r="U1310" s="152">
        <f>100*(INDEX(TDU_Info!$E$5:$E$110,$T1310)/T$11+INDEX(TDU_Info!$F$5:$F$110,$T1310))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MATCH(1,(TDU_Info!$C$5:$C$110=$T$6)*(TDU_Info!$B$5:$B$110&lt;=$B1311),0)</f>
        <v>92</v>
      </c>
      <c r="U1311" s="152">
        <f>100*(INDEX(TDU_Info!$E$5:$E$110,$T1311)/T$11+INDEX(TDU_Info!$F$5:$F$110,$T1311))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MATCH(1,(TDU_Info!$C$5:$C$110=$T$6)*(TDU_Info!$B$5:$B$110&lt;=$B1312),0)</f>
        <v>92</v>
      </c>
      <c r="U1312" s="152">
        <f>100*(INDEX(TDU_Info!$E$5:$E$110,$T1312)/T$11+INDEX(TDU_Info!$F$5:$F$110,$T1312))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MATCH(1,(TDU_Info!$C$5:$C$110=$T$6)*(TDU_Info!$B$5:$B$110&lt;=$B1313),0)</f>
        <v>92</v>
      </c>
      <c r="U1313" s="152">
        <f>100*(INDEX(TDU_Info!$E$5:$E$110,$T1313)/T$11+INDEX(TDU_Info!$F$5:$F$110,$T1313))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MATCH(1,(TDU_Info!$C$5:$C$110=$T$6)*(TDU_Info!$B$5:$B$110&lt;=$B1314),0)</f>
        <v>92</v>
      </c>
      <c r="U1314" s="152">
        <f>100*(INDEX(TDU_Info!$E$5:$E$110,$T1314)/T$11+INDEX(TDU_Info!$F$5:$F$110,$T1314))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MATCH(1,(TDU_Info!$C$5:$C$110=$T$6)*(TDU_Info!$B$5:$B$110&lt;=$B1315),0)</f>
        <v>92</v>
      </c>
      <c r="U1315" s="152">
        <f>100*(INDEX(TDU_Info!$E$5:$E$110,$T1315)/T$11+INDEX(TDU_Info!$F$5:$F$110,$T1315))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MATCH(1,(TDU_Info!$C$5:$C$110=$T$6)*(TDU_Info!$B$5:$B$110&lt;=$B1316),0)</f>
        <v>92</v>
      </c>
      <c r="U1316" s="152">
        <f>100*(INDEX(TDU_Info!$E$5:$E$110,$T1316)/T$11+INDEX(TDU_Info!$F$5:$F$110,$T1316))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MATCH(1,(TDU_Info!$C$5:$C$110=$T$6)*(TDU_Info!$B$5:$B$110&lt;=$B1317),0)</f>
        <v>92</v>
      </c>
      <c r="U1317" s="152">
        <f>100*(INDEX(TDU_Info!$E$5:$E$110,$T1317)/T$11+INDEX(TDU_Info!$F$5:$F$110,$T1317))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MATCH(1,(TDU_Info!$C$5:$C$110=$T$6)*(TDU_Info!$B$5:$B$110&lt;=$B1318),0)</f>
        <v>92</v>
      </c>
      <c r="U1318" s="152">
        <f>100*(INDEX(TDU_Info!$E$5:$E$110,$T1318)/T$11+INDEX(TDU_Info!$F$5:$F$110,$T1318))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MATCH(1,(TDU_Info!$C$5:$C$110=$T$6)*(TDU_Info!$B$5:$B$110&lt;=$B1319),0)</f>
        <v>92</v>
      </c>
      <c r="U1319" s="152">
        <f>100*(INDEX(TDU_Info!$E$5:$E$110,$T1319)/T$11+INDEX(TDU_Info!$F$5:$F$110,$T1319))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MATCH(1,(TDU_Info!$C$5:$C$110=$T$6)*(TDU_Info!$B$5:$B$110&lt;=$B1320),0)</f>
        <v>92</v>
      </c>
      <c r="U1320" s="152">
        <f>100*(INDEX(TDU_Info!$E$5:$E$110,$T1320)/T$11+INDEX(TDU_Info!$F$5:$F$110,$T1320))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MATCH(1,(TDU_Info!$C$5:$C$110=$T$6)*(TDU_Info!$B$5:$B$110&lt;=$B1321),0)</f>
        <v>92</v>
      </c>
      <c r="U1321" s="152">
        <f>100*(INDEX(TDU_Info!$E$5:$E$110,$T1321)/T$11+INDEX(TDU_Info!$F$5:$F$110,$T1321))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MATCH(1,(TDU_Info!$C$5:$C$110=$T$6)*(TDU_Info!$B$5:$B$110&lt;=$B1322),0)</f>
        <v>92</v>
      </c>
      <c r="U1322" s="152">
        <f>100*(INDEX(TDU_Info!$E$5:$E$110,$T1322)/T$11+INDEX(TDU_Info!$F$5:$F$110,$T1322))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MATCH(1,(TDU_Info!$C$5:$C$110=$T$6)*(TDU_Info!$B$5:$B$110&lt;=$B1323),0)</f>
        <v>92</v>
      </c>
      <c r="U1323" s="152">
        <f>100*(INDEX(TDU_Info!$E$5:$E$110,$T1323)/T$11+INDEX(TDU_Info!$F$5:$F$110,$T1323))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MATCH(1,(TDU_Info!$C$5:$C$110=$T$6)*(TDU_Info!$B$5:$B$110&lt;=$B1324),0)</f>
        <v>92</v>
      </c>
      <c r="U1324" s="152">
        <f>100*(INDEX(TDU_Info!$E$5:$E$110,$T1324)/T$11+INDEX(TDU_Info!$F$5:$F$110,$T1324))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17" si="270">1-$AU1324-$AV1324</f>
        <v>0</v>
      </c>
      <c r="AU1324" s="153">
        <f t="shared" ref="AU1324:AU3517" si="271">IF(AND($AS1324&gt;=AU$12,$AS1324&lt;=AU$13),1-$AV1324,0)</f>
        <v>0</v>
      </c>
      <c r="AV1324" s="153">
        <f t="shared" ref="AV1324:AV351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MATCH(1,(TDU_Info!$C$5:$C$110=$T$6)*(TDU_Info!$B$5:$B$110&lt;=$B1325),0)</f>
        <v>92</v>
      </c>
      <c r="U1325" s="152">
        <f>100*(INDEX(TDU_Info!$E$5:$E$110,$T1325)/T$11+INDEX(TDU_Info!$F$5:$F$110,$T1325))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MATCH(1,(TDU_Info!$C$5:$C$110=$T$6)*(TDU_Info!$B$5:$B$110&lt;=$B1326),0)</f>
        <v>92</v>
      </c>
      <c r="U1326" s="152">
        <f>100*(INDEX(TDU_Info!$E$5:$E$110,$T1326)/T$11+INDEX(TDU_Info!$F$5:$F$110,$T1326))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MATCH(1,(TDU_Info!$C$5:$C$110=$T$6)*(TDU_Info!$B$5:$B$110&lt;=$B1327),0)</f>
        <v>92</v>
      </c>
      <c r="U1327" s="152">
        <f>100*(INDEX(TDU_Info!$E$5:$E$110,$T1327)/T$11+INDEX(TDU_Info!$F$5:$F$110,$T1327))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MATCH(1,(TDU_Info!$C$5:$C$110=$T$6)*(TDU_Info!$B$5:$B$110&lt;=$B1328),0)</f>
        <v>92</v>
      </c>
      <c r="U1328" s="152">
        <f>100*(INDEX(TDU_Info!$E$5:$E$110,$T1328)/T$11+INDEX(TDU_Info!$F$5:$F$110,$T1328))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MATCH(1,(TDU_Info!$C$5:$C$110=$T$6)*(TDU_Info!$B$5:$B$110&lt;=$B1329),0)</f>
        <v>92</v>
      </c>
      <c r="U1329" s="152">
        <f>100*(INDEX(TDU_Info!$E$5:$E$110,$T1329)/T$11+INDEX(TDU_Info!$F$5:$F$110,$T1329))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MATCH(1,(TDU_Info!$C$5:$C$110=$T$6)*(TDU_Info!$B$5:$B$110&lt;=$B1330),0)</f>
        <v>92</v>
      </c>
      <c r="U1330" s="152">
        <f>100*(INDEX(TDU_Info!$E$5:$E$110,$T1330)/T$11+INDEX(TDU_Info!$F$5:$F$110,$T1330))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MATCH(1,(TDU_Info!$C$5:$C$110=$T$6)*(TDU_Info!$B$5:$B$110&lt;=$B1331),0)</f>
        <v>92</v>
      </c>
      <c r="U1331" s="152">
        <f>100*(INDEX(TDU_Info!$E$5:$E$110,$T1331)/T$11+INDEX(TDU_Info!$F$5:$F$110,$T1331))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MATCH(1,(TDU_Info!$C$5:$C$110=$T$6)*(TDU_Info!$B$5:$B$110&lt;=$B1332),0)</f>
        <v>92</v>
      </c>
      <c r="U1332" s="152">
        <f>100*(INDEX(TDU_Info!$E$5:$E$110,$T1332)/T$11+INDEX(TDU_Info!$F$5:$F$110,$T1332))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MATCH(1,(TDU_Info!$C$5:$C$110=$T$6)*(TDU_Info!$B$5:$B$110&lt;=$B1333),0)</f>
        <v>92</v>
      </c>
      <c r="U1333" s="152">
        <f>100*(INDEX(TDU_Info!$E$5:$E$110,$T1333)/T$11+INDEX(TDU_Info!$F$5:$F$110,$T1333))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MATCH(1,(TDU_Info!$C$5:$C$110=$T$6)*(TDU_Info!$B$5:$B$110&lt;=$B1334),0)</f>
        <v>92</v>
      </c>
      <c r="U1334" s="152">
        <f>100*(INDEX(TDU_Info!$E$5:$E$110,$T1334)/T$11+INDEX(TDU_Info!$F$5:$F$110,$T1334))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MATCH(1,(TDU_Info!$C$5:$C$110=$T$6)*(TDU_Info!$B$5:$B$110&lt;=$B1335),0)</f>
        <v>92</v>
      </c>
      <c r="U1335" s="152">
        <f>100*(INDEX(TDU_Info!$E$5:$E$110,$T1335)/T$11+INDEX(TDU_Info!$F$5:$F$110,$T1335))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MATCH(1,(TDU_Info!$C$5:$C$110=$T$6)*(TDU_Info!$B$5:$B$110&lt;=$B1336),0)</f>
        <v>92</v>
      </c>
      <c r="U1336" s="152">
        <f>100*(INDEX(TDU_Info!$E$5:$E$110,$T1336)/T$11+INDEX(TDU_Info!$F$5:$F$110,$T1336))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MATCH(1,(TDU_Info!$C$5:$C$110=$T$6)*(TDU_Info!$B$5:$B$110&lt;=$B1337),0)</f>
        <v>92</v>
      </c>
      <c r="U1337" s="152">
        <f>100*(INDEX(TDU_Info!$E$5:$E$110,$T1337)/T$11+INDEX(TDU_Info!$F$5:$F$110,$T1337))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MATCH(1,(TDU_Info!$C$5:$C$110=$T$6)*(TDU_Info!$B$5:$B$110&lt;=$B1338),0)</f>
        <v>92</v>
      </c>
      <c r="U1338" s="152">
        <f>100*(INDEX(TDU_Info!$E$5:$E$110,$T1338)/T$11+INDEX(TDU_Info!$F$5:$F$110,$T1338))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MATCH(1,(TDU_Info!$C$5:$C$110=$T$6)*(TDU_Info!$B$5:$B$110&lt;=$B1339),0)</f>
        <v>92</v>
      </c>
      <c r="U1339" s="152">
        <f>100*(INDEX(TDU_Info!$E$5:$E$110,$T1339)/T$11+INDEX(TDU_Info!$F$5:$F$110,$T1339))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MATCH(1,(TDU_Info!$C$5:$C$110=$T$6)*(TDU_Info!$B$5:$B$110&lt;=$B1340),0)</f>
        <v>92</v>
      </c>
      <c r="U1340" s="152">
        <f>100*(INDEX(TDU_Info!$E$5:$E$110,$T1340)/T$11+INDEX(TDU_Info!$F$5:$F$110,$T1340))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MATCH(1,(TDU_Info!$C$5:$C$110=$T$6)*(TDU_Info!$B$5:$B$110&lt;=$B1341),0)</f>
        <v>92</v>
      </c>
      <c r="U1341" s="152">
        <f>100*(INDEX(TDU_Info!$E$5:$E$110,$T1341)/T$11+INDEX(TDU_Info!$F$5:$F$110,$T1341))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MATCH(1,(TDU_Info!$C$5:$C$110=$T$6)*(TDU_Info!$B$5:$B$110&lt;=$B1342),0)</f>
        <v>92</v>
      </c>
      <c r="U1342" s="152">
        <f>100*(INDEX(TDU_Info!$E$5:$E$110,$T1342)/T$11+INDEX(TDU_Info!$F$5:$F$110,$T1342))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MATCH(1,(TDU_Info!$C$5:$C$110=$T$6)*(TDU_Info!$B$5:$B$110&lt;=$B1343),0)</f>
        <v>92</v>
      </c>
      <c r="U1343" s="152">
        <f>100*(INDEX(TDU_Info!$E$5:$E$110,$T1343)/T$11+INDEX(TDU_Info!$F$5:$F$110,$T1343))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MATCH(1,(TDU_Info!$C$5:$C$110=$T$6)*(TDU_Info!$B$5:$B$110&lt;=$B1344),0)</f>
        <v>92</v>
      </c>
      <c r="U1344" s="152">
        <f>100*(INDEX(TDU_Info!$E$5:$E$110,$T1344)/T$11+INDEX(TDU_Info!$F$5:$F$110,$T1344))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MATCH(1,(TDU_Info!$C$5:$C$110=$T$6)*(TDU_Info!$B$5:$B$110&lt;=$B1345),0)</f>
        <v>92</v>
      </c>
      <c r="U1345" s="152">
        <f>100*(INDEX(TDU_Info!$E$5:$E$110,$T1345)/T$11+INDEX(TDU_Info!$F$5:$F$110,$T1345))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MATCH(1,(TDU_Info!$C$5:$C$110=$T$6)*(TDU_Info!$B$5:$B$110&lt;=$B1346),0)</f>
        <v>92</v>
      </c>
      <c r="U1346" s="152">
        <f>100*(INDEX(TDU_Info!$E$5:$E$110,$T1346)/T$11+INDEX(TDU_Info!$F$5:$F$110,$T1346))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MATCH(1,(TDU_Info!$C$5:$C$110=$T$6)*(TDU_Info!$B$5:$B$110&lt;=$B1347),0)</f>
        <v>92</v>
      </c>
      <c r="U1347" s="152">
        <f>100*(INDEX(TDU_Info!$E$5:$E$110,$T1347)/T$11+INDEX(TDU_Info!$F$5:$F$110,$T1347))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MATCH(1,(TDU_Info!$C$5:$C$110=$T$6)*(TDU_Info!$B$5:$B$110&lt;=$B1348),0)</f>
        <v>92</v>
      </c>
      <c r="U1348" s="152">
        <f>100*(INDEX(TDU_Info!$E$5:$E$110,$T1348)/T$11+INDEX(TDU_Info!$F$5:$F$110,$T1348))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MATCH(1,(TDU_Info!$C$5:$C$110=$T$6)*(TDU_Info!$B$5:$B$110&lt;=$B1349),0)</f>
        <v>92</v>
      </c>
      <c r="U1349" s="152">
        <f>100*(INDEX(TDU_Info!$E$5:$E$110,$T1349)/T$11+INDEX(TDU_Info!$F$5:$F$110,$T1349))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MATCH(1,(TDU_Info!$C$5:$C$110=$T$6)*(TDU_Info!$B$5:$B$110&lt;=$B1350),0)</f>
        <v>92</v>
      </c>
      <c r="U1350" s="152">
        <f>100*(INDEX(TDU_Info!$E$5:$E$110,$T1350)/T$11+INDEX(TDU_Info!$F$5:$F$110,$T1350))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MATCH(1,(TDU_Info!$C$5:$C$110=$T$6)*(TDU_Info!$B$5:$B$110&lt;=$B1351),0)</f>
        <v>92</v>
      </c>
      <c r="U1351" s="152">
        <f>100*(INDEX(TDU_Info!$E$5:$E$110,$T1351)/T$11+INDEX(TDU_Info!$F$5:$F$110,$T1351))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MATCH(1,(TDU_Info!$C$5:$C$110=$T$6)*(TDU_Info!$B$5:$B$110&lt;=$B1352),0)</f>
        <v>92</v>
      </c>
      <c r="U1352" s="152">
        <f>100*(INDEX(TDU_Info!$E$5:$E$110,$T1352)/T$11+INDEX(TDU_Info!$F$5:$F$110,$T1352))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MATCH(1,(TDU_Info!$C$5:$C$110=$T$6)*(TDU_Info!$B$5:$B$110&lt;=$B1353),0)</f>
        <v>92</v>
      </c>
      <c r="U1353" s="152">
        <f>100*(INDEX(TDU_Info!$E$5:$E$110,$T1353)/T$11+INDEX(TDU_Info!$F$5:$F$110,$T1353))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MATCH(1,(TDU_Info!$C$5:$C$110=$T$6)*(TDU_Info!$B$5:$B$110&lt;=$B1354),0)</f>
        <v>92</v>
      </c>
      <c r="U1354" s="152">
        <f>100*(INDEX(TDU_Info!$E$5:$E$110,$T1354)/T$11+INDEX(TDU_Info!$F$5:$F$110,$T1354))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MATCH(1,(TDU_Info!$C$5:$C$110=$T$6)*(TDU_Info!$B$5:$B$110&lt;=$B1355),0)</f>
        <v>92</v>
      </c>
      <c r="U1355" s="152">
        <f>100*(INDEX(TDU_Info!$E$5:$E$110,$T1355)/T$11+INDEX(TDU_Info!$F$5:$F$110,$T1355))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MATCH(1,(TDU_Info!$C$5:$C$110=$T$6)*(TDU_Info!$B$5:$B$110&lt;=$B1356),0)</f>
        <v>91</v>
      </c>
      <c r="U1356" s="152">
        <f>100*(INDEX(TDU_Info!$E$5:$E$110,$T1356)/T$11+INDEX(TDU_Info!$F$5:$F$110,$T1356))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MATCH(1,(TDU_Info!$C$5:$C$110=$T$6)*(TDU_Info!$B$5:$B$110&lt;=$B1357),0)</f>
        <v>91</v>
      </c>
      <c r="U1357" s="152">
        <f>100*(INDEX(TDU_Info!$E$5:$E$110,$T1357)/T$11+INDEX(TDU_Info!$F$5:$F$110,$T1357))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MATCH(1,(TDU_Info!$C$5:$C$110=$T$6)*(TDU_Info!$B$5:$B$110&lt;=$B1358),0)</f>
        <v>91</v>
      </c>
      <c r="U1358" s="152">
        <f>100*(INDEX(TDU_Info!$E$5:$E$110,$T1358)/T$11+INDEX(TDU_Info!$F$5:$F$110,$T1358))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MATCH(1,(TDU_Info!$C$5:$C$110=$T$6)*(TDU_Info!$B$5:$B$110&lt;=$B1359),0)</f>
        <v>91</v>
      </c>
      <c r="U1359" s="152">
        <f>100*(INDEX(TDU_Info!$E$5:$E$110,$T1359)/T$11+INDEX(TDU_Info!$F$5:$F$110,$T1359))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MATCH(1,(TDU_Info!$C$5:$C$110=$T$6)*(TDU_Info!$B$5:$B$110&lt;=$B1360),0)</f>
        <v>91</v>
      </c>
      <c r="U1360" s="152">
        <f>100*(INDEX(TDU_Info!$E$5:$E$110,$T1360)/T$11+INDEX(TDU_Info!$F$5:$F$110,$T1360))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17" si="273">(INDEX($V1361:$AP1361,D$7)*(1+D$8)+D$9*100/$T$11)*(1+D$10)+(D$11*100/$T$11)+($T$5+D$10)*$U1361</f>
        <v>4.21</v>
      </c>
      <c r="E1361" s="152"/>
      <c r="F1361" s="152"/>
      <c r="G1361" s="152"/>
      <c r="H1361" s="152" t="e">
        <f t="shared" ref="H1361:H3517" si="274">IF(ISNA($C1361),NA(),(INDEX($V1361:$AP1361,H$7)*(1+H$8)+H$9*100/$T$11)*(1+H$10)+(H$11*100/$T$11)+($T$5+H$10)*$U1361)</f>
        <v>#N/A</v>
      </c>
      <c r="I1361" s="152"/>
      <c r="J1361" s="152" t="e">
        <f t="shared" ref="J1361:J3517" si="275">(INDEX($V1361:$AP1361,J$7)*(1+J$8)+J$9*100/$T$11)*(1+J$10)+(J$11*100/$T$11)+($T$5+J$10)*$U1361</f>
        <v>#N/A</v>
      </c>
      <c r="K1361" s="152"/>
      <c r="L1361" s="152"/>
      <c r="M1361" s="152"/>
      <c r="N1361" s="152"/>
      <c r="O1361" s="152"/>
      <c r="P1361" s="152"/>
      <c r="Q1361" s="152"/>
      <c r="R1361" s="152"/>
      <c r="S1361" s="152"/>
      <c r="T1361" s="153" cm="1">
        <f t="array" ref="T1361">MATCH(1,(TDU_Info!$C$5:$C$110=$T$6)*(TDU_Info!$B$5:$B$110&lt;=$B1361),0)</f>
        <v>91</v>
      </c>
      <c r="U1361" s="152">
        <f>100*(INDEX(TDU_Info!$E$5:$E$110,$T1361)/T$11+INDEX(TDU_Info!$F$5:$F$110,$T1361))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17" si="276">IF(DAY($B1361)=1,NA(),VLOOKUP($B1361,$BB$17:$BD$64,2,TRUE))</f>
        <v>#N/A</v>
      </c>
      <c r="AM1361" s="152" t="e">
        <f t="shared" ref="AM1361:AM3517" si="277">IF(DAY($B1361)=1,NA(),VLOOKUP($B1361,$BB$17:$BD$64,3,TRUE))</f>
        <v>#N/A</v>
      </c>
      <c r="AN1361" s="152" t="e">
        <f>NA()</f>
        <v>#N/A</v>
      </c>
      <c r="AO1361" s="152" t="e">
        <f>NA()</f>
        <v>#N/A</v>
      </c>
      <c r="AP1361" s="152">
        <f t="shared" si="269"/>
        <v>7.6770000000000005</v>
      </c>
      <c r="AQ1361" s="152"/>
      <c r="AR1361" s="152"/>
      <c r="AS1361" s="153">
        <f t="shared" ref="AS1361:AS3517" si="278">ROUNDUP(B1361-DATE(YEAR(B1361),1,1),0)</f>
        <v>250</v>
      </c>
      <c r="AT1361" s="153">
        <f t="shared" si="270"/>
        <v>0</v>
      </c>
      <c r="AU1361" s="153">
        <f t="shared" si="271"/>
        <v>1</v>
      </c>
      <c r="AV1361" s="153">
        <f t="shared" si="272"/>
        <v>0</v>
      </c>
      <c r="BA1361">
        <f t="shared" ref="BA1361:BA3517" si="279">DAY(C1361)</f>
        <v>6</v>
      </c>
    </row>
    <row r="1362" spans="2:53" x14ac:dyDescent="0.25">
      <c r="B1362" s="155">
        <f t="shared" si="236"/>
        <v>44081.999305555553</v>
      </c>
      <c r="C1362" s="155">
        <f t="shared" ref="C1362:C353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MATCH(1,(TDU_Info!$C$5:$C$110=$T$6)*(TDU_Info!$B$5:$B$110&lt;=$B1362),0)</f>
        <v>91</v>
      </c>
      <c r="U1362" s="152">
        <f>100*(INDEX(TDU_Info!$E$5:$E$110,$T1362)/T$11+INDEX(TDU_Info!$F$5:$F$110,$T1362))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MATCH(1,(TDU_Info!$C$5:$C$110=$T$6)*(TDU_Info!$B$5:$B$110&lt;=$B1363),0)</f>
        <v>91</v>
      </c>
      <c r="U1363" s="152">
        <f>100*(INDEX(TDU_Info!$E$5:$E$110,$T1363)/T$11+INDEX(TDU_Info!$F$5:$F$110,$T1363))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MATCH(1,(TDU_Info!$C$5:$C$110=$T$6)*(TDU_Info!$B$5:$B$110&lt;=$B1364),0)</f>
        <v>91</v>
      </c>
      <c r="U1364" s="152">
        <f>100*(INDEX(TDU_Info!$E$5:$E$110,$T1364)/T$11+INDEX(TDU_Info!$F$5:$F$110,$T1364))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MATCH(1,(TDU_Info!$C$5:$C$110=$T$6)*(TDU_Info!$B$5:$B$110&lt;=$B1365),0)</f>
        <v>91</v>
      </c>
      <c r="U1365" s="152">
        <f>100*(INDEX(TDU_Info!$E$5:$E$110,$T1365)/T$11+INDEX(TDU_Info!$F$5:$F$110,$T1365))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MATCH(1,(TDU_Info!$C$5:$C$110=$T$6)*(TDU_Info!$B$5:$B$110&lt;=$B1366),0)</f>
        <v>91</v>
      </c>
      <c r="U1366" s="152">
        <f>100*(INDEX(TDU_Info!$E$5:$E$110,$T1366)/T$11+INDEX(TDU_Info!$F$5:$F$110,$T1366))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MATCH(1,(TDU_Info!$C$5:$C$110=$T$6)*(TDU_Info!$B$5:$B$110&lt;=$B1367),0)</f>
        <v>91</v>
      </c>
      <c r="U1367" s="152">
        <f>100*(INDEX(TDU_Info!$E$5:$E$110,$T1367)/T$11+INDEX(TDU_Info!$F$5:$F$110,$T1367))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MATCH(1,(TDU_Info!$C$5:$C$110=$T$6)*(TDU_Info!$B$5:$B$110&lt;=$B1368),0)</f>
        <v>91</v>
      </c>
      <c r="U1368" s="152">
        <f>100*(INDEX(TDU_Info!$E$5:$E$110,$T1368)/T$11+INDEX(TDU_Info!$F$5:$F$110,$T1368))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MATCH(1,(TDU_Info!$C$5:$C$110=$T$6)*(TDU_Info!$B$5:$B$110&lt;=$B1369),0)</f>
        <v>91</v>
      </c>
      <c r="U1369" s="152">
        <f>100*(INDEX(TDU_Info!$E$5:$E$110,$T1369)/T$11+INDEX(TDU_Info!$F$5:$F$110,$T1369))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MATCH(1,(TDU_Info!$C$5:$C$110=$T$6)*(TDU_Info!$B$5:$B$110&lt;=$B1370),0)</f>
        <v>91</v>
      </c>
      <c r="U1370" s="152">
        <f>100*(INDEX(TDU_Info!$E$5:$E$110,$T1370)/T$11+INDEX(TDU_Info!$F$5:$F$110,$T1370))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MATCH(1,(TDU_Info!$C$5:$C$110=$T$6)*(TDU_Info!$B$5:$B$110&lt;=$B1371),0)</f>
        <v>91</v>
      </c>
      <c r="U1371" s="152">
        <f>100*(INDEX(TDU_Info!$E$5:$E$110,$T1371)/T$11+INDEX(TDU_Info!$F$5:$F$110,$T1371))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MATCH(1,(TDU_Info!$C$5:$C$110=$T$6)*(TDU_Info!$B$5:$B$110&lt;=$B1372),0)</f>
        <v>91</v>
      </c>
      <c r="U1372" s="152">
        <f>100*(INDEX(TDU_Info!$E$5:$E$110,$T1372)/T$11+INDEX(TDU_Info!$F$5:$F$110,$T1372))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MATCH(1,(TDU_Info!$C$5:$C$110=$T$6)*(TDU_Info!$B$5:$B$110&lt;=$B1373),0)</f>
        <v>91</v>
      </c>
      <c r="U1373" s="152">
        <f>100*(INDEX(TDU_Info!$E$5:$E$110,$T1373)/T$11+INDEX(TDU_Info!$F$5:$F$110,$T1373))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MATCH(1,(TDU_Info!$C$5:$C$110=$T$6)*(TDU_Info!$B$5:$B$110&lt;=$B1374),0)</f>
        <v>91</v>
      </c>
      <c r="U1374" s="152">
        <f>100*(INDEX(TDU_Info!$E$5:$E$110,$T1374)/T$11+INDEX(TDU_Info!$F$5:$F$110,$T1374))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MATCH(1,(TDU_Info!$C$5:$C$110=$T$6)*(TDU_Info!$B$5:$B$110&lt;=$B1375),0)</f>
        <v>91</v>
      </c>
      <c r="U1375" s="152">
        <f>100*(INDEX(TDU_Info!$E$5:$E$110,$T1375)/T$11+INDEX(TDU_Info!$F$5:$F$110,$T1375))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MATCH(1,(TDU_Info!$C$5:$C$110=$T$6)*(TDU_Info!$B$5:$B$110&lt;=$B1376),0)</f>
        <v>91</v>
      </c>
      <c r="U1376" s="152">
        <f>100*(INDEX(TDU_Info!$E$5:$E$110,$T1376)/T$11+INDEX(TDU_Info!$F$5:$F$110,$T1376))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MATCH(1,(TDU_Info!$C$5:$C$110=$T$6)*(TDU_Info!$B$5:$B$110&lt;=$B1377),0)</f>
        <v>91</v>
      </c>
      <c r="U1377" s="152">
        <f>100*(INDEX(TDU_Info!$E$5:$E$110,$T1377)/T$11+INDEX(TDU_Info!$F$5:$F$110,$T1377))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MATCH(1,(TDU_Info!$C$5:$C$110=$T$6)*(TDU_Info!$B$5:$B$110&lt;=$B1378),0)</f>
        <v>91</v>
      </c>
      <c r="U1378" s="152">
        <f>100*(INDEX(TDU_Info!$E$5:$E$110,$T1378)/T$11+INDEX(TDU_Info!$F$5:$F$110,$T1378))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MATCH(1,(TDU_Info!$C$5:$C$110=$T$6)*(TDU_Info!$B$5:$B$110&lt;=$B1379),0)</f>
        <v>91</v>
      </c>
      <c r="U1379" s="152">
        <f>100*(INDEX(TDU_Info!$E$5:$E$110,$T1379)/T$11+INDEX(TDU_Info!$F$5:$F$110,$T1379))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MATCH(1,(TDU_Info!$C$5:$C$110=$T$6)*(TDU_Info!$B$5:$B$110&lt;=$B1380),0)</f>
        <v>91</v>
      </c>
      <c r="U1380" s="152">
        <f>100*(INDEX(TDU_Info!$E$5:$E$110,$T1380)/T$11+INDEX(TDU_Info!$F$5:$F$110,$T1380))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MATCH(1,(TDU_Info!$C$5:$C$110=$T$6)*(TDU_Info!$B$5:$B$110&lt;=$B1381),0)</f>
        <v>91</v>
      </c>
      <c r="U1381" s="152">
        <f>100*(INDEX(TDU_Info!$E$5:$E$110,$T1381)/T$11+INDEX(TDU_Info!$F$5:$F$110,$T1381))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MATCH(1,(TDU_Info!$C$5:$C$110=$T$6)*(TDU_Info!$B$5:$B$110&lt;=$B1382),0)</f>
        <v>91</v>
      </c>
      <c r="U1382" s="152">
        <f>100*(INDEX(TDU_Info!$E$5:$E$110,$T1382)/T$11+INDEX(TDU_Info!$F$5:$F$110,$T1382))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MATCH(1,(TDU_Info!$C$5:$C$110=$T$6)*(TDU_Info!$B$5:$B$110&lt;=$B1383),0)</f>
        <v>91</v>
      </c>
      <c r="U1383" s="152">
        <f>100*(INDEX(TDU_Info!$E$5:$E$110,$T1383)/T$11+INDEX(TDU_Info!$F$5:$F$110,$T1383))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MATCH(1,(TDU_Info!$C$5:$C$110=$T$6)*(TDU_Info!$B$5:$B$110&lt;=$B1384),0)</f>
        <v>91</v>
      </c>
      <c r="U1384" s="152">
        <f>100*(INDEX(TDU_Info!$E$5:$E$110,$T1384)/T$11+INDEX(TDU_Info!$F$5:$F$110,$T1384))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MATCH(1,(TDU_Info!$C$5:$C$110=$T$6)*(TDU_Info!$B$5:$B$110&lt;=$B1385),0)</f>
        <v>91</v>
      </c>
      <c r="U1385" s="152">
        <f>100*(INDEX(TDU_Info!$E$5:$E$110,$T1385)/T$11+INDEX(TDU_Info!$F$5:$F$110,$T1385))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MATCH(1,(TDU_Info!$C$5:$C$110=$T$6)*(TDU_Info!$B$5:$B$110&lt;=$B1386),0)</f>
        <v>91</v>
      </c>
      <c r="U1386" s="152">
        <f>100*(INDEX(TDU_Info!$E$5:$E$110,$T1386)/T$11+INDEX(TDU_Info!$F$5:$F$110,$T1386))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MATCH(1,(TDU_Info!$C$5:$C$110=$T$6)*(TDU_Info!$B$5:$B$110&lt;=$B1387),0)</f>
        <v>91</v>
      </c>
      <c r="U1387" s="152">
        <f>100*(INDEX(TDU_Info!$E$5:$E$110,$T1387)/T$11+INDEX(TDU_Info!$F$5:$F$110,$T1387))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MATCH(1,(TDU_Info!$C$5:$C$110=$T$6)*(TDU_Info!$B$5:$B$110&lt;=$B1388),0)</f>
        <v>91</v>
      </c>
      <c r="U1388" s="152">
        <f>100*(INDEX(TDU_Info!$E$5:$E$110,$T1388)/T$11+INDEX(TDU_Info!$F$5:$F$110,$T1388))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MATCH(1,(TDU_Info!$C$5:$C$110=$T$6)*(TDU_Info!$B$5:$B$110&lt;=$B1389),0)</f>
        <v>91</v>
      </c>
      <c r="U1389" s="152">
        <f>100*(INDEX(TDU_Info!$E$5:$E$110,$T1389)/T$11+INDEX(TDU_Info!$F$5:$F$110,$T1389))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MATCH(1,(TDU_Info!$C$5:$C$110=$T$6)*(TDU_Info!$B$5:$B$110&lt;=$B1390),0)</f>
        <v>91</v>
      </c>
      <c r="U1390" s="152">
        <f>100*(INDEX(TDU_Info!$E$5:$E$110,$T1390)/T$11+INDEX(TDU_Info!$F$5:$F$110,$T1390))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MATCH(1,(TDU_Info!$C$5:$C$110=$T$6)*(TDU_Info!$B$5:$B$110&lt;=$B1391),0)</f>
        <v>91</v>
      </c>
      <c r="U1391" s="152">
        <f>100*(INDEX(TDU_Info!$E$5:$E$110,$T1391)/T$11+INDEX(TDU_Info!$F$5:$F$110,$T1391))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MATCH(1,(TDU_Info!$C$5:$C$110=$T$6)*(TDU_Info!$B$5:$B$110&lt;=$B1392),0)</f>
        <v>91</v>
      </c>
      <c r="U1392" s="152">
        <f>100*(INDEX(TDU_Info!$E$5:$E$110,$T1392)/T$11+INDEX(TDU_Info!$F$5:$F$110,$T1392))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MATCH(1,(TDU_Info!$C$5:$C$110=$T$6)*(TDU_Info!$B$5:$B$110&lt;=$B1393),0)</f>
        <v>91</v>
      </c>
      <c r="U1393" s="152">
        <f>100*(INDEX(TDU_Info!$E$5:$E$110,$T1393)/T$11+INDEX(TDU_Info!$F$5:$F$110,$T1393))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MATCH(1,(TDU_Info!$C$5:$C$110=$T$6)*(TDU_Info!$B$5:$B$110&lt;=$B1394),0)</f>
        <v>91</v>
      </c>
      <c r="U1394" s="152">
        <f>100*(INDEX(TDU_Info!$E$5:$E$110,$T1394)/T$11+INDEX(TDU_Info!$F$5:$F$110,$T1394))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MATCH(1,(TDU_Info!$C$5:$C$110=$T$6)*(TDU_Info!$B$5:$B$110&lt;=$B1395),0)</f>
        <v>91</v>
      </c>
      <c r="U1395" s="152">
        <f>100*(INDEX(TDU_Info!$E$5:$E$110,$T1395)/T$11+INDEX(TDU_Info!$F$5:$F$110,$T1395))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MATCH(1,(TDU_Info!$C$5:$C$110=$T$6)*(TDU_Info!$B$5:$B$110&lt;=$B1396),0)</f>
        <v>91</v>
      </c>
      <c r="U1396" s="152">
        <f>100*(INDEX(TDU_Info!$E$5:$E$110,$T1396)/T$11+INDEX(TDU_Info!$F$5:$F$110,$T1396))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MATCH(1,(TDU_Info!$C$5:$C$110=$T$6)*(TDU_Info!$B$5:$B$110&lt;=$B1397),0)</f>
        <v>91</v>
      </c>
      <c r="U1397" s="152">
        <f>100*(INDEX(TDU_Info!$E$5:$E$110,$T1397)/T$11+INDEX(TDU_Info!$F$5:$F$110,$T1397))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MATCH(1,(TDU_Info!$C$5:$C$110=$T$6)*(TDU_Info!$B$5:$B$110&lt;=$B1398),0)</f>
        <v>91</v>
      </c>
      <c r="U1398" s="152">
        <f>100*(INDEX(TDU_Info!$E$5:$E$110,$T1398)/T$11+INDEX(TDU_Info!$F$5:$F$110,$T1398))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MATCH(1,(TDU_Info!$C$5:$C$110=$T$6)*(TDU_Info!$B$5:$B$110&lt;=$B1399),0)</f>
        <v>91</v>
      </c>
      <c r="U1399" s="152">
        <f>100*(INDEX(TDU_Info!$E$5:$E$110,$T1399)/T$11+INDEX(TDU_Info!$F$5:$F$110,$T1399))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MATCH(1,(TDU_Info!$C$5:$C$110=$T$6)*(TDU_Info!$B$5:$B$110&lt;=$B1400),0)</f>
        <v>91</v>
      </c>
      <c r="U1400" s="152">
        <f>100*(INDEX(TDU_Info!$E$5:$E$110,$T1400)/T$11+INDEX(TDU_Info!$F$5:$F$110,$T1400))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MATCH(1,(TDU_Info!$C$5:$C$110=$T$6)*(TDU_Info!$B$5:$B$110&lt;=$B1401),0)</f>
        <v>91</v>
      </c>
      <c r="U1401" s="152">
        <f>100*(INDEX(TDU_Info!$E$5:$E$110,$T1401)/T$11+INDEX(TDU_Info!$F$5:$F$110,$T1401))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MATCH(1,(TDU_Info!$C$5:$C$110=$T$6)*(TDU_Info!$B$5:$B$110&lt;=$B1402),0)</f>
        <v>91</v>
      </c>
      <c r="U1402" s="152">
        <f>100*(INDEX(TDU_Info!$E$5:$E$110,$T1402)/T$11+INDEX(TDU_Info!$F$5:$F$110,$T1402))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MATCH(1,(TDU_Info!$C$5:$C$110=$T$6)*(TDU_Info!$B$5:$B$110&lt;=$B1403),0)</f>
        <v>91</v>
      </c>
      <c r="U1403" s="152">
        <f>100*(INDEX(TDU_Info!$E$5:$E$110,$T1403)/T$11+INDEX(TDU_Info!$F$5:$F$110,$T1403))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MATCH(1,(TDU_Info!$C$5:$C$110=$T$6)*(TDU_Info!$B$5:$B$110&lt;=$B1404),0)</f>
        <v>91</v>
      </c>
      <c r="U1404" s="152">
        <f>100*(INDEX(TDU_Info!$E$5:$E$110,$T1404)/T$11+INDEX(TDU_Info!$F$5:$F$110,$T1404))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MATCH(1,(TDU_Info!$C$5:$C$110=$T$6)*(TDU_Info!$B$5:$B$110&lt;=$B1405),0)</f>
        <v>91</v>
      </c>
      <c r="U1405" s="152">
        <f>100*(INDEX(TDU_Info!$E$5:$E$110,$T1405)/T$11+INDEX(TDU_Info!$F$5:$F$110,$T1405))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MATCH(1,(TDU_Info!$C$5:$C$110=$T$6)*(TDU_Info!$B$5:$B$110&lt;=$B1406),0)</f>
        <v>91</v>
      </c>
      <c r="U1406" s="152">
        <f>100*(INDEX(TDU_Info!$E$5:$E$110,$T1406)/T$11+INDEX(TDU_Info!$F$5:$F$110,$T1406))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MATCH(1,(TDU_Info!$C$5:$C$110=$T$6)*(TDU_Info!$B$5:$B$110&lt;=$B1407),0)</f>
        <v>91</v>
      </c>
      <c r="U1407" s="152">
        <f>100*(INDEX(TDU_Info!$E$5:$E$110,$T1407)/T$11+INDEX(TDU_Info!$F$5:$F$110,$T1407))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MATCH(1,(TDU_Info!$C$5:$C$110=$T$6)*(TDU_Info!$B$5:$B$110&lt;=$B1408),0)</f>
        <v>91</v>
      </c>
      <c r="U1408" s="152">
        <f>100*(INDEX(TDU_Info!$E$5:$E$110,$T1408)/T$11+INDEX(TDU_Info!$F$5:$F$110,$T1408))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MATCH(1,(TDU_Info!$C$5:$C$110=$T$6)*(TDU_Info!$B$5:$B$110&lt;=$B1409),0)</f>
        <v>91</v>
      </c>
      <c r="U1409" s="152">
        <f>100*(INDEX(TDU_Info!$E$5:$E$110,$T1409)/T$11+INDEX(TDU_Info!$F$5:$F$110,$T1409))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MATCH(1,(TDU_Info!$C$5:$C$110=$T$6)*(TDU_Info!$B$5:$B$110&lt;=$B1410),0)</f>
        <v>91</v>
      </c>
      <c r="U1410" s="152">
        <f>100*(INDEX(TDU_Info!$E$5:$E$110,$T1410)/T$11+INDEX(TDU_Info!$F$5:$F$110,$T1410))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MATCH(1,(TDU_Info!$C$5:$C$110=$T$6)*(TDU_Info!$B$5:$B$110&lt;=$B1411),0)</f>
        <v>91</v>
      </c>
      <c r="U1411" s="152">
        <f>100*(INDEX(TDU_Info!$E$5:$E$110,$T1411)/T$11+INDEX(TDU_Info!$F$5:$F$110,$T1411))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MATCH(1,(TDU_Info!$C$5:$C$110=$T$6)*(TDU_Info!$B$5:$B$110&lt;=$B1412),0)</f>
        <v>91</v>
      </c>
      <c r="U1412" s="152">
        <f>100*(INDEX(TDU_Info!$E$5:$E$110,$T1412)/T$11+INDEX(TDU_Info!$F$5:$F$110,$T1412))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MATCH(1,(TDU_Info!$C$5:$C$110=$T$6)*(TDU_Info!$B$5:$B$110&lt;=$B1413),0)</f>
        <v>91</v>
      </c>
      <c r="U1413" s="152">
        <f>100*(INDEX(TDU_Info!$E$5:$E$110,$T1413)/T$11+INDEX(TDU_Info!$F$5:$F$110,$T1413))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MATCH(1,(TDU_Info!$C$5:$C$110=$T$6)*(TDU_Info!$B$5:$B$110&lt;=$B1414),0)</f>
        <v>91</v>
      </c>
      <c r="U1414" s="152">
        <f>100*(INDEX(TDU_Info!$E$5:$E$110,$T1414)/T$11+INDEX(TDU_Info!$F$5:$F$110,$T1414))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MATCH(1,(TDU_Info!$C$5:$C$110=$T$6)*(TDU_Info!$B$5:$B$110&lt;=$B1415),0)</f>
        <v>91</v>
      </c>
      <c r="U1415" s="152">
        <f>100*(INDEX(TDU_Info!$E$5:$E$110,$T1415)/T$11+INDEX(TDU_Info!$F$5:$F$110,$T1415))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MATCH(1,(TDU_Info!$C$5:$C$110=$T$6)*(TDU_Info!$B$5:$B$110&lt;=$B1416),0)</f>
        <v>91</v>
      </c>
      <c r="U1416" s="152">
        <f>100*(INDEX(TDU_Info!$E$5:$E$110,$T1416)/T$11+INDEX(TDU_Info!$F$5:$F$110,$T1416))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MATCH(1,(TDU_Info!$C$5:$C$110=$T$6)*(TDU_Info!$B$5:$B$110&lt;=$B1417),0)</f>
        <v>91</v>
      </c>
      <c r="U1417" s="152">
        <f>100*(INDEX(TDU_Info!$E$5:$E$110,$T1417)/T$11+INDEX(TDU_Info!$F$5:$F$110,$T1417))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MATCH(1,(TDU_Info!$C$5:$C$110=$T$6)*(TDU_Info!$B$5:$B$110&lt;=$B1418),0)</f>
        <v>91</v>
      </c>
      <c r="U1418" s="152">
        <f>100*(INDEX(TDU_Info!$E$5:$E$110,$T1418)/T$11+INDEX(TDU_Info!$F$5:$F$110,$T1418))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MATCH(1,(TDU_Info!$C$5:$C$110=$T$6)*(TDU_Info!$B$5:$B$110&lt;=$B1419),0)</f>
        <v>91</v>
      </c>
      <c r="U1419" s="152">
        <f>100*(INDEX(TDU_Info!$E$5:$E$110,$T1419)/T$11+INDEX(TDU_Info!$F$5:$F$110,$T1419))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MATCH(1,(TDU_Info!$C$5:$C$110=$T$6)*(TDU_Info!$B$5:$B$110&lt;=$B1420),0)</f>
        <v>91</v>
      </c>
      <c r="U1420" s="152">
        <f>100*(INDEX(TDU_Info!$E$5:$E$110,$T1420)/T$11+INDEX(TDU_Info!$F$5:$F$110,$T1420))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MATCH(1,(TDU_Info!$C$5:$C$110=$T$6)*(TDU_Info!$B$5:$B$110&lt;=$B1421),0)</f>
        <v>91</v>
      </c>
      <c r="U1421" s="152">
        <f>100*(INDEX(TDU_Info!$E$5:$E$110,$T1421)/T$11+INDEX(TDU_Info!$F$5:$F$110,$T1421))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MATCH(1,(TDU_Info!$C$5:$C$110=$T$6)*(TDU_Info!$B$5:$B$110&lt;=$B1422),0)</f>
        <v>91</v>
      </c>
      <c r="U1422" s="152">
        <f>100*(INDEX(TDU_Info!$E$5:$E$110,$T1422)/T$11+INDEX(TDU_Info!$F$5:$F$110,$T1422))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MATCH(1,(TDU_Info!$C$5:$C$110=$T$6)*(TDU_Info!$B$5:$B$110&lt;=$B1423),0)</f>
        <v>91</v>
      </c>
      <c r="U1423" s="152">
        <f>100*(INDEX(TDU_Info!$E$5:$E$110,$T1423)/T$11+INDEX(TDU_Info!$F$5:$F$110,$T1423))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MATCH(1,(TDU_Info!$C$5:$C$110=$T$6)*(TDU_Info!$B$5:$B$110&lt;=$B1424),0)</f>
        <v>91</v>
      </c>
      <c r="U1424" s="152">
        <f>100*(INDEX(TDU_Info!$E$5:$E$110,$T1424)/T$11+INDEX(TDU_Info!$F$5:$F$110,$T1424))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MATCH(1,(TDU_Info!$C$5:$C$110=$T$6)*(TDU_Info!$B$5:$B$110&lt;=$B1425),0)</f>
        <v>91</v>
      </c>
      <c r="U1425" s="152">
        <f>100*(INDEX(TDU_Info!$E$5:$E$110,$T1425)/T$11+INDEX(TDU_Info!$F$5:$F$110,$T1425))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MATCH(1,(TDU_Info!$C$5:$C$110=$T$6)*(TDU_Info!$B$5:$B$110&lt;=$B1426),0)</f>
        <v>91</v>
      </c>
      <c r="U1426" s="152">
        <f>100*(INDEX(TDU_Info!$E$5:$E$110,$T1426)/T$11+INDEX(TDU_Info!$F$5:$F$110,$T1426))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MATCH(1,(TDU_Info!$C$5:$C$110=$T$6)*(TDU_Info!$B$5:$B$110&lt;=$B1427),0)</f>
        <v>91</v>
      </c>
      <c r="U1427" s="152">
        <f>100*(INDEX(TDU_Info!$E$5:$E$110,$T1427)/T$11+INDEX(TDU_Info!$F$5:$F$110,$T1427))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MATCH(1,(TDU_Info!$C$5:$C$110=$T$6)*(TDU_Info!$B$5:$B$110&lt;=$B1428),0)</f>
        <v>91</v>
      </c>
      <c r="U1428" s="152">
        <f>100*(INDEX(TDU_Info!$E$5:$E$110,$T1428)/T$11+INDEX(TDU_Info!$F$5:$F$110,$T1428))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MATCH(1,(TDU_Info!$C$5:$C$110=$T$6)*(TDU_Info!$B$5:$B$110&lt;=$B1429),0)</f>
        <v>91</v>
      </c>
      <c r="U1429" s="152">
        <f>100*(INDEX(TDU_Info!$E$5:$E$110,$T1429)/T$11+INDEX(TDU_Info!$F$5:$F$110,$T1429))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MATCH(1,(TDU_Info!$C$5:$C$110=$T$6)*(TDU_Info!$B$5:$B$110&lt;=$B1430),0)</f>
        <v>91</v>
      </c>
      <c r="U1430" s="152">
        <f>100*(INDEX(TDU_Info!$E$5:$E$110,$T1430)/T$11+INDEX(TDU_Info!$F$5:$F$110,$T1430))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MATCH(1,(TDU_Info!$C$5:$C$110=$T$6)*(TDU_Info!$B$5:$B$110&lt;=$B1431),0)</f>
        <v>91</v>
      </c>
      <c r="U1431" s="152">
        <f>100*(INDEX(TDU_Info!$E$5:$E$110,$T1431)/T$11+INDEX(TDU_Info!$F$5:$F$110,$T1431))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MATCH(1,(TDU_Info!$C$5:$C$110=$T$6)*(TDU_Info!$B$5:$B$110&lt;=$B1432),0)</f>
        <v>91</v>
      </c>
      <c r="U1432" s="152">
        <f>100*(INDEX(TDU_Info!$E$5:$E$110,$T1432)/T$11+INDEX(TDU_Info!$F$5:$F$110,$T1432))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MATCH(1,(TDU_Info!$C$5:$C$110=$T$6)*(TDU_Info!$B$5:$B$110&lt;=$B1433),0)</f>
        <v>91</v>
      </c>
      <c r="U1433" s="152">
        <f>100*(INDEX(TDU_Info!$E$5:$E$110,$T1433)/T$11+INDEX(TDU_Info!$F$5:$F$110,$T1433))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MATCH(1,(TDU_Info!$C$5:$C$110=$T$6)*(TDU_Info!$B$5:$B$110&lt;=$B1434),0)</f>
        <v>91</v>
      </c>
      <c r="U1434" s="152">
        <f>100*(INDEX(TDU_Info!$E$5:$E$110,$T1434)/T$11+INDEX(TDU_Info!$F$5:$F$110,$T1434))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MATCH(1,(TDU_Info!$C$5:$C$110=$T$6)*(TDU_Info!$B$5:$B$110&lt;=$B1435),0)</f>
        <v>91</v>
      </c>
      <c r="U1435" s="152">
        <f>100*(INDEX(TDU_Info!$E$5:$E$110,$T1435)/T$11+INDEX(TDU_Info!$F$5:$F$110,$T1435))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MATCH(1,(TDU_Info!$C$5:$C$110=$T$6)*(TDU_Info!$B$5:$B$110&lt;=$B1436),0)</f>
        <v>91</v>
      </c>
      <c r="U1436" s="152">
        <f>100*(INDEX(TDU_Info!$E$5:$E$110,$T1436)/T$11+INDEX(TDU_Info!$F$5:$F$110,$T1436))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MATCH(1,(TDU_Info!$C$5:$C$110=$T$6)*(TDU_Info!$B$5:$B$110&lt;=$B1437),0)</f>
        <v>91</v>
      </c>
      <c r="U1437" s="152">
        <f>100*(INDEX(TDU_Info!$E$5:$E$110,$T1437)/T$11+INDEX(TDU_Info!$F$5:$F$110,$T1437))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MATCH(1,(TDU_Info!$C$5:$C$110=$T$6)*(TDU_Info!$B$5:$B$110&lt;=$B1438),0)</f>
        <v>91</v>
      </c>
      <c r="U1438" s="152">
        <f>100*(INDEX(TDU_Info!$E$5:$E$110,$T1438)/T$11+INDEX(TDU_Info!$F$5:$F$110,$T1438))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MATCH(1,(TDU_Info!$C$5:$C$110=$T$6)*(TDU_Info!$B$5:$B$110&lt;=$B1439),0)</f>
        <v>91</v>
      </c>
      <c r="U1439" s="152">
        <f>100*(INDEX(TDU_Info!$E$5:$E$110,$T1439)/T$11+INDEX(TDU_Info!$F$5:$F$110,$T1439))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MATCH(1,(TDU_Info!$C$5:$C$110=$T$6)*(TDU_Info!$B$5:$B$110&lt;=$B1440),0)</f>
        <v>91</v>
      </c>
      <c r="U1440" s="152">
        <f>100*(INDEX(TDU_Info!$E$5:$E$110,$T1440)/T$11+INDEX(TDU_Info!$F$5:$F$110,$T1440))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MATCH(1,(TDU_Info!$C$5:$C$110=$T$6)*(TDU_Info!$B$5:$B$110&lt;=$B1441),0)</f>
        <v>91</v>
      </c>
      <c r="U1441" s="152">
        <f>100*(INDEX(TDU_Info!$E$5:$E$110,$T1441)/T$11+INDEX(TDU_Info!$F$5:$F$110,$T1441))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MATCH(1,(TDU_Info!$C$5:$C$110=$T$6)*(TDU_Info!$B$5:$B$110&lt;=$B1442),0)</f>
        <v>91</v>
      </c>
      <c r="U1442" s="152">
        <f>100*(INDEX(TDU_Info!$E$5:$E$110,$T1442)/T$11+INDEX(TDU_Info!$F$5:$F$110,$T1442))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MATCH(1,(TDU_Info!$C$5:$C$110=$T$6)*(TDU_Info!$B$5:$B$110&lt;=$B1443),0)</f>
        <v>91</v>
      </c>
      <c r="U1443" s="152">
        <f>100*(INDEX(TDU_Info!$E$5:$E$110,$T1443)/T$11+INDEX(TDU_Info!$F$5:$F$110,$T1443))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MATCH(1,(TDU_Info!$C$5:$C$110=$T$6)*(TDU_Info!$B$5:$B$110&lt;=$B1444),0)</f>
        <v>91</v>
      </c>
      <c r="U1444" s="152">
        <f>100*(INDEX(TDU_Info!$E$5:$E$110,$T1444)/T$11+INDEX(TDU_Info!$F$5:$F$110,$T1444))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MATCH(1,(TDU_Info!$C$5:$C$110=$T$6)*(TDU_Info!$B$5:$B$110&lt;=$B1445),0)</f>
        <v>91</v>
      </c>
      <c r="U1445" s="152">
        <f>100*(INDEX(TDU_Info!$E$5:$E$110,$T1445)/T$11+INDEX(TDU_Info!$F$5:$F$110,$T1445))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MATCH(1,(TDU_Info!$C$5:$C$110=$T$6)*(TDU_Info!$B$5:$B$110&lt;=$B1446),0)</f>
        <v>91</v>
      </c>
      <c r="U1446" s="152">
        <f>100*(INDEX(TDU_Info!$E$5:$E$110,$T1446)/T$11+INDEX(TDU_Info!$F$5:$F$110,$T1446))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MATCH(1,(TDU_Info!$C$5:$C$110=$T$6)*(TDU_Info!$B$5:$B$110&lt;=$B1447),0)</f>
        <v>91</v>
      </c>
      <c r="U1447" s="152">
        <f>100*(INDEX(TDU_Info!$E$5:$E$110,$T1447)/T$11+INDEX(TDU_Info!$F$5:$F$110,$T1447))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MATCH(1,(TDU_Info!$C$5:$C$110=$T$6)*(TDU_Info!$B$5:$B$110&lt;=$B1448),0)</f>
        <v>91</v>
      </c>
      <c r="U1448" s="152">
        <f>100*(INDEX(TDU_Info!$E$5:$E$110,$T1448)/T$11+INDEX(TDU_Info!$F$5:$F$110,$T1448))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MATCH(1,(TDU_Info!$C$5:$C$110=$T$6)*(TDU_Info!$B$5:$B$110&lt;=$B1449),0)</f>
        <v>91</v>
      </c>
      <c r="U1449" s="152">
        <f>100*(INDEX(TDU_Info!$E$5:$E$110,$T1449)/T$11+INDEX(TDU_Info!$F$5:$F$110,$T1449))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MATCH(1,(TDU_Info!$C$5:$C$110=$T$6)*(TDU_Info!$B$5:$B$110&lt;=$B1450),0)</f>
        <v>91</v>
      </c>
      <c r="U1450" s="152">
        <f>100*(INDEX(TDU_Info!$E$5:$E$110,$T1450)/T$11+INDEX(TDU_Info!$F$5:$F$110,$T1450))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MATCH(1,(TDU_Info!$C$5:$C$110=$T$6)*(TDU_Info!$B$5:$B$110&lt;=$B1451),0)</f>
        <v>91</v>
      </c>
      <c r="U1451" s="152">
        <f>100*(INDEX(TDU_Info!$E$5:$E$110,$T1451)/T$11+INDEX(TDU_Info!$F$5:$F$110,$T1451))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MATCH(1,(TDU_Info!$C$5:$C$110=$T$6)*(TDU_Info!$B$5:$B$110&lt;=$B1452),0)</f>
        <v>91</v>
      </c>
      <c r="U1452" s="152">
        <f>100*(INDEX(TDU_Info!$E$5:$E$110,$T1452)/T$11+INDEX(TDU_Info!$F$5:$F$110,$T1452))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MATCH(1,(TDU_Info!$C$5:$C$110=$T$6)*(TDU_Info!$B$5:$B$110&lt;=$B1453),0)</f>
        <v>91</v>
      </c>
      <c r="U1453" s="152">
        <f>100*(INDEX(TDU_Info!$E$5:$E$110,$T1453)/T$11+INDEX(TDU_Info!$F$5:$F$110,$T1453))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MATCH(1,(TDU_Info!$C$5:$C$110=$T$6)*(TDU_Info!$B$5:$B$110&lt;=$B1454),0)</f>
        <v>91</v>
      </c>
      <c r="U1454" s="152">
        <f>100*(INDEX(TDU_Info!$E$5:$E$110,$T1454)/T$11+INDEX(TDU_Info!$F$5:$F$110,$T1454))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MATCH(1,(TDU_Info!$C$5:$C$110=$T$6)*(TDU_Info!$B$5:$B$110&lt;=$B1455),0)</f>
        <v>91</v>
      </c>
      <c r="U1455" s="152">
        <f>100*(INDEX(TDU_Info!$E$5:$E$110,$T1455)/T$11+INDEX(TDU_Info!$F$5:$F$110,$T1455))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MATCH(1,(TDU_Info!$C$5:$C$110=$T$6)*(TDU_Info!$B$5:$B$110&lt;=$B1456),0)</f>
        <v>91</v>
      </c>
      <c r="U1456" s="152">
        <f>100*(INDEX(TDU_Info!$E$5:$E$110,$T1456)/T$11+INDEX(TDU_Info!$F$5:$F$110,$T1456))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MATCH(1,(TDU_Info!$C$5:$C$110=$T$6)*(TDU_Info!$B$5:$B$110&lt;=$B1457),0)</f>
        <v>91</v>
      </c>
      <c r="U1457" s="152">
        <f>100*(INDEX(TDU_Info!$E$5:$E$110,$T1457)/T$11+INDEX(TDU_Info!$F$5:$F$110,$T1457))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MATCH(1,(TDU_Info!$C$5:$C$110=$T$6)*(TDU_Info!$B$5:$B$110&lt;=$B1458),0)</f>
        <v>91</v>
      </c>
      <c r="U1458" s="152">
        <f>100*(INDEX(TDU_Info!$E$5:$E$110,$T1458)/T$11+INDEX(TDU_Info!$F$5:$F$110,$T1458))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MATCH(1,(TDU_Info!$C$5:$C$110=$T$6)*(TDU_Info!$B$5:$B$110&lt;=$B1459),0)</f>
        <v>91</v>
      </c>
      <c r="U1459" s="152">
        <f>100*(INDEX(TDU_Info!$E$5:$E$110,$T1459)/T$11+INDEX(TDU_Info!$F$5:$F$110,$T1459))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MATCH(1,(TDU_Info!$C$5:$C$110=$T$6)*(TDU_Info!$B$5:$B$110&lt;=$B1460),0)</f>
        <v>91</v>
      </c>
      <c r="U1460" s="152">
        <f>100*(INDEX(TDU_Info!$E$5:$E$110,$T1460)/T$11+INDEX(TDU_Info!$F$5:$F$110,$T1460))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MATCH(1,(TDU_Info!$C$5:$C$110=$T$6)*(TDU_Info!$B$5:$B$110&lt;=$B1461),0)</f>
        <v>91</v>
      </c>
      <c r="U1461" s="152">
        <f>100*(INDEX(TDU_Info!$E$5:$E$110,$T1461)/T$11+INDEX(TDU_Info!$F$5:$F$110,$T1461))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MATCH(1,(TDU_Info!$C$5:$C$110=$T$6)*(TDU_Info!$B$5:$B$110&lt;=$B1462),0)</f>
        <v>91</v>
      </c>
      <c r="U1462" s="152">
        <f>100*(INDEX(TDU_Info!$E$5:$E$110,$T1462)/T$11+INDEX(TDU_Info!$F$5:$F$110,$T1462))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MATCH(1,(TDU_Info!$C$5:$C$110=$T$6)*(TDU_Info!$B$5:$B$110&lt;=$B1463),0)</f>
        <v>91</v>
      </c>
      <c r="U1463" s="152">
        <f>100*(INDEX(TDU_Info!$E$5:$E$110,$T1463)/T$11+INDEX(TDU_Info!$F$5:$F$110,$T1463))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MATCH(1,(TDU_Info!$C$5:$C$110=$T$6)*(TDU_Info!$B$5:$B$110&lt;=$B1464),0)</f>
        <v>91</v>
      </c>
      <c r="U1464" s="152">
        <f>100*(INDEX(TDU_Info!$E$5:$E$110,$T1464)/T$11+INDEX(TDU_Info!$F$5:$F$110,$T1464))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MATCH(1,(TDU_Info!$C$5:$C$110=$T$6)*(TDU_Info!$B$5:$B$110&lt;=$B1465),0)</f>
        <v>91</v>
      </c>
      <c r="U1465" s="152">
        <f>100*(INDEX(TDU_Info!$E$5:$E$110,$T1465)/T$11+INDEX(TDU_Info!$F$5:$F$110,$T1465))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MATCH(1,(TDU_Info!$C$5:$C$110=$T$6)*(TDU_Info!$B$5:$B$110&lt;=$B1466),0)</f>
        <v>91</v>
      </c>
      <c r="U1466" s="152">
        <f>100*(INDEX(TDU_Info!$E$5:$E$110,$T1466)/T$11+INDEX(TDU_Info!$F$5:$F$110,$T1466))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MATCH(1,(TDU_Info!$C$5:$C$110=$T$6)*(TDU_Info!$B$5:$B$110&lt;=$B1467),0)</f>
        <v>91</v>
      </c>
      <c r="U1467" s="152">
        <f>100*(INDEX(TDU_Info!$E$5:$E$110,$T1467)/T$11+INDEX(TDU_Info!$F$5:$F$110,$T1467))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MATCH(1,(TDU_Info!$C$5:$C$110=$T$6)*(TDU_Info!$B$5:$B$110&lt;=$B1468),0)</f>
        <v>91</v>
      </c>
      <c r="U1468" s="152">
        <f>100*(INDEX(TDU_Info!$E$5:$E$110,$T1468)/T$11+INDEX(TDU_Info!$F$5:$F$110,$T1468))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MATCH(1,(TDU_Info!$C$5:$C$110=$T$6)*(TDU_Info!$B$5:$B$110&lt;=$B1469),0)</f>
        <v>91</v>
      </c>
      <c r="U1469" s="152">
        <f>100*(INDEX(TDU_Info!$E$5:$E$110,$T1469)/T$11+INDEX(TDU_Info!$F$5:$F$110,$T1469))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MATCH(1,(TDU_Info!$C$5:$C$110=$T$6)*(TDU_Info!$B$5:$B$110&lt;=$B1470),0)</f>
        <v>91</v>
      </c>
      <c r="U1470" s="152">
        <f>100*(INDEX(TDU_Info!$E$5:$E$110,$T1470)/T$11+INDEX(TDU_Info!$F$5:$F$110,$T1470))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MATCH(1,(TDU_Info!$C$5:$C$110=$T$6)*(TDU_Info!$B$5:$B$110&lt;=$B1471),0)</f>
        <v>91</v>
      </c>
      <c r="U1471" s="152">
        <f>100*(INDEX(TDU_Info!$E$5:$E$110,$T1471)/T$11+INDEX(TDU_Info!$F$5:$F$110,$T1471))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MATCH(1,(TDU_Info!$C$5:$C$110=$T$6)*(TDU_Info!$B$5:$B$110&lt;=$B1472),0)</f>
        <v>91</v>
      </c>
      <c r="U1472" s="152">
        <f>100*(INDEX(TDU_Info!$E$5:$E$110,$T1472)/T$11+INDEX(TDU_Info!$F$5:$F$110,$T1472))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MATCH(1,(TDU_Info!$C$5:$C$110=$T$6)*(TDU_Info!$B$5:$B$110&lt;=$B1473),0)</f>
        <v>91</v>
      </c>
      <c r="U1473" s="152">
        <f>100*(INDEX(TDU_Info!$E$5:$E$110,$T1473)/T$11+INDEX(TDU_Info!$F$5:$F$110,$T1473))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MATCH(1,(TDU_Info!$C$5:$C$110=$T$6)*(TDU_Info!$B$5:$B$110&lt;=$B1474),0)</f>
        <v>91</v>
      </c>
      <c r="U1474" s="152">
        <f>100*(INDEX(TDU_Info!$E$5:$E$110,$T1474)/T$11+INDEX(TDU_Info!$F$5:$F$110,$T1474))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MATCH(1,(TDU_Info!$C$5:$C$110=$T$6)*(TDU_Info!$B$5:$B$110&lt;=$B1475),0)</f>
        <v>91</v>
      </c>
      <c r="U1475" s="152">
        <f>100*(INDEX(TDU_Info!$E$5:$E$110,$T1475)/T$11+INDEX(TDU_Info!$F$5:$F$110,$T1475))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MATCH(1,(TDU_Info!$C$5:$C$110=$T$6)*(TDU_Info!$B$5:$B$110&lt;=$B1476),0)</f>
        <v>91</v>
      </c>
      <c r="U1476" s="152">
        <f>100*(INDEX(TDU_Info!$E$5:$E$110,$T1476)/T$11+INDEX(TDU_Info!$F$5:$F$110,$T1476))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MATCH(1,(TDU_Info!$C$5:$C$110=$T$6)*(TDU_Info!$B$5:$B$110&lt;=$B1477),0)</f>
        <v>91</v>
      </c>
      <c r="U1477" s="152">
        <f>100*(INDEX(TDU_Info!$E$5:$E$110,$T1477)/T$11+INDEX(TDU_Info!$F$5:$F$110,$T1477))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MATCH(1,(TDU_Info!$C$5:$C$110=$T$6)*(TDU_Info!$B$5:$B$110&lt;=$B1478),0)</f>
        <v>91</v>
      </c>
      <c r="U1478" s="152">
        <f>100*(INDEX(TDU_Info!$E$5:$E$110,$T1478)/T$11+INDEX(TDU_Info!$F$5:$F$110,$T1478))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MATCH(1,(TDU_Info!$C$5:$C$110=$T$6)*(TDU_Info!$B$5:$B$110&lt;=$B1479),0)</f>
        <v>91</v>
      </c>
      <c r="U1479" s="152">
        <f>100*(INDEX(TDU_Info!$E$5:$E$110,$T1479)/T$11+INDEX(TDU_Info!$F$5:$F$110,$T1479))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MATCH(1,(TDU_Info!$C$5:$C$110=$T$6)*(TDU_Info!$B$5:$B$110&lt;=$B1480),0)</f>
        <v>91</v>
      </c>
      <c r="U1480" s="152">
        <f>100*(INDEX(TDU_Info!$E$5:$E$110,$T1480)/T$11+INDEX(TDU_Info!$F$5:$F$110,$T1480))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MATCH(1,(TDU_Info!$C$5:$C$110=$T$6)*(TDU_Info!$B$5:$B$110&lt;=$B1481),0)</f>
        <v>91</v>
      </c>
      <c r="U1481" s="152">
        <f>100*(INDEX(TDU_Info!$E$5:$E$110,$T1481)/T$11+INDEX(TDU_Info!$F$5:$F$110,$T1481))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MATCH(1,(TDU_Info!$C$5:$C$110=$T$6)*(TDU_Info!$B$5:$B$110&lt;=$B1482),0)</f>
        <v>91</v>
      </c>
      <c r="U1482" s="152">
        <f>100*(INDEX(TDU_Info!$E$5:$E$110,$T1482)/T$11+INDEX(TDU_Info!$F$5:$F$110,$T1482))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MATCH(1,(TDU_Info!$C$5:$C$110=$T$6)*(TDU_Info!$B$5:$B$110&lt;=$B1483),0)</f>
        <v>91</v>
      </c>
      <c r="U1483" s="152">
        <f>100*(INDEX(TDU_Info!$E$5:$E$110,$T1483)/T$11+INDEX(TDU_Info!$F$5:$F$110,$T1483))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MATCH(1,(TDU_Info!$C$5:$C$110=$T$6)*(TDU_Info!$B$5:$B$110&lt;=$B1484),0)</f>
        <v>91</v>
      </c>
      <c r="U1484" s="152">
        <f>100*(INDEX(TDU_Info!$E$5:$E$110,$T1484)/T$11+INDEX(TDU_Info!$F$5:$F$110,$T1484))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MATCH(1,(TDU_Info!$C$5:$C$110=$T$6)*(TDU_Info!$B$5:$B$110&lt;=$B1485),0)</f>
        <v>91</v>
      </c>
      <c r="U1485" s="152">
        <f>100*(INDEX(TDU_Info!$E$5:$E$110,$T1485)/T$11+INDEX(TDU_Info!$F$5:$F$110,$T1485))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MATCH(1,(TDU_Info!$C$5:$C$110=$T$6)*(TDU_Info!$B$5:$B$110&lt;=$B1486),0)</f>
        <v>91</v>
      </c>
      <c r="U1486" s="152">
        <f>100*(INDEX(TDU_Info!$E$5:$E$110,$T1486)/T$11+INDEX(TDU_Info!$F$5:$F$110,$T1486))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MATCH(1,(TDU_Info!$C$5:$C$110=$T$6)*(TDU_Info!$B$5:$B$110&lt;=$B1487),0)</f>
        <v>91</v>
      </c>
      <c r="U1487" s="152">
        <f>100*(INDEX(TDU_Info!$E$5:$E$110,$T1487)/T$11+INDEX(TDU_Info!$F$5:$F$110,$T1487))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MATCH(1,(TDU_Info!$C$5:$C$110=$T$6)*(TDU_Info!$B$5:$B$110&lt;=$B1488),0)</f>
        <v>91</v>
      </c>
      <c r="U1488" s="152">
        <f>100*(INDEX(TDU_Info!$E$5:$E$110,$T1488)/T$11+INDEX(TDU_Info!$F$5:$F$110,$T1488))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MATCH(1,(TDU_Info!$C$5:$C$110=$T$6)*(TDU_Info!$B$5:$B$110&lt;=$B1489),0)</f>
        <v>91</v>
      </c>
      <c r="U1489" s="152">
        <f>100*(INDEX(TDU_Info!$E$5:$E$110,$T1489)/T$11+INDEX(TDU_Info!$F$5:$F$110,$T1489))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MATCH(1,(TDU_Info!$C$5:$C$110=$T$6)*(TDU_Info!$B$5:$B$110&lt;=$B1490),0)</f>
        <v>91</v>
      </c>
      <c r="U1490" s="152">
        <f>100*(INDEX(TDU_Info!$E$5:$E$110,$T1490)/T$11+INDEX(TDU_Info!$F$5:$F$110,$T1490))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MATCH(1,(TDU_Info!$C$5:$C$110=$T$6)*(TDU_Info!$B$5:$B$110&lt;=$B1491),0)</f>
        <v>91</v>
      </c>
      <c r="U1491" s="152">
        <f>100*(INDEX(TDU_Info!$E$5:$E$110,$T1491)/T$11+INDEX(TDU_Info!$F$5:$F$110,$T1491))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MATCH(1,(TDU_Info!$C$5:$C$110=$T$6)*(TDU_Info!$B$5:$B$110&lt;=$B1492),0)</f>
        <v>91</v>
      </c>
      <c r="U1492" s="152">
        <f>100*(INDEX(TDU_Info!$E$5:$E$110,$T1492)/T$11+INDEX(TDU_Info!$F$5:$F$110,$T1492))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MATCH(1,(TDU_Info!$C$5:$C$110=$T$6)*(TDU_Info!$B$5:$B$110&lt;=$B1493),0)</f>
        <v>91</v>
      </c>
      <c r="U1493" s="152">
        <f>100*(INDEX(TDU_Info!$E$5:$E$110,$T1493)/T$11+INDEX(TDU_Info!$F$5:$F$110,$T1493))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MATCH(1,(TDU_Info!$C$5:$C$110=$T$6)*(TDU_Info!$B$5:$B$110&lt;=$B1494),0)</f>
        <v>91</v>
      </c>
      <c r="U1494" s="152">
        <f>100*(INDEX(TDU_Info!$E$5:$E$110,$T1494)/T$11+INDEX(TDU_Info!$F$5:$F$110,$T1494))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MATCH(1,(TDU_Info!$C$5:$C$110=$T$6)*(TDU_Info!$B$5:$B$110&lt;=$B1495),0)</f>
        <v>91</v>
      </c>
      <c r="U1495" s="152">
        <f>100*(INDEX(TDU_Info!$E$5:$E$110,$T1495)/T$11+INDEX(TDU_Info!$F$5:$F$110,$T1495))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MATCH(1,(TDU_Info!$C$5:$C$110=$T$6)*(TDU_Info!$B$5:$B$110&lt;=$B1496),0)</f>
        <v>91</v>
      </c>
      <c r="U1496" s="152">
        <f>100*(INDEX(TDU_Info!$E$5:$E$110,$T1496)/T$11+INDEX(TDU_Info!$F$5:$F$110,$T1496))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MATCH(1,(TDU_Info!$C$5:$C$110=$T$6)*(TDU_Info!$B$5:$B$110&lt;=$B1497),0)</f>
        <v>91</v>
      </c>
      <c r="U1497" s="152">
        <f>100*(INDEX(TDU_Info!$E$5:$E$110,$T1497)/T$11+INDEX(TDU_Info!$F$5:$F$110,$T1497))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MATCH(1,(TDU_Info!$C$5:$C$110=$T$6)*(TDU_Info!$B$5:$B$110&lt;=$B1498),0)</f>
        <v>91</v>
      </c>
      <c r="U1498" s="152">
        <f>100*(INDEX(TDU_Info!$E$5:$E$110,$T1498)/T$11+INDEX(TDU_Info!$F$5:$F$110,$T1498))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MATCH(1,(TDU_Info!$C$5:$C$110=$T$6)*(TDU_Info!$B$5:$B$110&lt;=$B1499),0)</f>
        <v>91</v>
      </c>
      <c r="U1499" s="152">
        <f>100*(INDEX(TDU_Info!$E$5:$E$110,$T1499)/T$11+INDEX(TDU_Info!$F$5:$F$110,$T1499))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MATCH(1,(TDU_Info!$C$5:$C$110=$T$6)*(TDU_Info!$B$5:$B$110&lt;=$B1500),0)</f>
        <v>91</v>
      </c>
      <c r="U1500" s="152">
        <f>100*(INDEX(TDU_Info!$E$5:$E$110,$T1500)/T$11+INDEX(TDU_Info!$F$5:$F$110,$T1500))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MATCH(1,(TDU_Info!$C$5:$C$110=$T$6)*(TDU_Info!$B$5:$B$110&lt;=$B1501),0)</f>
        <v>91</v>
      </c>
      <c r="U1501" s="152">
        <f>100*(INDEX(TDU_Info!$E$5:$E$110,$T1501)/T$11+INDEX(TDU_Info!$F$5:$F$110,$T1501))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MATCH(1,(TDU_Info!$C$5:$C$110=$T$6)*(TDU_Info!$B$5:$B$110&lt;=$B1502),0)</f>
        <v>91</v>
      </c>
      <c r="U1502" s="152">
        <f>100*(INDEX(TDU_Info!$E$5:$E$110,$T1502)/T$11+INDEX(TDU_Info!$F$5:$F$110,$T1502))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MATCH(1,(TDU_Info!$C$5:$C$110=$T$6)*(TDU_Info!$B$5:$B$110&lt;=$B1503),0)</f>
        <v>91</v>
      </c>
      <c r="U1503" s="152">
        <f>100*(INDEX(TDU_Info!$E$5:$E$110,$T1503)/T$11+INDEX(TDU_Info!$F$5:$F$110,$T1503))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MATCH(1,(TDU_Info!$C$5:$C$110=$T$6)*(TDU_Info!$B$5:$B$110&lt;=$B1504),0)</f>
        <v>91</v>
      </c>
      <c r="U1504" s="152">
        <f>100*(INDEX(TDU_Info!$E$5:$E$110,$T1504)/T$11+INDEX(TDU_Info!$F$5:$F$110,$T1504))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MATCH(1,(TDU_Info!$C$5:$C$110=$T$6)*(TDU_Info!$B$5:$B$110&lt;=$B1505),0)</f>
        <v>91</v>
      </c>
      <c r="U1505" s="152">
        <f>100*(INDEX(TDU_Info!$E$5:$E$110,$T1505)/T$11+INDEX(TDU_Info!$F$5:$F$110,$T1505))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MATCH(1,(TDU_Info!$C$5:$C$110=$T$6)*(TDU_Info!$B$5:$B$110&lt;=$B1506),0)</f>
        <v>91</v>
      </c>
      <c r="U1506" s="152">
        <f>100*(INDEX(TDU_Info!$E$5:$E$110,$T1506)/T$11+INDEX(TDU_Info!$F$5:$F$110,$T1506))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MATCH(1,(TDU_Info!$C$5:$C$110=$T$6)*(TDU_Info!$B$5:$B$110&lt;=$B1507),0)</f>
        <v>91</v>
      </c>
      <c r="U1507" s="152">
        <f>100*(INDEX(TDU_Info!$E$5:$E$110,$T1507)/T$11+INDEX(TDU_Info!$F$5:$F$110,$T1507))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MATCH(1,(TDU_Info!$C$5:$C$110=$T$6)*(TDU_Info!$B$5:$B$110&lt;=$B1508),0)</f>
        <v>91</v>
      </c>
      <c r="U1508" s="152">
        <f>100*(INDEX(TDU_Info!$E$5:$E$110,$T1508)/T$11+INDEX(TDU_Info!$F$5:$F$110,$T1508))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MATCH(1,(TDU_Info!$C$5:$C$110=$T$6)*(TDU_Info!$B$5:$B$110&lt;=$B1509),0)</f>
        <v>91</v>
      </c>
      <c r="U1509" s="152">
        <f>100*(INDEX(TDU_Info!$E$5:$E$110,$T1509)/T$11+INDEX(TDU_Info!$F$5:$F$110,$T1509))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MATCH(1,(TDU_Info!$C$5:$C$110=$T$6)*(TDU_Info!$B$5:$B$110&lt;=$B1510),0)</f>
        <v>91</v>
      </c>
      <c r="U1510" s="152">
        <f>100*(INDEX(TDU_Info!$E$5:$E$110,$T1510)/T$11+INDEX(TDU_Info!$F$5:$F$110,$T1510))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MATCH(1,(TDU_Info!$C$5:$C$110=$T$6)*(TDU_Info!$B$5:$B$110&lt;=$B1511),0)</f>
        <v>91</v>
      </c>
      <c r="U1511" s="152">
        <f>100*(INDEX(TDU_Info!$E$5:$E$110,$T1511)/T$11+INDEX(TDU_Info!$F$5:$F$110,$T1511))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MATCH(1,(TDU_Info!$C$5:$C$110=$T$6)*(TDU_Info!$B$5:$B$110&lt;=$B1512),0)</f>
        <v>91</v>
      </c>
      <c r="U1512" s="152">
        <f>100*(INDEX(TDU_Info!$E$5:$E$110,$T1512)/T$11+INDEX(TDU_Info!$F$5:$F$110,$T1512))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MATCH(1,(TDU_Info!$C$5:$C$110=$T$6)*(TDU_Info!$B$5:$B$110&lt;=$B1513),0)</f>
        <v>91</v>
      </c>
      <c r="U1513" s="152">
        <f>100*(INDEX(TDU_Info!$E$5:$E$110,$T1513)/T$11+INDEX(TDU_Info!$F$5:$F$110,$T1513))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MATCH(1,(TDU_Info!$C$5:$C$110=$T$6)*(TDU_Info!$B$5:$B$110&lt;=$B1514),0)</f>
        <v>91</v>
      </c>
      <c r="U1514" s="152">
        <f>100*(INDEX(TDU_Info!$E$5:$E$110,$T1514)/T$11+INDEX(TDU_Info!$F$5:$F$110,$T1514))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MATCH(1,(TDU_Info!$C$5:$C$110=$T$6)*(TDU_Info!$B$5:$B$110&lt;=$B1515),0)</f>
        <v>91</v>
      </c>
      <c r="U1515" s="152">
        <f>100*(INDEX(TDU_Info!$E$5:$E$110,$T1515)/T$11+INDEX(TDU_Info!$F$5:$F$110,$T1515))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MATCH(1,(TDU_Info!$C$5:$C$110=$T$6)*(TDU_Info!$B$5:$B$110&lt;=$B1516),0)</f>
        <v>91</v>
      </c>
      <c r="U1516" s="152">
        <f>100*(INDEX(TDU_Info!$E$5:$E$110,$T1516)/T$11+INDEX(TDU_Info!$F$5:$F$110,$T1516))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MATCH(1,(TDU_Info!$C$5:$C$110=$T$6)*(TDU_Info!$B$5:$B$110&lt;=$B1517),0)</f>
        <v>90</v>
      </c>
      <c r="U1517" s="152">
        <f>100*(INDEX(TDU_Info!$E$5:$E$110,$T1517)/T$11+INDEX(TDU_Info!$F$5:$F$110,$T1517))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MATCH(1,(TDU_Info!$C$5:$C$110=$T$6)*(TDU_Info!$B$5:$B$110&lt;=$B1518),0)</f>
        <v>90</v>
      </c>
      <c r="U1518" s="152">
        <f>100*(INDEX(TDU_Info!$E$5:$E$110,$T1518)/T$11+INDEX(TDU_Info!$F$5:$F$110,$T1518))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MATCH(1,(TDU_Info!$C$5:$C$110=$T$6)*(TDU_Info!$B$5:$B$110&lt;=$B1519),0)</f>
        <v>90</v>
      </c>
      <c r="U1519" s="152">
        <f>100*(INDEX(TDU_Info!$E$5:$E$110,$T1519)/T$11+INDEX(TDU_Info!$F$5:$F$110,$T1519))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MATCH(1,(TDU_Info!$C$5:$C$110=$T$6)*(TDU_Info!$B$5:$B$110&lt;=$B1520),0)</f>
        <v>90</v>
      </c>
      <c r="U1520" s="152">
        <f>100*(INDEX(TDU_Info!$E$5:$E$110,$T1520)/T$11+INDEX(TDU_Info!$F$5:$F$110,$T1520))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MATCH(1,(TDU_Info!$C$5:$C$110=$T$6)*(TDU_Info!$B$5:$B$110&lt;=$B1521),0)</f>
        <v>90</v>
      </c>
      <c r="U1521" s="152">
        <f>100*(INDEX(TDU_Info!$E$5:$E$110,$T1521)/T$11+INDEX(TDU_Info!$F$5:$F$110,$T1521))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MATCH(1,(TDU_Info!$C$5:$C$110=$T$6)*(TDU_Info!$B$5:$B$110&lt;=$B1522),0)</f>
        <v>90</v>
      </c>
      <c r="U1522" s="152">
        <f>100*(INDEX(TDU_Info!$E$5:$E$110,$T1522)/T$11+INDEX(TDU_Info!$F$5:$F$110,$T1522))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MATCH(1,(TDU_Info!$C$5:$C$110=$T$6)*(TDU_Info!$B$5:$B$110&lt;=$B1523),0)</f>
        <v>90</v>
      </c>
      <c r="U1523" s="152">
        <f>100*(INDEX(TDU_Info!$E$5:$E$110,$T1523)/T$11+INDEX(TDU_Info!$F$5:$F$110,$T1523))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MATCH(1,(TDU_Info!$C$5:$C$110=$T$6)*(TDU_Info!$B$5:$B$110&lt;=$B1524),0)</f>
        <v>90</v>
      </c>
      <c r="U1524" s="152">
        <f>100*(INDEX(TDU_Info!$E$5:$E$110,$T1524)/T$11+INDEX(TDU_Info!$F$5:$F$110,$T1524))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MATCH(1,(TDU_Info!$C$5:$C$110=$T$6)*(TDU_Info!$B$5:$B$110&lt;=$B1525),0)</f>
        <v>90</v>
      </c>
      <c r="U1525" s="152">
        <f>100*(INDEX(TDU_Info!$E$5:$E$110,$T1525)/T$11+INDEX(TDU_Info!$F$5:$F$110,$T1525))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MATCH(1,(TDU_Info!$C$5:$C$110=$T$6)*(TDU_Info!$B$5:$B$110&lt;=$B1526),0)</f>
        <v>90</v>
      </c>
      <c r="U1526" s="152">
        <f>100*(INDEX(TDU_Info!$E$5:$E$110,$T1526)/T$11+INDEX(TDU_Info!$F$5:$F$110,$T1526))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MATCH(1,(TDU_Info!$C$5:$C$110=$T$6)*(TDU_Info!$B$5:$B$110&lt;=$B1527),0)</f>
        <v>90</v>
      </c>
      <c r="U1527" s="152">
        <f>100*(INDEX(TDU_Info!$E$5:$E$110,$T1527)/T$11+INDEX(TDU_Info!$F$5:$F$110,$T1527))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MATCH(1,(TDU_Info!$C$5:$C$110=$T$6)*(TDU_Info!$B$5:$B$110&lt;=$B1528),0)</f>
        <v>90</v>
      </c>
      <c r="U1528" s="152">
        <f>100*(INDEX(TDU_Info!$E$5:$E$110,$T1528)/T$11+INDEX(TDU_Info!$F$5:$F$110,$T1528))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MATCH(1,(TDU_Info!$C$5:$C$110=$T$6)*(TDU_Info!$B$5:$B$110&lt;=$B1529),0)</f>
        <v>90</v>
      </c>
      <c r="U1529" s="152">
        <f>100*(INDEX(TDU_Info!$E$5:$E$110,$T1529)/T$11+INDEX(TDU_Info!$F$5:$F$110,$T1529))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MATCH(1,(TDU_Info!$C$5:$C$110=$T$6)*(TDU_Info!$B$5:$B$110&lt;=$B1530),0)</f>
        <v>90</v>
      </c>
      <c r="U1530" s="152">
        <f>100*(INDEX(TDU_Info!$E$5:$E$110,$T1530)/T$11+INDEX(TDU_Info!$F$5:$F$110,$T1530))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MATCH(1,(TDU_Info!$C$5:$C$110=$T$6)*(TDU_Info!$B$5:$B$110&lt;=$B1531),0)</f>
        <v>90</v>
      </c>
      <c r="U1531" s="152">
        <f>100*(INDEX(TDU_Info!$E$5:$E$110,$T1531)/T$11+INDEX(TDU_Info!$F$5:$F$110,$T1531))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MATCH(1,(TDU_Info!$C$5:$C$110=$T$6)*(TDU_Info!$B$5:$B$110&lt;=$B1532),0)</f>
        <v>90</v>
      </c>
      <c r="U1532" s="152">
        <f>100*(INDEX(TDU_Info!$E$5:$E$110,$T1532)/T$11+INDEX(TDU_Info!$F$5:$F$110,$T1532))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MATCH(1,(TDU_Info!$C$5:$C$110=$T$6)*(TDU_Info!$B$5:$B$110&lt;=$B1533),0)</f>
        <v>90</v>
      </c>
      <c r="U1533" s="152">
        <f>100*(INDEX(TDU_Info!$E$5:$E$110,$T1533)/T$11+INDEX(TDU_Info!$F$5:$F$110,$T1533))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MATCH(1,(TDU_Info!$C$5:$C$110=$T$6)*(TDU_Info!$B$5:$B$110&lt;=$B1534),0)</f>
        <v>90</v>
      </c>
      <c r="U1534" s="152">
        <f>100*(INDEX(TDU_Info!$E$5:$E$110,$T1534)/T$11+INDEX(TDU_Info!$F$5:$F$110,$T1534))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MATCH(1,(TDU_Info!$C$5:$C$110=$T$6)*(TDU_Info!$B$5:$B$110&lt;=$B1535),0)</f>
        <v>90</v>
      </c>
      <c r="U1535" s="152">
        <f>100*(INDEX(TDU_Info!$E$5:$E$110,$T1535)/T$11+INDEX(TDU_Info!$F$5:$F$110,$T1535))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MATCH(1,(TDU_Info!$C$5:$C$110=$T$6)*(TDU_Info!$B$5:$B$110&lt;=$B1536),0)</f>
        <v>90</v>
      </c>
      <c r="U1536" s="152">
        <f>100*(INDEX(TDU_Info!$E$5:$E$110,$T1536)/T$11+INDEX(TDU_Info!$F$5:$F$110,$T1536))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MATCH(1,(TDU_Info!$C$5:$C$110=$T$6)*(TDU_Info!$B$5:$B$110&lt;=$B1537),0)</f>
        <v>89</v>
      </c>
      <c r="U1537" s="152">
        <f>100*(INDEX(TDU_Info!$E$5:$E$110,$T1537)/T$11+INDEX(TDU_Info!$F$5:$F$110,$T1537))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MATCH(1,(TDU_Info!$C$5:$C$110=$T$6)*(TDU_Info!$B$5:$B$110&lt;=$B1538),0)</f>
        <v>89</v>
      </c>
      <c r="U1538" s="152">
        <f>100*(INDEX(TDU_Info!$E$5:$E$110,$T1538)/T$11+INDEX(TDU_Info!$F$5:$F$110,$T1538))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MATCH(1,(TDU_Info!$C$5:$C$110=$T$6)*(TDU_Info!$B$5:$B$110&lt;=$B1539),0)</f>
        <v>89</v>
      </c>
      <c r="U1539" s="152">
        <f>100*(INDEX(TDU_Info!$E$5:$E$110,$T1539)/T$11+INDEX(TDU_Info!$F$5:$F$110,$T1539))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MATCH(1,(TDU_Info!$C$5:$C$110=$T$6)*(TDU_Info!$B$5:$B$110&lt;=$B1540),0)</f>
        <v>89</v>
      </c>
      <c r="U1540" s="152">
        <f>100*(INDEX(TDU_Info!$E$5:$E$110,$T1540)/T$11+INDEX(TDU_Info!$F$5:$F$110,$T1540))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MATCH(1,(TDU_Info!$C$5:$C$110=$T$6)*(TDU_Info!$B$5:$B$110&lt;=$B1541),0)</f>
        <v>89</v>
      </c>
      <c r="U1541" s="152">
        <f>100*(INDEX(TDU_Info!$E$5:$E$110,$T1541)/T$11+INDEX(TDU_Info!$F$5:$F$110,$T1541))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MATCH(1,(TDU_Info!$C$5:$C$110=$T$6)*(TDU_Info!$B$5:$B$110&lt;=$B1542),0)</f>
        <v>89</v>
      </c>
      <c r="U1542" s="152">
        <f>100*(INDEX(TDU_Info!$E$5:$E$110,$T1542)/T$11+INDEX(TDU_Info!$F$5:$F$110,$T1542))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MATCH(1,(TDU_Info!$C$5:$C$110=$T$6)*(TDU_Info!$B$5:$B$110&lt;=$B1543),0)</f>
        <v>89</v>
      </c>
      <c r="U1543" s="152">
        <f>100*(INDEX(TDU_Info!$E$5:$E$110,$T1543)/T$11+INDEX(TDU_Info!$F$5:$F$110,$T1543))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MATCH(1,(TDU_Info!$C$5:$C$110=$T$6)*(TDU_Info!$B$5:$B$110&lt;=$B1544),0)</f>
        <v>89</v>
      </c>
      <c r="U1544" s="152">
        <f>100*(INDEX(TDU_Info!$E$5:$E$110,$T1544)/T$11+INDEX(TDU_Info!$F$5:$F$110,$T1544))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MATCH(1,(TDU_Info!$C$5:$C$110=$T$6)*(TDU_Info!$B$5:$B$110&lt;=$B1545),0)</f>
        <v>89</v>
      </c>
      <c r="U1545" s="152">
        <f>100*(INDEX(TDU_Info!$E$5:$E$110,$T1545)/T$11+INDEX(TDU_Info!$F$5:$F$110,$T1545))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MATCH(1,(TDU_Info!$C$5:$C$110=$T$6)*(TDU_Info!$B$5:$B$110&lt;=$B1546),0)</f>
        <v>89</v>
      </c>
      <c r="U1546" s="152">
        <f>100*(INDEX(TDU_Info!$E$5:$E$110,$T1546)/T$11+INDEX(TDU_Info!$F$5:$F$110,$T1546))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MATCH(1,(TDU_Info!$C$5:$C$110=$T$6)*(TDU_Info!$B$5:$B$110&lt;=$B1547),0)</f>
        <v>89</v>
      </c>
      <c r="U1547" s="152">
        <f>100*(INDEX(TDU_Info!$E$5:$E$110,$T1547)/T$11+INDEX(TDU_Info!$F$5:$F$110,$T1547))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MATCH(1,(TDU_Info!$C$5:$C$110=$T$6)*(TDU_Info!$B$5:$B$110&lt;=$B1548),0)</f>
        <v>89</v>
      </c>
      <c r="U1548" s="152">
        <f>100*(INDEX(TDU_Info!$E$5:$E$110,$T1548)/T$11+INDEX(TDU_Info!$F$5:$F$110,$T1548))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MATCH(1,(TDU_Info!$C$5:$C$110=$T$6)*(TDU_Info!$B$5:$B$110&lt;=$B1549),0)</f>
        <v>89</v>
      </c>
      <c r="U1549" s="152">
        <f>100*(INDEX(TDU_Info!$E$5:$E$110,$T1549)/T$11+INDEX(TDU_Info!$F$5:$F$110,$T1549))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MATCH(1,(TDU_Info!$C$5:$C$110=$T$6)*(TDU_Info!$B$5:$B$110&lt;=$B1550),0)</f>
        <v>89</v>
      </c>
      <c r="U1550" s="152">
        <f>100*(INDEX(TDU_Info!$E$5:$E$110,$T1550)/T$11+INDEX(TDU_Info!$F$5:$F$110,$T1550))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MATCH(1,(TDU_Info!$C$5:$C$110=$T$6)*(TDU_Info!$B$5:$B$110&lt;=$B1551),0)</f>
        <v>89</v>
      </c>
      <c r="U1551" s="152">
        <f>100*(INDEX(TDU_Info!$E$5:$E$110,$T1551)/T$11+INDEX(TDU_Info!$F$5:$F$110,$T1551))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MATCH(1,(TDU_Info!$C$5:$C$110=$T$6)*(TDU_Info!$B$5:$B$110&lt;=$B1552),0)</f>
        <v>89</v>
      </c>
      <c r="U1552" s="152">
        <f>100*(INDEX(TDU_Info!$E$5:$E$110,$T1552)/T$11+INDEX(TDU_Info!$F$5:$F$110,$T1552))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MATCH(1,(TDU_Info!$C$5:$C$110=$T$6)*(TDU_Info!$B$5:$B$110&lt;=$B1553),0)</f>
        <v>89</v>
      </c>
      <c r="U1553" s="152">
        <f>100*(INDEX(TDU_Info!$E$5:$E$110,$T1553)/T$11+INDEX(TDU_Info!$F$5:$F$110,$T1553))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MATCH(1,(TDU_Info!$C$5:$C$110=$T$6)*(TDU_Info!$B$5:$B$110&lt;=$B1554),0)</f>
        <v>89</v>
      </c>
      <c r="U1554" s="152">
        <f>100*(INDEX(TDU_Info!$E$5:$E$110,$T1554)/T$11+INDEX(TDU_Info!$F$5:$F$110,$T1554))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MATCH(1,(TDU_Info!$C$5:$C$110=$T$6)*(TDU_Info!$B$5:$B$110&lt;=$B1555),0)</f>
        <v>89</v>
      </c>
      <c r="U1555" s="152">
        <f>100*(INDEX(TDU_Info!$E$5:$E$110,$T1555)/T$11+INDEX(TDU_Info!$F$5:$F$110,$T1555))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MATCH(1,(TDU_Info!$C$5:$C$110=$T$6)*(TDU_Info!$B$5:$B$110&lt;=$B1556),0)</f>
        <v>89</v>
      </c>
      <c r="U1556" s="152">
        <f>100*(INDEX(TDU_Info!$E$5:$E$110,$T1556)/T$11+INDEX(TDU_Info!$F$5:$F$110,$T1556))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MATCH(1,(TDU_Info!$C$5:$C$110=$T$6)*(TDU_Info!$B$5:$B$110&lt;=$B1557),0)</f>
        <v>89</v>
      </c>
      <c r="U1557" s="152">
        <f>100*(INDEX(TDU_Info!$E$5:$E$110,$T1557)/T$11+INDEX(TDU_Info!$F$5:$F$110,$T1557))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MATCH(1,(TDU_Info!$C$5:$C$110=$T$6)*(TDU_Info!$B$5:$B$110&lt;=$B1558),0)</f>
        <v>89</v>
      </c>
      <c r="U1558" s="152">
        <f>100*(INDEX(TDU_Info!$E$5:$E$110,$T1558)/T$11+INDEX(TDU_Info!$F$5:$F$110,$T1558))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MATCH(1,(TDU_Info!$C$5:$C$110=$T$6)*(TDU_Info!$B$5:$B$110&lt;=$B1559),0)</f>
        <v>89</v>
      </c>
      <c r="U1559" s="152">
        <f>100*(INDEX(TDU_Info!$E$5:$E$110,$T1559)/T$11+INDEX(TDU_Info!$F$5:$F$110,$T1559))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MATCH(1,(TDU_Info!$C$5:$C$110=$T$6)*(TDU_Info!$B$5:$B$110&lt;=$B1560),0)</f>
        <v>89</v>
      </c>
      <c r="U1560" s="152">
        <f>100*(INDEX(TDU_Info!$E$5:$E$110,$T1560)/T$11+INDEX(TDU_Info!$F$5:$F$110,$T1560))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MATCH(1,(TDU_Info!$C$5:$C$110=$T$6)*(TDU_Info!$B$5:$B$110&lt;=$B1561),0)</f>
        <v>89</v>
      </c>
      <c r="U1561" s="152">
        <f>100*(INDEX(TDU_Info!$E$5:$E$110,$T1561)/T$11+INDEX(TDU_Info!$F$5:$F$110,$T1561))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MATCH(1,(TDU_Info!$C$5:$C$110=$T$6)*(TDU_Info!$B$5:$B$110&lt;=$B1562),0)</f>
        <v>89</v>
      </c>
      <c r="U1562" s="152">
        <f>100*(INDEX(TDU_Info!$E$5:$E$110,$T1562)/T$11+INDEX(TDU_Info!$F$5:$F$110,$T1562))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MATCH(1,(TDU_Info!$C$5:$C$110=$T$6)*(TDU_Info!$B$5:$B$110&lt;=$B1563),0)</f>
        <v>89</v>
      </c>
      <c r="U1563" s="152">
        <f>100*(INDEX(TDU_Info!$E$5:$E$110,$T1563)/T$11+INDEX(TDU_Info!$F$5:$F$110,$T1563))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MATCH(1,(TDU_Info!$C$5:$C$110=$T$6)*(TDU_Info!$B$5:$B$110&lt;=$B1564),0)</f>
        <v>89</v>
      </c>
      <c r="U1564" s="152">
        <f>100*(INDEX(TDU_Info!$E$5:$E$110,$T1564)/T$11+INDEX(TDU_Info!$F$5:$F$110,$T1564))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MATCH(1,(TDU_Info!$C$5:$C$110=$T$6)*(TDU_Info!$B$5:$B$110&lt;=$B1565),0)</f>
        <v>89</v>
      </c>
      <c r="U1565" s="152">
        <f>100*(INDEX(TDU_Info!$E$5:$E$110,$T1565)/T$11+INDEX(TDU_Info!$F$5:$F$110,$T1565))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MATCH(1,(TDU_Info!$C$5:$C$110=$T$6)*(TDU_Info!$B$5:$B$110&lt;=$B1566),0)</f>
        <v>89</v>
      </c>
      <c r="U1566" s="152">
        <f>100*(INDEX(TDU_Info!$E$5:$E$110,$T1566)/T$11+INDEX(TDU_Info!$F$5:$F$110,$T1566))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MATCH(1,(TDU_Info!$C$5:$C$110=$T$6)*(TDU_Info!$B$5:$B$110&lt;=$B1567),0)</f>
        <v>89</v>
      </c>
      <c r="U1567" s="152">
        <f>100*(INDEX(TDU_Info!$E$5:$E$110,$T1567)/T$11+INDEX(TDU_Info!$F$5:$F$110,$T1567))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MATCH(1,(TDU_Info!$C$5:$C$110=$T$6)*(TDU_Info!$B$5:$B$110&lt;=$B1568),0)</f>
        <v>89</v>
      </c>
      <c r="U1568" s="152">
        <f>100*(INDEX(TDU_Info!$E$5:$E$110,$T1568)/T$11+INDEX(TDU_Info!$F$5:$F$110,$T1568))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MATCH(1,(TDU_Info!$C$5:$C$110=$T$6)*(TDU_Info!$B$5:$B$110&lt;=$B1569),0)</f>
        <v>89</v>
      </c>
      <c r="U1569" s="152">
        <f>100*(INDEX(TDU_Info!$E$5:$E$110,$T1569)/T$11+INDEX(TDU_Info!$F$5:$F$110,$T1569))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MATCH(1,(TDU_Info!$C$5:$C$110=$T$6)*(TDU_Info!$B$5:$B$110&lt;=$B1570),0)</f>
        <v>89</v>
      </c>
      <c r="U1570" s="152">
        <f>100*(INDEX(TDU_Info!$E$5:$E$110,$T1570)/T$11+INDEX(TDU_Info!$F$5:$F$110,$T1570))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MATCH(1,(TDU_Info!$C$5:$C$110=$T$6)*(TDU_Info!$B$5:$B$110&lt;=$B1571),0)</f>
        <v>89</v>
      </c>
      <c r="U1571" s="152">
        <f>100*(INDEX(TDU_Info!$E$5:$E$110,$T1571)/T$11+INDEX(TDU_Info!$F$5:$F$110,$T1571))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MATCH(1,(TDU_Info!$C$5:$C$110=$T$6)*(TDU_Info!$B$5:$B$110&lt;=$B1572),0)</f>
        <v>89</v>
      </c>
      <c r="U1572" s="152">
        <f>100*(INDEX(TDU_Info!$E$5:$E$110,$T1572)/T$11+INDEX(TDU_Info!$F$5:$F$110,$T1572))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MATCH(1,(TDU_Info!$C$5:$C$110=$T$6)*(TDU_Info!$B$5:$B$110&lt;=$B1573),0)</f>
        <v>89</v>
      </c>
      <c r="U1573" s="152">
        <f>100*(INDEX(TDU_Info!$E$5:$E$110,$T1573)/T$11+INDEX(TDU_Info!$F$5:$F$110,$T1573))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MATCH(1,(TDU_Info!$C$5:$C$110=$T$6)*(TDU_Info!$B$5:$B$110&lt;=$B1574),0)</f>
        <v>89</v>
      </c>
      <c r="U1574" s="152">
        <f>100*(INDEX(TDU_Info!$E$5:$E$110,$T1574)/T$11+INDEX(TDU_Info!$F$5:$F$110,$T1574))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MATCH(1,(TDU_Info!$C$5:$C$110=$T$6)*(TDU_Info!$B$5:$B$110&lt;=$B1575),0)</f>
        <v>89</v>
      </c>
      <c r="U1575" s="152">
        <f>100*(INDEX(TDU_Info!$E$5:$E$110,$T1575)/T$11+INDEX(TDU_Info!$F$5:$F$110,$T1575))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MATCH(1,(TDU_Info!$C$5:$C$110=$T$6)*(TDU_Info!$B$5:$B$110&lt;=$B1576),0)</f>
        <v>89</v>
      </c>
      <c r="U1576" s="152">
        <f>100*(INDEX(TDU_Info!$E$5:$E$110,$T1576)/T$11+INDEX(TDU_Info!$F$5:$F$110,$T1576))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MATCH(1,(TDU_Info!$C$5:$C$110=$T$6)*(TDU_Info!$B$5:$B$110&lt;=$B1577),0)</f>
        <v>89</v>
      </c>
      <c r="U1577" s="152">
        <f>100*(INDEX(TDU_Info!$E$5:$E$110,$T1577)/T$11+INDEX(TDU_Info!$F$5:$F$110,$T1577))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MATCH(1,(TDU_Info!$C$5:$C$110=$T$6)*(TDU_Info!$B$5:$B$110&lt;=$B1578),0)</f>
        <v>89</v>
      </c>
      <c r="U1578" s="152">
        <f>100*(INDEX(TDU_Info!$E$5:$E$110,$T1578)/T$11+INDEX(TDU_Info!$F$5:$F$110,$T1578))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MATCH(1,(TDU_Info!$C$5:$C$110=$T$6)*(TDU_Info!$B$5:$B$110&lt;=$B1579),0)</f>
        <v>89</v>
      </c>
      <c r="U1579" s="152">
        <f>100*(INDEX(TDU_Info!$E$5:$E$110,$T1579)/T$11+INDEX(TDU_Info!$F$5:$F$110,$T1579))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MATCH(1,(TDU_Info!$C$5:$C$110=$T$6)*(TDU_Info!$B$5:$B$110&lt;=$B1580),0)</f>
        <v>89</v>
      </c>
      <c r="U1580" s="152">
        <f>100*(INDEX(TDU_Info!$E$5:$E$110,$T1580)/T$11+INDEX(TDU_Info!$F$5:$F$110,$T1580))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MATCH(1,(TDU_Info!$C$5:$C$110=$T$6)*(TDU_Info!$B$5:$B$110&lt;=$B1581),0)</f>
        <v>89</v>
      </c>
      <c r="U1581" s="152">
        <f>100*(INDEX(TDU_Info!$E$5:$E$110,$T1581)/T$11+INDEX(TDU_Info!$F$5:$F$110,$T1581))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MATCH(1,(TDU_Info!$C$5:$C$110=$T$6)*(TDU_Info!$B$5:$B$110&lt;=$B1582),0)</f>
        <v>89</v>
      </c>
      <c r="U1582" s="152">
        <f>100*(INDEX(TDU_Info!$E$5:$E$110,$T1582)/T$11+INDEX(TDU_Info!$F$5:$F$110,$T1582))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MATCH(1,(TDU_Info!$C$5:$C$110=$T$6)*(TDU_Info!$B$5:$B$110&lt;=$B1583),0)</f>
        <v>89</v>
      </c>
      <c r="U1583" s="152">
        <f>100*(INDEX(TDU_Info!$E$5:$E$110,$T1583)/T$11+INDEX(TDU_Info!$F$5:$F$110,$T1583))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MATCH(1,(TDU_Info!$C$5:$C$110=$T$6)*(TDU_Info!$B$5:$B$110&lt;=$B1584),0)</f>
        <v>89</v>
      </c>
      <c r="U1584" s="152">
        <f>100*(INDEX(TDU_Info!$E$5:$E$110,$T1584)/T$11+INDEX(TDU_Info!$F$5:$F$110,$T1584))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MATCH(1,(TDU_Info!$C$5:$C$110=$T$6)*(TDU_Info!$B$5:$B$110&lt;=$B1585),0)</f>
        <v>89</v>
      </c>
      <c r="U1585" s="152">
        <f>100*(INDEX(TDU_Info!$E$5:$E$110,$T1585)/T$11+INDEX(TDU_Info!$F$5:$F$110,$T1585))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MATCH(1,(TDU_Info!$C$5:$C$110=$T$6)*(TDU_Info!$B$5:$B$110&lt;=$B1586),0)</f>
        <v>89</v>
      </c>
      <c r="U1586" s="152">
        <f>100*(INDEX(TDU_Info!$E$5:$E$110,$T1586)/T$11+INDEX(TDU_Info!$F$5:$F$110,$T1586))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MATCH(1,(TDU_Info!$C$5:$C$110=$T$6)*(TDU_Info!$B$5:$B$110&lt;=$B1587),0)</f>
        <v>89</v>
      </c>
      <c r="U1587" s="152">
        <f>100*(INDEX(TDU_Info!$E$5:$E$110,$T1587)/T$11+INDEX(TDU_Info!$F$5:$F$110,$T1587))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MATCH(1,(TDU_Info!$C$5:$C$110=$T$6)*(TDU_Info!$B$5:$B$110&lt;=$B1588),0)</f>
        <v>89</v>
      </c>
      <c r="U1588" s="152">
        <f>100*(INDEX(TDU_Info!$E$5:$E$110,$T1588)/T$11+INDEX(TDU_Info!$F$5:$F$110,$T1588))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MATCH(1,(TDU_Info!$C$5:$C$110=$T$6)*(TDU_Info!$B$5:$B$110&lt;=$B1589),0)</f>
        <v>89</v>
      </c>
      <c r="U1589" s="152">
        <f>100*(INDEX(TDU_Info!$E$5:$E$110,$T1589)/T$11+INDEX(TDU_Info!$F$5:$F$110,$T1589))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MATCH(1,(TDU_Info!$C$5:$C$110=$T$6)*(TDU_Info!$B$5:$B$110&lt;=$B1590),0)</f>
        <v>89</v>
      </c>
      <c r="U1590" s="152">
        <f>100*(INDEX(TDU_Info!$E$5:$E$110,$T1590)/T$11+INDEX(TDU_Info!$F$5:$F$110,$T1590))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MATCH(1,(TDU_Info!$C$5:$C$110=$T$6)*(TDU_Info!$B$5:$B$110&lt;=$B1591),0)</f>
        <v>89</v>
      </c>
      <c r="U1591" s="152">
        <f>100*(INDEX(TDU_Info!$E$5:$E$110,$T1591)/T$11+INDEX(TDU_Info!$F$5:$F$110,$T1591))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MATCH(1,(TDU_Info!$C$5:$C$110=$T$6)*(TDU_Info!$B$5:$B$110&lt;=$B1592),0)</f>
        <v>89</v>
      </c>
      <c r="U1592" s="152">
        <f>100*(INDEX(TDU_Info!$E$5:$E$110,$T1592)/T$11+INDEX(TDU_Info!$F$5:$F$110,$T1592))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MATCH(1,(TDU_Info!$C$5:$C$110=$T$6)*(TDU_Info!$B$5:$B$110&lt;=$B1593),0)</f>
        <v>89</v>
      </c>
      <c r="U1593" s="152">
        <f>100*(INDEX(TDU_Info!$E$5:$E$110,$T1593)/T$11+INDEX(TDU_Info!$F$5:$F$110,$T1593))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MATCH(1,(TDU_Info!$C$5:$C$110=$T$6)*(TDU_Info!$B$5:$B$110&lt;=$B1594),0)</f>
        <v>89</v>
      </c>
      <c r="U1594" s="152">
        <f>100*(INDEX(TDU_Info!$E$5:$E$110,$T1594)/T$11+INDEX(TDU_Info!$F$5:$F$110,$T1594))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MATCH(1,(TDU_Info!$C$5:$C$110=$T$6)*(TDU_Info!$B$5:$B$110&lt;=$B1595),0)</f>
        <v>89</v>
      </c>
      <c r="U1595" s="152">
        <f>100*(INDEX(TDU_Info!$E$5:$E$110,$T1595)/T$11+INDEX(TDU_Info!$F$5:$F$110,$T1595))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MATCH(1,(TDU_Info!$C$5:$C$110=$T$6)*(TDU_Info!$B$5:$B$110&lt;=$B1596),0)</f>
        <v>89</v>
      </c>
      <c r="U1596" s="152">
        <f>100*(INDEX(TDU_Info!$E$5:$E$110,$T1596)/T$11+INDEX(TDU_Info!$F$5:$F$110,$T1596))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MATCH(1,(TDU_Info!$C$5:$C$110=$T$6)*(TDU_Info!$B$5:$B$110&lt;=$B1597),0)</f>
        <v>89</v>
      </c>
      <c r="U1597" s="152">
        <f>100*(INDEX(TDU_Info!$E$5:$E$110,$T1597)/T$11+INDEX(TDU_Info!$F$5:$F$110,$T1597))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MATCH(1,(TDU_Info!$C$5:$C$110=$T$6)*(TDU_Info!$B$5:$B$110&lt;=$B1598),0)</f>
        <v>89</v>
      </c>
      <c r="U1598" s="152">
        <f>100*(INDEX(TDU_Info!$E$5:$E$110,$T1598)/T$11+INDEX(TDU_Info!$F$5:$F$110,$T1598))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MATCH(1,(TDU_Info!$C$5:$C$110=$T$6)*(TDU_Info!$B$5:$B$110&lt;=$B1599),0)</f>
        <v>89</v>
      </c>
      <c r="U1599" s="152">
        <f>100*(INDEX(TDU_Info!$E$5:$E$110,$T1599)/T$11+INDEX(TDU_Info!$F$5:$F$110,$T1599))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MATCH(1,(TDU_Info!$C$5:$C$110=$T$6)*(TDU_Info!$B$5:$B$110&lt;=$B1600),0)</f>
        <v>89</v>
      </c>
      <c r="U1600" s="152">
        <f>100*(INDEX(TDU_Info!$E$5:$E$110,$T1600)/T$11+INDEX(TDU_Info!$F$5:$F$110,$T1600))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MATCH(1,(TDU_Info!$C$5:$C$110=$T$6)*(TDU_Info!$B$5:$B$110&lt;=$B1601),0)</f>
        <v>89</v>
      </c>
      <c r="U1601" s="152">
        <f>100*(INDEX(TDU_Info!$E$5:$E$110,$T1601)/T$11+INDEX(TDU_Info!$F$5:$F$110,$T1601))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MATCH(1,(TDU_Info!$C$5:$C$110=$T$6)*(TDU_Info!$B$5:$B$110&lt;=$B1602),0)</f>
        <v>89</v>
      </c>
      <c r="U1602" s="152">
        <f>100*(INDEX(TDU_Info!$E$5:$E$110,$T1602)/T$11+INDEX(TDU_Info!$F$5:$F$110,$T1602))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MATCH(1,(TDU_Info!$C$5:$C$110=$T$6)*(TDU_Info!$B$5:$B$110&lt;=$B1603),0)</f>
        <v>89</v>
      </c>
      <c r="U1603" s="152">
        <f>100*(INDEX(TDU_Info!$E$5:$E$110,$T1603)/T$11+INDEX(TDU_Info!$F$5:$F$110,$T1603))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MATCH(1,(TDU_Info!$C$5:$C$110=$T$6)*(TDU_Info!$B$5:$B$110&lt;=$B1604),0)</f>
        <v>89</v>
      </c>
      <c r="U1604" s="152">
        <f>100*(INDEX(TDU_Info!$E$5:$E$110,$T1604)/T$11+INDEX(TDU_Info!$F$5:$F$110,$T1604))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MATCH(1,(TDU_Info!$C$5:$C$110=$T$6)*(TDU_Info!$B$5:$B$110&lt;=$B1605),0)</f>
        <v>89</v>
      </c>
      <c r="U1605" s="152">
        <f>100*(INDEX(TDU_Info!$E$5:$E$110,$T1605)/T$11+INDEX(TDU_Info!$F$5:$F$110,$T1605))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MATCH(1,(TDU_Info!$C$5:$C$110=$T$6)*(TDU_Info!$B$5:$B$110&lt;=$B1606),0)</f>
        <v>89</v>
      </c>
      <c r="U1606" s="152">
        <f>100*(INDEX(TDU_Info!$E$5:$E$110,$T1606)/T$11+INDEX(TDU_Info!$F$5:$F$110,$T1606))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MATCH(1,(TDU_Info!$C$5:$C$110=$T$6)*(TDU_Info!$B$5:$B$110&lt;=$B1607),0)</f>
        <v>89</v>
      </c>
      <c r="U1607" s="152">
        <f>100*(INDEX(TDU_Info!$E$5:$E$110,$T1607)/T$11+INDEX(TDU_Info!$F$5:$F$110,$T1607))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MATCH(1,(TDU_Info!$C$5:$C$110=$T$6)*(TDU_Info!$B$5:$B$110&lt;=$B1608),0)</f>
        <v>89</v>
      </c>
      <c r="U1608" s="152">
        <f>100*(INDEX(TDU_Info!$E$5:$E$110,$T1608)/T$11+INDEX(TDU_Info!$F$5:$F$110,$T1608))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MATCH(1,(TDU_Info!$C$5:$C$110=$T$6)*(TDU_Info!$B$5:$B$110&lt;=$B1609),0)</f>
        <v>89</v>
      </c>
      <c r="U1609" s="152">
        <f>100*(INDEX(TDU_Info!$E$5:$E$110,$T1609)/T$11+INDEX(TDU_Info!$F$5:$F$110,$T1609))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MATCH(1,(TDU_Info!$C$5:$C$110=$T$6)*(TDU_Info!$B$5:$B$110&lt;=$B1610),0)</f>
        <v>89</v>
      </c>
      <c r="U1610" s="152">
        <f>100*(INDEX(TDU_Info!$E$5:$E$110,$T1610)/T$11+INDEX(TDU_Info!$F$5:$F$110,$T1610))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MATCH(1,(TDU_Info!$C$5:$C$110=$T$6)*(TDU_Info!$B$5:$B$110&lt;=$B1611),0)</f>
        <v>89</v>
      </c>
      <c r="U1611" s="152">
        <f>100*(INDEX(TDU_Info!$E$5:$E$110,$T1611)/T$11+INDEX(TDU_Info!$F$5:$F$110,$T1611))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MATCH(1,(TDU_Info!$C$5:$C$110=$T$6)*(TDU_Info!$B$5:$B$110&lt;=$B1612),0)</f>
        <v>89</v>
      </c>
      <c r="U1612" s="152">
        <f>100*(INDEX(TDU_Info!$E$5:$E$110,$T1612)/T$11+INDEX(TDU_Info!$F$5:$F$110,$T1612))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MATCH(1,(TDU_Info!$C$5:$C$110=$T$6)*(TDU_Info!$B$5:$B$110&lt;=$B1613),0)</f>
        <v>89</v>
      </c>
      <c r="U1613" s="152">
        <f>100*(INDEX(TDU_Info!$E$5:$E$110,$T1613)/T$11+INDEX(TDU_Info!$F$5:$F$110,$T1613))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MATCH(1,(TDU_Info!$C$5:$C$110=$T$6)*(TDU_Info!$B$5:$B$110&lt;=$B1614),0)</f>
        <v>89</v>
      </c>
      <c r="U1614" s="152">
        <f>100*(INDEX(TDU_Info!$E$5:$E$110,$T1614)/T$11+INDEX(TDU_Info!$F$5:$F$110,$T1614))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MATCH(1,(TDU_Info!$C$5:$C$110=$T$6)*(TDU_Info!$B$5:$B$110&lt;=$B1615),0)</f>
        <v>89</v>
      </c>
      <c r="U1615" s="152">
        <f>100*(INDEX(TDU_Info!$E$5:$E$110,$T1615)/T$11+INDEX(TDU_Info!$F$5:$F$110,$T1615))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MATCH(1,(TDU_Info!$C$5:$C$110=$T$6)*(TDU_Info!$B$5:$B$110&lt;=$B1616),0)</f>
        <v>89</v>
      </c>
      <c r="U1616" s="152">
        <f>100*(INDEX(TDU_Info!$E$5:$E$110,$T1616)/T$11+INDEX(TDU_Info!$F$5:$F$110,$T1616))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MATCH(1,(TDU_Info!$C$5:$C$110=$T$6)*(TDU_Info!$B$5:$B$110&lt;=$B1617),0)</f>
        <v>89</v>
      </c>
      <c r="U1617" s="152">
        <f>100*(INDEX(TDU_Info!$E$5:$E$110,$T1617)/T$11+INDEX(TDU_Info!$F$5:$F$110,$T1617))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MATCH(1,(TDU_Info!$C$5:$C$110=$T$6)*(TDU_Info!$B$5:$B$110&lt;=$B1618),0)</f>
        <v>89</v>
      </c>
      <c r="U1618" s="152">
        <f>100*(INDEX(TDU_Info!$E$5:$E$110,$T1618)/T$11+INDEX(TDU_Info!$F$5:$F$110,$T1618))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MATCH(1,(TDU_Info!$C$5:$C$110=$T$6)*(TDU_Info!$B$5:$B$110&lt;=$B1619),0)</f>
        <v>89</v>
      </c>
      <c r="U1619" s="152">
        <f>100*(INDEX(TDU_Info!$E$5:$E$110,$T1619)/T$11+INDEX(TDU_Info!$F$5:$F$110,$T1619))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MATCH(1,(TDU_Info!$C$5:$C$110=$T$6)*(TDU_Info!$B$5:$B$110&lt;=$B1620),0)</f>
        <v>89</v>
      </c>
      <c r="U1620" s="152">
        <f>100*(INDEX(TDU_Info!$E$5:$E$110,$T1620)/T$11+INDEX(TDU_Info!$F$5:$F$110,$T1620))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MATCH(1,(TDU_Info!$C$5:$C$110=$T$6)*(TDU_Info!$B$5:$B$110&lt;=$B1621),0)</f>
        <v>89</v>
      </c>
      <c r="U1621" s="152">
        <f>100*(INDEX(TDU_Info!$E$5:$E$110,$T1621)/T$11+INDEX(TDU_Info!$F$5:$F$110,$T1621))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MATCH(1,(TDU_Info!$C$5:$C$110=$T$6)*(TDU_Info!$B$5:$B$110&lt;=$B1622),0)</f>
        <v>89</v>
      </c>
      <c r="U1622" s="152">
        <f>100*(INDEX(TDU_Info!$E$5:$E$110,$T1622)/T$11+INDEX(TDU_Info!$F$5:$F$110,$T1622))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MATCH(1,(TDU_Info!$C$5:$C$110=$T$6)*(TDU_Info!$B$5:$B$110&lt;=$B1623),0)</f>
        <v>89</v>
      </c>
      <c r="U1623" s="152">
        <f>100*(INDEX(TDU_Info!$E$5:$E$110,$T1623)/T$11+INDEX(TDU_Info!$F$5:$F$110,$T1623))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MATCH(1,(TDU_Info!$C$5:$C$110=$T$6)*(TDU_Info!$B$5:$B$110&lt;=$B1624),0)</f>
        <v>89</v>
      </c>
      <c r="U1624" s="152">
        <f>100*(INDEX(TDU_Info!$E$5:$E$110,$T1624)/T$11+INDEX(TDU_Info!$F$5:$F$110,$T1624))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MATCH(1,(TDU_Info!$C$5:$C$110=$T$6)*(TDU_Info!$B$5:$B$110&lt;=$B1625),0)</f>
        <v>89</v>
      </c>
      <c r="U1625" s="152">
        <f>100*(INDEX(TDU_Info!$E$5:$E$110,$T1625)/T$11+INDEX(TDU_Info!$F$5:$F$110,$T1625))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MATCH(1,(TDU_Info!$C$5:$C$110=$T$6)*(TDU_Info!$B$5:$B$110&lt;=$B1626),0)</f>
        <v>89</v>
      </c>
      <c r="U1626" s="152">
        <f>100*(INDEX(TDU_Info!$E$5:$E$110,$T1626)/T$11+INDEX(TDU_Info!$F$5:$F$110,$T1626))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MATCH(1,(TDU_Info!$C$5:$C$110=$T$6)*(TDU_Info!$B$5:$B$110&lt;=$B1627),0)</f>
        <v>89</v>
      </c>
      <c r="U1627" s="152">
        <f>100*(INDEX(TDU_Info!$E$5:$E$110,$T1627)/T$11+INDEX(TDU_Info!$F$5:$F$110,$T1627))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MATCH(1,(TDU_Info!$C$5:$C$110=$T$6)*(TDU_Info!$B$5:$B$110&lt;=$B1628),0)</f>
        <v>89</v>
      </c>
      <c r="U1628" s="152">
        <f>100*(INDEX(TDU_Info!$E$5:$E$110,$T1628)/T$11+INDEX(TDU_Info!$F$5:$F$110,$T1628))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MATCH(1,(TDU_Info!$C$5:$C$110=$T$6)*(TDU_Info!$B$5:$B$110&lt;=$B1629),0)</f>
        <v>89</v>
      </c>
      <c r="U1629" s="152">
        <f>100*(INDEX(TDU_Info!$E$5:$E$110,$T1629)/T$11+INDEX(TDU_Info!$F$5:$F$110,$T1629))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MATCH(1,(TDU_Info!$C$5:$C$110=$T$6)*(TDU_Info!$B$5:$B$110&lt;=$B1630),0)</f>
        <v>89</v>
      </c>
      <c r="U1630" s="152">
        <f>100*(INDEX(TDU_Info!$E$5:$E$110,$T1630)/T$11+INDEX(TDU_Info!$F$5:$F$110,$T1630))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MATCH(1,(TDU_Info!$C$5:$C$110=$T$6)*(TDU_Info!$B$5:$B$110&lt;=$B1631),0)</f>
        <v>89</v>
      </c>
      <c r="U1631" s="152">
        <f>100*(INDEX(TDU_Info!$E$5:$E$110,$T1631)/T$11+INDEX(TDU_Info!$F$5:$F$110,$T1631))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MATCH(1,(TDU_Info!$C$5:$C$110=$T$6)*(TDU_Info!$B$5:$B$110&lt;=$B1632),0)</f>
        <v>89</v>
      </c>
      <c r="U1632" s="152">
        <f>100*(INDEX(TDU_Info!$E$5:$E$110,$T1632)/T$11+INDEX(TDU_Info!$F$5:$F$110,$T1632))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MATCH(1,(TDU_Info!$C$5:$C$110=$T$6)*(TDU_Info!$B$5:$B$110&lt;=$B1633),0)</f>
        <v>89</v>
      </c>
      <c r="U1633" s="152">
        <f>100*(INDEX(TDU_Info!$E$5:$E$110,$T1633)/T$11+INDEX(TDU_Info!$F$5:$F$110,$T1633))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MATCH(1,(TDU_Info!$C$5:$C$110=$T$6)*(TDU_Info!$B$5:$B$110&lt;=$B1634),0)</f>
        <v>89</v>
      </c>
      <c r="U1634" s="152">
        <f>100*(INDEX(TDU_Info!$E$5:$E$110,$T1634)/T$11+INDEX(TDU_Info!$F$5:$F$110,$T1634))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MATCH(1,(TDU_Info!$C$5:$C$110=$T$6)*(TDU_Info!$B$5:$B$110&lt;=$B1635),0)</f>
        <v>89</v>
      </c>
      <c r="U1635" s="152">
        <f>100*(INDEX(TDU_Info!$E$5:$E$110,$T1635)/T$11+INDEX(TDU_Info!$F$5:$F$110,$T1635))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MATCH(1,(TDU_Info!$C$5:$C$110=$T$6)*(TDU_Info!$B$5:$B$110&lt;=$B1636),0)</f>
        <v>89</v>
      </c>
      <c r="U1636" s="152">
        <f>100*(INDEX(TDU_Info!$E$5:$E$110,$T1636)/T$11+INDEX(TDU_Info!$F$5:$F$110,$T1636))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MATCH(1,(TDU_Info!$C$5:$C$110=$T$6)*(TDU_Info!$B$5:$B$110&lt;=$B1637),0)</f>
        <v>89</v>
      </c>
      <c r="U1637" s="152">
        <f>100*(INDEX(TDU_Info!$E$5:$E$110,$T1637)/T$11+INDEX(TDU_Info!$F$5:$F$110,$T1637))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MATCH(1,(TDU_Info!$C$5:$C$110=$T$6)*(TDU_Info!$B$5:$B$110&lt;=$B1638),0)</f>
        <v>89</v>
      </c>
      <c r="U1638" s="152">
        <f>100*(INDEX(TDU_Info!$E$5:$E$110,$T1638)/T$11+INDEX(TDU_Info!$F$5:$F$110,$T1638))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MATCH(1,(TDU_Info!$C$5:$C$110=$T$6)*(TDU_Info!$B$5:$B$110&lt;=$B1639),0)</f>
        <v>89</v>
      </c>
      <c r="U1639" s="152">
        <f>100*(INDEX(TDU_Info!$E$5:$E$110,$T1639)/T$11+INDEX(TDU_Info!$F$5:$F$110,$T1639))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MATCH(1,(TDU_Info!$C$5:$C$110=$T$6)*(TDU_Info!$B$5:$B$110&lt;=$B1640),0)</f>
        <v>89</v>
      </c>
      <c r="U1640" s="152">
        <f>100*(INDEX(TDU_Info!$E$5:$E$110,$T1640)/T$11+INDEX(TDU_Info!$F$5:$F$110,$T1640))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MATCH(1,(TDU_Info!$C$5:$C$110=$T$6)*(TDU_Info!$B$5:$B$110&lt;=$B1641),0)</f>
        <v>89</v>
      </c>
      <c r="U1641" s="152">
        <f>100*(INDEX(TDU_Info!$E$5:$E$110,$T1641)/T$11+INDEX(TDU_Info!$F$5:$F$110,$T1641))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MATCH(1,(TDU_Info!$C$5:$C$110=$T$6)*(TDU_Info!$B$5:$B$110&lt;=$B1642),0)</f>
        <v>89</v>
      </c>
      <c r="U1642" s="152">
        <f>100*(INDEX(TDU_Info!$E$5:$E$110,$T1642)/T$11+INDEX(TDU_Info!$F$5:$F$110,$T1642))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MATCH(1,(TDU_Info!$C$5:$C$110=$T$6)*(TDU_Info!$B$5:$B$110&lt;=$B1643),0)</f>
        <v>89</v>
      </c>
      <c r="U1643" s="152">
        <f>100*(INDEX(TDU_Info!$E$5:$E$110,$T1643)/T$11+INDEX(TDU_Info!$F$5:$F$110,$T1643))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MATCH(1,(TDU_Info!$C$5:$C$110=$T$6)*(TDU_Info!$B$5:$B$110&lt;=$B1644),0)</f>
        <v>89</v>
      </c>
      <c r="U1644" s="152">
        <f>100*(INDEX(TDU_Info!$E$5:$E$110,$T1644)/T$11+INDEX(TDU_Info!$F$5:$F$110,$T1644))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MATCH(1,(TDU_Info!$C$5:$C$110=$T$6)*(TDU_Info!$B$5:$B$110&lt;=$B1645),0)</f>
        <v>89</v>
      </c>
      <c r="U1645" s="152">
        <f>100*(INDEX(TDU_Info!$E$5:$E$110,$T1645)/T$11+INDEX(TDU_Info!$F$5:$F$110,$T1645))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MATCH(1,(TDU_Info!$C$5:$C$110=$T$6)*(TDU_Info!$B$5:$B$110&lt;=$B1646),0)</f>
        <v>89</v>
      </c>
      <c r="U1646" s="152">
        <f>100*(INDEX(TDU_Info!$E$5:$E$110,$T1646)/T$11+INDEX(TDU_Info!$F$5:$F$110,$T1646))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MATCH(1,(TDU_Info!$C$5:$C$110=$T$6)*(TDU_Info!$B$5:$B$110&lt;=$B1647),0)</f>
        <v>89</v>
      </c>
      <c r="U1647" s="152">
        <f>100*(INDEX(TDU_Info!$E$5:$E$110,$T1647)/T$11+INDEX(TDU_Info!$F$5:$F$110,$T1647))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MATCH(1,(TDU_Info!$C$5:$C$110=$T$6)*(TDU_Info!$B$5:$B$110&lt;=$B1648),0)</f>
        <v>89</v>
      </c>
      <c r="U1648" s="152">
        <f>100*(INDEX(TDU_Info!$E$5:$E$110,$T1648)/T$11+INDEX(TDU_Info!$F$5:$F$110,$T1648))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MATCH(1,(TDU_Info!$C$5:$C$110=$T$6)*(TDU_Info!$B$5:$B$110&lt;=$B1649),0)</f>
        <v>89</v>
      </c>
      <c r="U1649" s="152">
        <f>100*(INDEX(TDU_Info!$E$5:$E$110,$T1649)/T$11+INDEX(TDU_Info!$F$5:$F$110,$T1649))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MATCH(1,(TDU_Info!$C$5:$C$110=$T$6)*(TDU_Info!$B$5:$B$110&lt;=$B1650),0)</f>
        <v>89</v>
      </c>
      <c r="U1650" s="152">
        <f>100*(INDEX(TDU_Info!$E$5:$E$110,$T1650)/T$11+INDEX(TDU_Info!$F$5:$F$110,$T1650))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MATCH(1,(TDU_Info!$C$5:$C$110=$T$6)*(TDU_Info!$B$5:$B$110&lt;=$B1651),0)</f>
        <v>89</v>
      </c>
      <c r="U1651" s="152">
        <f>100*(INDEX(TDU_Info!$E$5:$E$110,$T1651)/T$11+INDEX(TDU_Info!$F$5:$F$110,$T1651))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MATCH(1,(TDU_Info!$C$5:$C$110=$T$6)*(TDU_Info!$B$5:$B$110&lt;=$B1652),0)</f>
        <v>89</v>
      </c>
      <c r="U1652" s="152">
        <f>100*(INDEX(TDU_Info!$E$5:$E$110,$T1652)/T$11+INDEX(TDU_Info!$F$5:$F$110,$T1652))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MATCH(1,(TDU_Info!$C$5:$C$110=$T$6)*(TDU_Info!$B$5:$B$110&lt;=$B1653),0)</f>
        <v>89</v>
      </c>
      <c r="U1653" s="152">
        <f>100*(INDEX(TDU_Info!$E$5:$E$110,$T1653)/T$11+INDEX(TDU_Info!$F$5:$F$110,$T1653))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MATCH(1,(TDU_Info!$C$5:$C$110=$T$6)*(TDU_Info!$B$5:$B$110&lt;=$B1654),0)</f>
        <v>89</v>
      </c>
      <c r="U1654" s="152">
        <f>100*(INDEX(TDU_Info!$E$5:$E$110,$T1654)/T$11+INDEX(TDU_Info!$F$5:$F$110,$T1654))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MATCH(1,(TDU_Info!$C$5:$C$110=$T$6)*(TDU_Info!$B$5:$B$110&lt;=$B1655),0)</f>
        <v>89</v>
      </c>
      <c r="U1655" s="152">
        <f>100*(INDEX(TDU_Info!$E$5:$E$110,$T1655)/T$11+INDEX(TDU_Info!$F$5:$F$110,$T1655))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MATCH(1,(TDU_Info!$C$5:$C$110=$T$6)*(TDU_Info!$B$5:$B$110&lt;=$B1656),0)</f>
        <v>89</v>
      </c>
      <c r="U1656" s="152">
        <f>100*(INDEX(TDU_Info!$E$5:$E$110,$T1656)/T$11+INDEX(TDU_Info!$F$5:$F$110,$T1656))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MATCH(1,(TDU_Info!$C$5:$C$110=$T$6)*(TDU_Info!$B$5:$B$110&lt;=$B1657),0)</f>
        <v>89</v>
      </c>
      <c r="U1657" s="152">
        <f>100*(INDEX(TDU_Info!$E$5:$E$110,$T1657)/T$11+INDEX(TDU_Info!$F$5:$F$110,$T1657))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MATCH(1,(TDU_Info!$C$5:$C$110=$T$6)*(TDU_Info!$B$5:$B$110&lt;=$B1658),0)</f>
        <v>89</v>
      </c>
      <c r="U1658" s="152">
        <f>100*(INDEX(TDU_Info!$E$5:$E$110,$T1658)/T$11+INDEX(TDU_Info!$F$5:$F$110,$T1658))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MATCH(1,(TDU_Info!$C$5:$C$110=$T$6)*(TDU_Info!$B$5:$B$110&lt;=$B1659),0)</f>
        <v>89</v>
      </c>
      <c r="U1659" s="152">
        <f>100*(INDEX(TDU_Info!$E$5:$E$110,$T1659)/T$11+INDEX(TDU_Info!$F$5:$F$110,$T1659))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MATCH(1,(TDU_Info!$C$5:$C$110=$T$6)*(TDU_Info!$B$5:$B$110&lt;=$B1660),0)</f>
        <v>89</v>
      </c>
      <c r="U1660" s="152">
        <f>100*(INDEX(TDU_Info!$E$5:$E$110,$T1660)/T$11+INDEX(TDU_Info!$F$5:$F$110,$T1660))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MATCH(1,(TDU_Info!$C$5:$C$110=$T$6)*(TDU_Info!$B$5:$B$110&lt;=$B1661),0)</f>
        <v>89</v>
      </c>
      <c r="U1661" s="152">
        <f>100*(INDEX(TDU_Info!$E$5:$E$110,$T1661)/T$11+INDEX(TDU_Info!$F$5:$F$110,$T1661))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MATCH(1,(TDU_Info!$C$5:$C$110=$T$6)*(TDU_Info!$B$5:$B$110&lt;=$B1662),0)</f>
        <v>89</v>
      </c>
      <c r="U1662" s="152">
        <f>100*(INDEX(TDU_Info!$E$5:$E$110,$T1662)/T$11+INDEX(TDU_Info!$F$5:$F$110,$T1662))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MATCH(1,(TDU_Info!$C$5:$C$110=$T$6)*(TDU_Info!$B$5:$B$110&lt;=$B1663),0)</f>
        <v>89</v>
      </c>
      <c r="U1663" s="152">
        <f>100*(INDEX(TDU_Info!$E$5:$E$110,$T1663)/T$11+INDEX(TDU_Info!$F$5:$F$110,$T1663))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MATCH(1,(TDU_Info!$C$5:$C$110=$T$6)*(TDU_Info!$B$5:$B$110&lt;=$B1664),0)</f>
        <v>89</v>
      </c>
      <c r="U1664" s="152">
        <f>100*(INDEX(TDU_Info!$E$5:$E$110,$T1664)/T$11+INDEX(TDU_Info!$F$5:$F$110,$T1664))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MATCH(1,(TDU_Info!$C$5:$C$110=$T$6)*(TDU_Info!$B$5:$B$110&lt;=$B1665),0)</f>
        <v>89</v>
      </c>
      <c r="U1665" s="152">
        <f>100*(INDEX(TDU_Info!$E$5:$E$110,$T1665)/T$11+INDEX(TDU_Info!$F$5:$F$110,$T1665))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MATCH(1,(TDU_Info!$C$5:$C$110=$T$6)*(TDU_Info!$B$5:$B$110&lt;=$B1666),0)</f>
        <v>89</v>
      </c>
      <c r="U1666" s="152">
        <f>100*(INDEX(TDU_Info!$E$5:$E$110,$T1666)/T$11+INDEX(TDU_Info!$F$5:$F$110,$T1666))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MATCH(1,(TDU_Info!$C$5:$C$110=$T$6)*(TDU_Info!$B$5:$B$110&lt;=$B1667),0)</f>
        <v>89</v>
      </c>
      <c r="U1667" s="152">
        <f>100*(INDEX(TDU_Info!$E$5:$E$110,$T1667)/T$11+INDEX(TDU_Info!$F$5:$F$110,$T1667))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MATCH(1,(TDU_Info!$C$5:$C$110=$T$6)*(TDU_Info!$B$5:$B$110&lt;=$B1668),0)</f>
        <v>89</v>
      </c>
      <c r="U1668" s="152">
        <f>100*(INDEX(TDU_Info!$E$5:$E$110,$T1668)/T$11+INDEX(TDU_Info!$F$5:$F$110,$T1668))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MATCH(1,(TDU_Info!$C$5:$C$110=$T$6)*(TDU_Info!$B$5:$B$110&lt;=$B1669),0)</f>
        <v>89</v>
      </c>
      <c r="U1669" s="152">
        <f>100*(INDEX(TDU_Info!$E$5:$E$110,$T1669)/T$11+INDEX(TDU_Info!$F$5:$F$110,$T1669))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MATCH(1,(TDU_Info!$C$5:$C$110=$T$6)*(TDU_Info!$B$5:$B$110&lt;=$B1670),0)</f>
        <v>89</v>
      </c>
      <c r="U1670" s="152">
        <f>100*(INDEX(TDU_Info!$E$5:$E$110,$T1670)/T$11+INDEX(TDU_Info!$F$5:$F$110,$T1670))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MATCH(1,(TDU_Info!$C$5:$C$110=$T$6)*(TDU_Info!$B$5:$B$110&lt;=$B1671),0)</f>
        <v>89</v>
      </c>
      <c r="U1671" s="152">
        <f>100*(INDEX(TDU_Info!$E$5:$E$110,$T1671)/T$11+INDEX(TDU_Info!$F$5:$F$110,$T1671))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MATCH(1,(TDU_Info!$C$5:$C$110=$T$6)*(TDU_Info!$B$5:$B$110&lt;=$B1672),0)</f>
        <v>89</v>
      </c>
      <c r="U1672" s="152">
        <f>100*(INDEX(TDU_Info!$E$5:$E$110,$T1672)/T$11+INDEX(TDU_Info!$F$5:$F$110,$T1672))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MATCH(1,(TDU_Info!$C$5:$C$110=$T$6)*(TDU_Info!$B$5:$B$110&lt;=$B1673),0)</f>
        <v>89</v>
      </c>
      <c r="U1673" s="152">
        <f>100*(INDEX(TDU_Info!$E$5:$E$110,$T1673)/T$11+INDEX(TDU_Info!$F$5:$F$110,$T1673))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MATCH(1,(TDU_Info!$C$5:$C$110=$T$6)*(TDU_Info!$B$5:$B$110&lt;=$B1674),0)</f>
        <v>89</v>
      </c>
      <c r="U1674" s="152">
        <f>100*(INDEX(TDU_Info!$E$5:$E$110,$T1674)/T$11+INDEX(TDU_Info!$F$5:$F$110,$T1674))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MATCH(1,(TDU_Info!$C$5:$C$110=$T$6)*(TDU_Info!$B$5:$B$110&lt;=$B1675),0)</f>
        <v>89</v>
      </c>
      <c r="U1675" s="152">
        <f>100*(INDEX(TDU_Info!$E$5:$E$110,$T1675)/T$11+INDEX(TDU_Info!$F$5:$F$110,$T1675))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MATCH(1,(TDU_Info!$C$5:$C$110=$T$6)*(TDU_Info!$B$5:$B$110&lt;=$B1676),0)</f>
        <v>89</v>
      </c>
      <c r="U1676" s="152">
        <f>100*(INDEX(TDU_Info!$E$5:$E$110,$T1676)/T$11+INDEX(TDU_Info!$F$5:$F$110,$T1676))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MATCH(1,(TDU_Info!$C$5:$C$110=$T$6)*(TDU_Info!$B$5:$B$110&lt;=$B1677),0)</f>
        <v>89</v>
      </c>
      <c r="U1677" s="152">
        <f>100*(INDEX(TDU_Info!$E$5:$E$110,$T1677)/T$11+INDEX(TDU_Info!$F$5:$F$110,$T1677))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MATCH(1,(TDU_Info!$C$5:$C$110=$T$6)*(TDU_Info!$B$5:$B$110&lt;=$B1678),0)</f>
        <v>89</v>
      </c>
      <c r="U1678" s="152">
        <f>100*(INDEX(TDU_Info!$E$5:$E$110,$T1678)/T$11+INDEX(TDU_Info!$F$5:$F$110,$T1678))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MATCH(1,(TDU_Info!$C$5:$C$110=$T$6)*(TDU_Info!$B$5:$B$110&lt;=$B1679),0)</f>
        <v>89</v>
      </c>
      <c r="U1679" s="152">
        <f>100*(INDEX(TDU_Info!$E$5:$E$110,$T1679)/T$11+INDEX(TDU_Info!$F$5:$F$110,$T1679))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MATCH(1,(TDU_Info!$C$5:$C$110=$T$6)*(TDU_Info!$B$5:$B$110&lt;=$B1680),0)</f>
        <v>89</v>
      </c>
      <c r="U1680" s="152">
        <f>100*(INDEX(TDU_Info!$E$5:$E$110,$T1680)/T$11+INDEX(TDU_Info!$F$5:$F$110,$T1680))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MATCH(1,(TDU_Info!$C$5:$C$110=$T$6)*(TDU_Info!$B$5:$B$110&lt;=$B1681),0)</f>
        <v>89</v>
      </c>
      <c r="U1681" s="152">
        <f>100*(INDEX(TDU_Info!$E$5:$E$110,$T1681)/T$11+INDEX(TDU_Info!$F$5:$F$110,$T1681))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MATCH(1,(TDU_Info!$C$5:$C$110=$T$6)*(TDU_Info!$B$5:$B$110&lt;=$B1682),0)</f>
        <v>89</v>
      </c>
      <c r="U1682" s="152">
        <f>100*(INDEX(TDU_Info!$E$5:$E$110,$T1682)/T$11+INDEX(TDU_Info!$F$5:$F$110,$T1682))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MATCH(1,(TDU_Info!$C$5:$C$110=$T$6)*(TDU_Info!$B$5:$B$110&lt;=$B1683),0)</f>
        <v>89</v>
      </c>
      <c r="U1683" s="152">
        <f>100*(INDEX(TDU_Info!$E$5:$E$110,$T1683)/T$11+INDEX(TDU_Info!$F$5:$F$110,$T1683))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MATCH(1,(TDU_Info!$C$5:$C$110=$T$6)*(TDU_Info!$B$5:$B$110&lt;=$B1684),0)</f>
        <v>89</v>
      </c>
      <c r="U1684" s="152">
        <f>100*(INDEX(TDU_Info!$E$5:$E$110,$T1684)/T$11+INDEX(TDU_Info!$F$5:$F$110,$T1684))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MATCH(1,(TDU_Info!$C$5:$C$110=$T$6)*(TDU_Info!$B$5:$B$110&lt;=$B1685),0)</f>
        <v>89</v>
      </c>
      <c r="U1685" s="152">
        <f>100*(INDEX(TDU_Info!$E$5:$E$110,$T1685)/T$11+INDEX(TDU_Info!$F$5:$F$110,$T1685))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MATCH(1,(TDU_Info!$C$5:$C$110=$T$6)*(TDU_Info!$B$5:$B$110&lt;=$B1686),0)</f>
        <v>89</v>
      </c>
      <c r="U1686" s="152">
        <f>100*(INDEX(TDU_Info!$E$5:$E$110,$T1686)/T$11+INDEX(TDU_Info!$F$5:$F$110,$T1686))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MATCH(1,(TDU_Info!$C$5:$C$110=$T$6)*(TDU_Info!$B$5:$B$110&lt;=$B1687),0)</f>
        <v>89</v>
      </c>
      <c r="U1687" s="152">
        <f>100*(INDEX(TDU_Info!$E$5:$E$110,$T1687)/T$11+INDEX(TDU_Info!$F$5:$F$110,$T1687))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MATCH(1,(TDU_Info!$C$5:$C$110=$T$6)*(TDU_Info!$B$5:$B$110&lt;=$B1688),0)</f>
        <v>89</v>
      </c>
      <c r="U1688" s="152">
        <f>100*(INDEX(TDU_Info!$E$5:$E$110,$T1688)/T$11+INDEX(TDU_Info!$F$5:$F$110,$T1688))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MATCH(1,(TDU_Info!$C$5:$C$110=$T$6)*(TDU_Info!$B$5:$B$110&lt;=$B1689),0)</f>
        <v>89</v>
      </c>
      <c r="U1689" s="152">
        <f>100*(INDEX(TDU_Info!$E$5:$E$110,$T1689)/T$11+INDEX(TDU_Info!$F$5:$F$110,$T1689))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MATCH(1,(TDU_Info!$C$5:$C$110=$T$6)*(TDU_Info!$B$5:$B$110&lt;=$B1690),0)</f>
        <v>89</v>
      </c>
      <c r="U1690" s="152">
        <f>100*(INDEX(TDU_Info!$E$5:$E$110,$T1690)/T$11+INDEX(TDU_Info!$F$5:$F$110,$T1690))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MATCH(1,(TDU_Info!$C$5:$C$110=$T$6)*(TDU_Info!$B$5:$B$110&lt;=$B1691),0)</f>
        <v>89</v>
      </c>
      <c r="U1691" s="152">
        <f>100*(INDEX(TDU_Info!$E$5:$E$110,$T1691)/T$11+INDEX(TDU_Info!$F$5:$F$110,$T1691))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MATCH(1,(TDU_Info!$C$5:$C$110=$T$6)*(TDU_Info!$B$5:$B$110&lt;=$B1692),0)</f>
        <v>89</v>
      </c>
      <c r="U1692" s="152">
        <f>100*(INDEX(TDU_Info!$E$5:$E$110,$T1692)/T$11+INDEX(TDU_Info!$F$5:$F$110,$T1692))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MATCH(1,(TDU_Info!$C$5:$C$110=$T$6)*(TDU_Info!$B$5:$B$110&lt;=$B1693),0)</f>
        <v>89</v>
      </c>
      <c r="U1693" s="152">
        <f>100*(INDEX(TDU_Info!$E$5:$E$110,$T1693)/T$11+INDEX(TDU_Info!$F$5:$F$110,$T1693))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MATCH(1,(TDU_Info!$C$5:$C$110=$T$6)*(TDU_Info!$B$5:$B$110&lt;=$B1694),0)</f>
        <v>89</v>
      </c>
      <c r="U1694" s="152">
        <f>100*(INDEX(TDU_Info!$E$5:$E$110,$T1694)/T$11+INDEX(TDU_Info!$F$5:$F$110,$T1694))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MATCH(1,(TDU_Info!$C$5:$C$110=$T$6)*(TDU_Info!$B$5:$B$110&lt;=$B1695),0)</f>
        <v>89</v>
      </c>
      <c r="U1695" s="152">
        <f>100*(INDEX(TDU_Info!$E$5:$E$110,$T1695)/T$11+INDEX(TDU_Info!$F$5:$F$110,$T1695))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MATCH(1,(TDU_Info!$C$5:$C$110=$T$6)*(TDU_Info!$B$5:$B$110&lt;=$B1696),0)</f>
        <v>89</v>
      </c>
      <c r="U1696" s="152">
        <f>100*(INDEX(TDU_Info!$E$5:$E$110,$T1696)/T$11+INDEX(TDU_Info!$F$5:$F$110,$T1696))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MATCH(1,(TDU_Info!$C$5:$C$110=$T$6)*(TDU_Info!$B$5:$B$110&lt;=$B1697),0)</f>
        <v>89</v>
      </c>
      <c r="U1697" s="152">
        <f>100*(INDEX(TDU_Info!$E$5:$E$110,$T1697)/T$11+INDEX(TDU_Info!$F$5:$F$110,$T1697))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MATCH(1,(TDU_Info!$C$5:$C$110=$T$6)*(TDU_Info!$B$5:$B$110&lt;=$B1698),0)</f>
        <v>89</v>
      </c>
      <c r="U1698" s="152">
        <f>100*(INDEX(TDU_Info!$E$5:$E$110,$T1698)/T$11+INDEX(TDU_Info!$F$5:$F$110,$T1698))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MATCH(1,(TDU_Info!$C$5:$C$110=$T$6)*(TDU_Info!$B$5:$B$110&lt;=$B1699),0)</f>
        <v>89</v>
      </c>
      <c r="U1699" s="152">
        <f>100*(INDEX(TDU_Info!$E$5:$E$110,$T1699)/T$11+INDEX(TDU_Info!$F$5:$F$110,$T1699))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MATCH(1,(TDU_Info!$C$5:$C$110=$T$6)*(TDU_Info!$B$5:$B$110&lt;=$B1700),0)</f>
        <v>89</v>
      </c>
      <c r="U1700" s="152">
        <f>100*(INDEX(TDU_Info!$E$5:$E$110,$T1700)/T$11+INDEX(TDU_Info!$F$5:$F$110,$T1700))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MATCH(1,(TDU_Info!$C$5:$C$110=$T$6)*(TDU_Info!$B$5:$B$110&lt;=$B1701),0)</f>
        <v>89</v>
      </c>
      <c r="U1701" s="152">
        <f>100*(INDEX(TDU_Info!$E$5:$E$110,$T1701)/T$11+INDEX(TDU_Info!$F$5:$F$110,$T1701))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MATCH(1,(TDU_Info!$C$5:$C$110=$T$6)*(TDU_Info!$B$5:$B$110&lt;=$B1702),0)</f>
        <v>89</v>
      </c>
      <c r="U1702" s="152">
        <f>100*(INDEX(TDU_Info!$E$5:$E$110,$T1702)/T$11+INDEX(TDU_Info!$F$5:$F$110,$T1702))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MATCH(1,(TDU_Info!$C$5:$C$110=$T$6)*(TDU_Info!$B$5:$B$110&lt;=$B1703),0)</f>
        <v>89</v>
      </c>
      <c r="U1703" s="152">
        <f>100*(INDEX(TDU_Info!$E$5:$E$110,$T1703)/T$11+INDEX(TDU_Info!$F$5:$F$110,$T1703))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MATCH(1,(TDU_Info!$C$5:$C$110=$T$6)*(TDU_Info!$B$5:$B$110&lt;=$B1704),0)</f>
        <v>89</v>
      </c>
      <c r="U1704" s="152">
        <f>100*(INDEX(TDU_Info!$E$5:$E$110,$T1704)/T$11+INDEX(TDU_Info!$F$5:$F$110,$T1704))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MATCH(1,(TDU_Info!$C$5:$C$110=$T$6)*(TDU_Info!$B$5:$B$110&lt;=$B1705),0)</f>
        <v>89</v>
      </c>
      <c r="U1705" s="152">
        <f>100*(INDEX(TDU_Info!$E$5:$E$110,$T1705)/T$11+INDEX(TDU_Info!$F$5:$F$110,$T1705))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MATCH(1,(TDU_Info!$C$5:$C$110=$T$6)*(TDU_Info!$B$5:$B$110&lt;=$B1706),0)</f>
        <v>89</v>
      </c>
      <c r="U1706" s="152">
        <f>100*(INDEX(TDU_Info!$E$5:$E$110,$T1706)/T$11+INDEX(TDU_Info!$F$5:$F$110,$T1706))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MATCH(1,(TDU_Info!$C$5:$C$110=$T$6)*(TDU_Info!$B$5:$B$110&lt;=$B1707),0)</f>
        <v>89</v>
      </c>
      <c r="U1707" s="152">
        <f>100*(INDEX(TDU_Info!$E$5:$E$110,$T1707)/T$11+INDEX(TDU_Info!$F$5:$F$110,$T1707))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MATCH(1,(TDU_Info!$C$5:$C$110=$T$6)*(TDU_Info!$B$5:$B$110&lt;=$B1708),0)</f>
        <v>89</v>
      </c>
      <c r="U1708" s="152">
        <f>100*(INDEX(TDU_Info!$E$5:$E$110,$T1708)/T$11+INDEX(TDU_Info!$F$5:$F$110,$T1708))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MATCH(1,(TDU_Info!$C$5:$C$110=$T$6)*(TDU_Info!$B$5:$B$110&lt;=$B1709),0)</f>
        <v>89</v>
      </c>
      <c r="U1709" s="152">
        <f>100*(INDEX(TDU_Info!$E$5:$E$110,$T1709)/T$11+INDEX(TDU_Info!$F$5:$F$110,$T1709))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MATCH(1,(TDU_Info!$C$5:$C$110=$T$6)*(TDU_Info!$B$5:$B$110&lt;=$B1710),0)</f>
        <v>89</v>
      </c>
      <c r="U1710" s="152">
        <f>100*(INDEX(TDU_Info!$E$5:$E$110,$T1710)/T$11+INDEX(TDU_Info!$F$5:$F$110,$T1710))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MATCH(1,(TDU_Info!$C$5:$C$110=$T$6)*(TDU_Info!$B$5:$B$110&lt;=$B1711),0)</f>
        <v>89</v>
      </c>
      <c r="U1711" s="152">
        <f>100*(INDEX(TDU_Info!$E$5:$E$110,$T1711)/T$11+INDEX(TDU_Info!$F$5:$F$110,$T1711))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MATCH(1,(TDU_Info!$C$5:$C$110=$T$6)*(TDU_Info!$B$5:$B$110&lt;=$B1712),0)</f>
        <v>89</v>
      </c>
      <c r="U1712" s="152">
        <f>100*(INDEX(TDU_Info!$E$5:$E$110,$T1712)/T$11+INDEX(TDU_Info!$F$5:$F$110,$T1712))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MATCH(1,(TDU_Info!$C$5:$C$110=$T$6)*(TDU_Info!$B$5:$B$110&lt;=$B1713),0)</f>
        <v>89</v>
      </c>
      <c r="U1713" s="152">
        <f>100*(INDEX(TDU_Info!$E$5:$E$110,$T1713)/T$11+INDEX(TDU_Info!$F$5:$F$110,$T1713))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MATCH(1,(TDU_Info!$C$5:$C$110=$T$6)*(TDU_Info!$B$5:$B$110&lt;=$B1714),0)</f>
        <v>89</v>
      </c>
      <c r="U1714" s="152">
        <f>100*(INDEX(TDU_Info!$E$5:$E$110,$T1714)/T$11+INDEX(TDU_Info!$F$5:$F$110,$T1714))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MATCH(1,(TDU_Info!$C$5:$C$110=$T$6)*(TDU_Info!$B$5:$B$110&lt;=$B1715),0)</f>
        <v>89</v>
      </c>
      <c r="U1715" s="152">
        <f>100*(INDEX(TDU_Info!$E$5:$E$110,$T1715)/T$11+INDEX(TDU_Info!$F$5:$F$110,$T1715))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MATCH(1,(TDU_Info!$C$5:$C$110=$T$6)*(TDU_Info!$B$5:$B$110&lt;=$B1716),0)</f>
        <v>89</v>
      </c>
      <c r="U1716" s="152">
        <f>100*(INDEX(TDU_Info!$E$5:$E$110,$T1716)/T$11+INDEX(TDU_Info!$F$5:$F$110,$T1716))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MATCH(1,(TDU_Info!$C$5:$C$110=$T$6)*(TDU_Info!$B$5:$B$110&lt;=$B1717),0)</f>
        <v>89</v>
      </c>
      <c r="U1717" s="152">
        <f>100*(INDEX(TDU_Info!$E$5:$E$110,$T1717)/T$11+INDEX(TDU_Info!$F$5:$F$110,$T1717))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MATCH(1,(TDU_Info!$C$5:$C$110=$T$6)*(TDU_Info!$B$5:$B$110&lt;=$B1718),0)</f>
        <v>89</v>
      </c>
      <c r="U1718" s="152">
        <f>100*(INDEX(TDU_Info!$E$5:$E$110,$T1718)/T$11+INDEX(TDU_Info!$F$5:$F$110,$T1718))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MATCH(1,(TDU_Info!$C$5:$C$110=$T$6)*(TDU_Info!$B$5:$B$110&lt;=$B1719),0)</f>
        <v>89</v>
      </c>
      <c r="U1719" s="152">
        <f>100*(INDEX(TDU_Info!$E$5:$E$110,$T1719)/T$11+INDEX(TDU_Info!$F$5:$F$110,$T1719))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MATCH(1,(TDU_Info!$C$5:$C$110=$T$6)*(TDU_Info!$B$5:$B$110&lt;=$B1720),0)</f>
        <v>89</v>
      </c>
      <c r="U1720" s="152">
        <f>100*(INDEX(TDU_Info!$E$5:$E$110,$T1720)/T$11+INDEX(TDU_Info!$F$5:$F$110,$T1720))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MATCH(1,(TDU_Info!$C$5:$C$110=$T$6)*(TDU_Info!$B$5:$B$110&lt;=$B1721),0)</f>
        <v>88</v>
      </c>
      <c r="U1721" s="152">
        <f>100*(INDEX(TDU_Info!$E$5:$E$110,$T1721)/T$11+INDEX(TDU_Info!$F$5:$F$110,$T1721))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MATCH(1,(TDU_Info!$C$5:$C$110=$T$6)*(TDU_Info!$B$5:$B$110&lt;=$B1722),0)</f>
        <v>88</v>
      </c>
      <c r="U1722" s="152">
        <f>100*(INDEX(TDU_Info!$E$5:$E$110,$T1722)/T$11+INDEX(TDU_Info!$F$5:$F$110,$T1722))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MATCH(1,(TDU_Info!$C$5:$C$110=$T$6)*(TDU_Info!$B$5:$B$110&lt;=$B1723),0)</f>
        <v>88</v>
      </c>
      <c r="U1723" s="152">
        <f>100*(INDEX(TDU_Info!$E$5:$E$110,$T1723)/T$11+INDEX(TDU_Info!$F$5:$F$110,$T1723))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MATCH(1,(TDU_Info!$C$5:$C$110=$T$6)*(TDU_Info!$B$5:$B$110&lt;=$B1724),0)</f>
        <v>88</v>
      </c>
      <c r="U1724" s="152">
        <f>100*(INDEX(TDU_Info!$E$5:$E$110,$T1724)/T$11+INDEX(TDU_Info!$F$5:$F$110,$T1724))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MATCH(1,(TDU_Info!$C$5:$C$110=$T$6)*(TDU_Info!$B$5:$B$110&lt;=$B1725),0)</f>
        <v>88</v>
      </c>
      <c r="U1725" s="152">
        <f>100*(INDEX(TDU_Info!$E$5:$E$110,$T1725)/T$11+INDEX(TDU_Info!$F$5:$F$110,$T1725))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MATCH(1,(TDU_Info!$C$5:$C$110=$T$6)*(TDU_Info!$B$5:$B$110&lt;=$B1726),0)</f>
        <v>88</v>
      </c>
      <c r="U1726" s="152">
        <f>100*(INDEX(TDU_Info!$E$5:$E$110,$T1726)/T$11+INDEX(TDU_Info!$F$5:$F$110,$T1726))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MATCH(1,(TDU_Info!$C$5:$C$110=$T$6)*(TDU_Info!$B$5:$B$110&lt;=$B1727),0)</f>
        <v>88</v>
      </c>
      <c r="U1727" s="152">
        <f>100*(INDEX(TDU_Info!$E$5:$E$110,$T1727)/T$11+INDEX(TDU_Info!$F$5:$F$110,$T1727))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MATCH(1,(TDU_Info!$C$5:$C$110=$T$6)*(TDU_Info!$B$5:$B$110&lt;=$B1728),0)</f>
        <v>88</v>
      </c>
      <c r="U1728" s="152">
        <f>100*(INDEX(TDU_Info!$E$5:$E$110,$T1728)/T$11+INDEX(TDU_Info!$F$5:$F$110,$T1728))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MATCH(1,(TDU_Info!$C$5:$C$110=$T$6)*(TDU_Info!$B$5:$B$110&lt;=$B1729),0)</f>
        <v>88</v>
      </c>
      <c r="U1729" s="152">
        <f>100*(INDEX(TDU_Info!$E$5:$E$110,$T1729)/T$11+INDEX(TDU_Info!$F$5:$F$110,$T1729))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MATCH(1,(TDU_Info!$C$5:$C$110=$T$6)*(TDU_Info!$B$5:$B$110&lt;=$B1730),0)</f>
        <v>88</v>
      </c>
      <c r="U1730" s="152">
        <f>100*(INDEX(TDU_Info!$E$5:$E$110,$T1730)/T$11+INDEX(TDU_Info!$F$5:$F$110,$T1730))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MATCH(1,(TDU_Info!$C$5:$C$110=$T$6)*(TDU_Info!$B$5:$B$110&lt;=$B1731),0)</f>
        <v>88</v>
      </c>
      <c r="U1731" s="152">
        <f>100*(INDEX(TDU_Info!$E$5:$E$110,$T1731)/T$11+INDEX(TDU_Info!$F$5:$F$110,$T1731))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MATCH(1,(TDU_Info!$C$5:$C$110=$T$6)*(TDU_Info!$B$5:$B$110&lt;=$B1732),0)</f>
        <v>88</v>
      </c>
      <c r="U1732" s="152">
        <f>100*(INDEX(TDU_Info!$E$5:$E$110,$T1732)/T$11+INDEX(TDU_Info!$F$5:$F$110,$T1732))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MATCH(1,(TDU_Info!$C$5:$C$110=$T$6)*(TDU_Info!$B$5:$B$110&lt;=$B1733),0)</f>
        <v>88</v>
      </c>
      <c r="U1733" s="152">
        <f>100*(INDEX(TDU_Info!$E$5:$E$110,$T1733)/T$11+INDEX(TDU_Info!$F$5:$F$110,$T1733))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MATCH(1,(TDU_Info!$C$5:$C$110=$T$6)*(TDU_Info!$B$5:$B$110&lt;=$B1734),0)</f>
        <v>88</v>
      </c>
      <c r="U1734" s="152">
        <f>100*(INDEX(TDU_Info!$E$5:$E$110,$T1734)/T$11+INDEX(TDU_Info!$F$5:$F$110,$T1734))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MATCH(1,(TDU_Info!$C$5:$C$110=$T$6)*(TDU_Info!$B$5:$B$110&lt;=$B1735),0)</f>
        <v>88</v>
      </c>
      <c r="U1735" s="152">
        <f>100*(INDEX(TDU_Info!$E$5:$E$110,$T1735)/T$11+INDEX(TDU_Info!$F$5:$F$110,$T1735))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MATCH(1,(TDU_Info!$C$5:$C$110=$T$6)*(TDU_Info!$B$5:$B$110&lt;=$B1736),0)</f>
        <v>88</v>
      </c>
      <c r="U1736" s="152">
        <f>100*(INDEX(TDU_Info!$E$5:$E$110,$T1736)/T$11+INDEX(TDU_Info!$F$5:$F$110,$T1736))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MATCH(1,(TDU_Info!$C$5:$C$110=$T$6)*(TDU_Info!$B$5:$B$110&lt;=$B1737),0)</f>
        <v>88</v>
      </c>
      <c r="U1737" s="152">
        <f>100*(INDEX(TDU_Info!$E$5:$E$110,$T1737)/T$11+INDEX(TDU_Info!$F$5:$F$110,$T1737))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MATCH(1,(TDU_Info!$C$5:$C$110=$T$6)*(TDU_Info!$B$5:$B$110&lt;=$B1738),0)</f>
        <v>88</v>
      </c>
      <c r="U1738" s="152">
        <f>100*(INDEX(TDU_Info!$E$5:$E$110,$T1738)/T$11+INDEX(TDU_Info!$F$5:$F$110,$T1738))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MATCH(1,(TDU_Info!$C$5:$C$110=$T$6)*(TDU_Info!$B$5:$B$110&lt;=$B1739),0)</f>
        <v>88</v>
      </c>
      <c r="U1739" s="152">
        <f>100*(INDEX(TDU_Info!$E$5:$E$110,$T1739)/T$11+INDEX(TDU_Info!$F$5:$F$110,$T1739))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MATCH(1,(TDU_Info!$C$5:$C$110=$T$6)*(TDU_Info!$B$5:$B$110&lt;=$B1740),0)</f>
        <v>88</v>
      </c>
      <c r="U1740" s="152">
        <f>100*(INDEX(TDU_Info!$E$5:$E$110,$T1740)/T$11+INDEX(TDU_Info!$F$5:$F$110,$T1740))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MATCH(1,(TDU_Info!$C$5:$C$110=$T$6)*(TDU_Info!$B$5:$B$110&lt;=$B1741),0)</f>
        <v>88</v>
      </c>
      <c r="U1741" s="152">
        <f>100*(INDEX(TDU_Info!$E$5:$E$110,$T1741)/T$11+INDEX(TDU_Info!$F$5:$F$110,$T1741))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MATCH(1,(TDU_Info!$C$5:$C$110=$T$6)*(TDU_Info!$B$5:$B$110&lt;=$B1742),0)</f>
        <v>88</v>
      </c>
      <c r="U1742" s="152">
        <f>100*(INDEX(TDU_Info!$E$5:$E$110,$T1742)/T$11+INDEX(TDU_Info!$F$5:$F$110,$T1742))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MATCH(1,(TDU_Info!$C$5:$C$110=$T$6)*(TDU_Info!$B$5:$B$110&lt;=$B1743),0)</f>
        <v>88</v>
      </c>
      <c r="U1743" s="152">
        <f>100*(INDEX(TDU_Info!$E$5:$E$110,$T1743)/T$11+INDEX(TDU_Info!$F$5:$F$110,$T1743))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MATCH(1,(TDU_Info!$C$5:$C$110=$T$6)*(TDU_Info!$B$5:$B$110&lt;=$B1744),0)</f>
        <v>88</v>
      </c>
      <c r="U1744" s="152">
        <f>100*(INDEX(TDU_Info!$E$5:$E$110,$T1744)/T$11+INDEX(TDU_Info!$F$5:$F$110,$T1744))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MATCH(1,(TDU_Info!$C$5:$C$110=$T$6)*(TDU_Info!$B$5:$B$110&lt;=$B1745),0)</f>
        <v>88</v>
      </c>
      <c r="U1745" s="152">
        <f>100*(INDEX(TDU_Info!$E$5:$E$110,$T1745)/T$11+INDEX(TDU_Info!$F$5:$F$110,$T1745))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MATCH(1,(TDU_Info!$C$5:$C$110=$T$6)*(TDU_Info!$B$5:$B$110&lt;=$B1746),0)</f>
        <v>88</v>
      </c>
      <c r="U1746" s="152">
        <f>100*(INDEX(TDU_Info!$E$5:$E$110,$T1746)/T$11+INDEX(TDU_Info!$F$5:$F$110,$T1746))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MATCH(1,(TDU_Info!$C$5:$C$110=$T$6)*(TDU_Info!$B$5:$B$110&lt;=$B1747),0)</f>
        <v>88</v>
      </c>
      <c r="U1747" s="152">
        <f>100*(INDEX(TDU_Info!$E$5:$E$110,$T1747)/T$11+INDEX(TDU_Info!$F$5:$F$110,$T1747))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MATCH(1,(TDU_Info!$C$5:$C$110=$T$6)*(TDU_Info!$B$5:$B$110&lt;=$B1748),0)</f>
        <v>88</v>
      </c>
      <c r="U1748" s="152">
        <f>100*(INDEX(TDU_Info!$E$5:$E$110,$T1748)/T$11+INDEX(TDU_Info!$F$5:$F$110,$T1748))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MATCH(1,(TDU_Info!$C$5:$C$110=$T$6)*(TDU_Info!$B$5:$B$110&lt;=$B1749),0)</f>
        <v>88</v>
      </c>
      <c r="U1749" s="152">
        <f>100*(INDEX(TDU_Info!$E$5:$E$110,$T1749)/T$11+INDEX(TDU_Info!$F$5:$F$110,$T1749))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MATCH(1,(TDU_Info!$C$5:$C$110=$T$6)*(TDU_Info!$B$5:$B$110&lt;=$B1750),0)</f>
        <v>88</v>
      </c>
      <c r="U1750" s="152">
        <f>100*(INDEX(TDU_Info!$E$5:$E$110,$T1750)/T$11+INDEX(TDU_Info!$F$5:$F$110,$T1750))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MATCH(1,(TDU_Info!$C$5:$C$110=$T$6)*(TDU_Info!$B$5:$B$110&lt;=$B1751),0)</f>
        <v>88</v>
      </c>
      <c r="U1751" s="152">
        <f>100*(INDEX(TDU_Info!$E$5:$E$110,$T1751)/T$11+INDEX(TDU_Info!$F$5:$F$110,$T1751))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MATCH(1,(TDU_Info!$C$5:$C$110=$T$6)*(TDU_Info!$B$5:$B$110&lt;=$B1752),0)</f>
        <v>88</v>
      </c>
      <c r="U1752" s="152">
        <f>100*(INDEX(TDU_Info!$E$5:$E$110,$T1752)/T$11+INDEX(TDU_Info!$F$5:$F$110,$T1752))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MATCH(1,(TDU_Info!$C$5:$C$110=$T$6)*(TDU_Info!$B$5:$B$110&lt;=$B1753),0)</f>
        <v>88</v>
      </c>
      <c r="U1753" s="152">
        <f>100*(INDEX(TDU_Info!$E$5:$E$110,$T1753)/T$11+INDEX(TDU_Info!$F$5:$F$110,$T1753))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MATCH(1,(TDU_Info!$C$5:$C$110=$T$6)*(TDU_Info!$B$5:$B$110&lt;=$B1754),0)</f>
        <v>88</v>
      </c>
      <c r="U1754" s="152">
        <f>100*(INDEX(TDU_Info!$E$5:$E$110,$T1754)/T$11+INDEX(TDU_Info!$F$5:$F$110,$T1754))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MATCH(1,(TDU_Info!$C$5:$C$110=$T$6)*(TDU_Info!$B$5:$B$110&lt;=$B1755),0)</f>
        <v>88</v>
      </c>
      <c r="U1755" s="152">
        <f>100*(INDEX(TDU_Info!$E$5:$E$110,$T1755)/T$11+INDEX(TDU_Info!$F$5:$F$110,$T1755))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MATCH(1,(TDU_Info!$C$5:$C$110=$T$6)*(TDU_Info!$B$5:$B$110&lt;=$B1756),0)</f>
        <v>88</v>
      </c>
      <c r="U1756" s="152">
        <f>100*(INDEX(TDU_Info!$E$5:$E$110,$T1756)/T$11+INDEX(TDU_Info!$F$5:$F$110,$T1756))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MATCH(1,(TDU_Info!$C$5:$C$110=$T$6)*(TDU_Info!$B$5:$B$110&lt;=$B1757),0)</f>
        <v>88</v>
      </c>
      <c r="U1757" s="152">
        <f>100*(INDEX(TDU_Info!$E$5:$E$110,$T1757)/T$11+INDEX(TDU_Info!$F$5:$F$110,$T1757))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MATCH(1,(TDU_Info!$C$5:$C$110=$T$6)*(TDU_Info!$B$5:$B$110&lt;=$B1758),0)</f>
        <v>88</v>
      </c>
      <c r="U1758" s="152">
        <f>100*(INDEX(TDU_Info!$E$5:$E$110,$T1758)/T$11+INDEX(TDU_Info!$F$5:$F$110,$T1758))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MATCH(1,(TDU_Info!$C$5:$C$110=$T$6)*(TDU_Info!$B$5:$B$110&lt;=$B1759),0)</f>
        <v>88</v>
      </c>
      <c r="U1759" s="152">
        <f>100*(INDEX(TDU_Info!$E$5:$E$110,$T1759)/T$11+INDEX(TDU_Info!$F$5:$F$110,$T1759))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MATCH(1,(TDU_Info!$C$5:$C$110=$T$6)*(TDU_Info!$B$5:$B$110&lt;=$B1760),0)</f>
        <v>88</v>
      </c>
      <c r="U1760" s="152">
        <f>100*(INDEX(TDU_Info!$E$5:$E$110,$T1760)/T$11+INDEX(TDU_Info!$F$5:$F$110,$T1760))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MATCH(1,(TDU_Info!$C$5:$C$110=$T$6)*(TDU_Info!$B$5:$B$110&lt;=$B1761),0)</f>
        <v>88</v>
      </c>
      <c r="U1761" s="152">
        <f>100*(INDEX(TDU_Info!$E$5:$E$110,$T1761)/T$11+INDEX(TDU_Info!$F$5:$F$110,$T1761))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MATCH(1,(TDU_Info!$C$5:$C$110=$T$6)*(TDU_Info!$B$5:$B$110&lt;=$B1762),0)</f>
        <v>88</v>
      </c>
      <c r="U1762" s="152">
        <f>100*(INDEX(TDU_Info!$E$5:$E$110,$T1762)/T$11+INDEX(TDU_Info!$F$5:$F$110,$T1762))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MATCH(1,(TDU_Info!$C$5:$C$110=$T$6)*(TDU_Info!$B$5:$B$110&lt;=$B1763),0)</f>
        <v>88</v>
      </c>
      <c r="U1763" s="152">
        <f>100*(INDEX(TDU_Info!$E$5:$E$110,$T1763)/T$11+INDEX(TDU_Info!$F$5:$F$110,$T1763))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MATCH(1,(TDU_Info!$C$5:$C$110=$T$6)*(TDU_Info!$B$5:$B$110&lt;=$B1764),0)</f>
        <v>88</v>
      </c>
      <c r="U1764" s="152">
        <f>100*(INDEX(TDU_Info!$E$5:$E$110,$T1764)/T$11+INDEX(TDU_Info!$F$5:$F$110,$T1764))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MATCH(1,(TDU_Info!$C$5:$C$110=$T$6)*(TDU_Info!$B$5:$B$110&lt;=$B1765),0)</f>
        <v>88</v>
      </c>
      <c r="U1765" s="152">
        <f>100*(INDEX(TDU_Info!$E$5:$E$110,$T1765)/T$11+INDEX(TDU_Info!$F$5:$F$110,$T1765))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MATCH(1,(TDU_Info!$C$5:$C$110=$T$6)*(TDU_Info!$B$5:$B$110&lt;=$B1766),0)</f>
        <v>88</v>
      </c>
      <c r="U1766" s="152">
        <f>100*(INDEX(TDU_Info!$E$5:$E$110,$T1766)/T$11+INDEX(TDU_Info!$F$5:$F$110,$T1766))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MATCH(1,(TDU_Info!$C$5:$C$110=$T$6)*(TDU_Info!$B$5:$B$110&lt;=$B1767),0)</f>
        <v>88</v>
      </c>
      <c r="U1767" s="152">
        <f>100*(INDEX(TDU_Info!$E$5:$E$110,$T1767)/T$11+INDEX(TDU_Info!$F$5:$F$110,$T1767))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MATCH(1,(TDU_Info!$C$5:$C$110=$T$6)*(TDU_Info!$B$5:$B$110&lt;=$B1768),0)</f>
        <v>88</v>
      </c>
      <c r="U1768" s="152">
        <f>100*(INDEX(TDU_Info!$E$5:$E$110,$T1768)/T$11+INDEX(TDU_Info!$F$5:$F$110,$T1768))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MATCH(1,(TDU_Info!$C$5:$C$110=$T$6)*(TDU_Info!$B$5:$B$110&lt;=$B1769),0)</f>
        <v>88</v>
      </c>
      <c r="U1769" s="152">
        <f>100*(INDEX(TDU_Info!$E$5:$E$110,$T1769)/T$11+INDEX(TDU_Info!$F$5:$F$110,$T1769))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MATCH(1,(TDU_Info!$C$5:$C$110=$T$6)*(TDU_Info!$B$5:$B$110&lt;=$B1770),0)</f>
        <v>88</v>
      </c>
      <c r="U1770" s="152">
        <f>100*(INDEX(TDU_Info!$E$5:$E$110,$T1770)/T$11+INDEX(TDU_Info!$F$5:$F$110,$T1770))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MATCH(1,(TDU_Info!$C$5:$C$110=$T$6)*(TDU_Info!$B$5:$B$110&lt;=$B1771),0)</f>
        <v>88</v>
      </c>
      <c r="U1771" s="152">
        <f>100*(INDEX(TDU_Info!$E$5:$E$110,$T1771)/T$11+INDEX(TDU_Info!$F$5:$F$110,$T1771))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MATCH(1,(TDU_Info!$C$5:$C$110=$T$6)*(TDU_Info!$B$5:$B$110&lt;=$B1772),0)</f>
        <v>88</v>
      </c>
      <c r="U1772" s="152">
        <f>100*(INDEX(TDU_Info!$E$5:$E$110,$T1772)/T$11+INDEX(TDU_Info!$F$5:$F$110,$T1772))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MATCH(1,(TDU_Info!$C$5:$C$110=$T$6)*(TDU_Info!$B$5:$B$110&lt;=$B1773),0)</f>
        <v>88</v>
      </c>
      <c r="U1773" s="152">
        <f>100*(INDEX(TDU_Info!$E$5:$E$110,$T1773)/T$11+INDEX(TDU_Info!$F$5:$F$110,$T1773))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MATCH(1,(TDU_Info!$C$5:$C$110=$T$6)*(TDU_Info!$B$5:$B$110&lt;=$B1774),0)</f>
        <v>88</v>
      </c>
      <c r="U1774" s="152">
        <f>100*(INDEX(TDU_Info!$E$5:$E$110,$T1774)/T$11+INDEX(TDU_Info!$F$5:$F$110,$T1774))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MATCH(1,(TDU_Info!$C$5:$C$110=$T$6)*(TDU_Info!$B$5:$B$110&lt;=$B1775),0)</f>
        <v>88</v>
      </c>
      <c r="U1775" s="152">
        <f>100*(INDEX(TDU_Info!$E$5:$E$110,$T1775)/T$11+INDEX(TDU_Info!$F$5:$F$110,$T1775))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MATCH(1,(TDU_Info!$C$5:$C$110=$T$6)*(TDU_Info!$B$5:$B$110&lt;=$B1776),0)</f>
        <v>88</v>
      </c>
      <c r="U1776" s="152">
        <f>100*(INDEX(TDU_Info!$E$5:$E$110,$T1776)/T$11+INDEX(TDU_Info!$F$5:$F$110,$T1776))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MATCH(1,(TDU_Info!$C$5:$C$110=$T$6)*(TDU_Info!$B$5:$B$110&lt;=$B1777),0)</f>
        <v>88</v>
      </c>
      <c r="U1777" s="152">
        <f>100*(INDEX(TDU_Info!$E$5:$E$110,$T1777)/T$11+INDEX(TDU_Info!$F$5:$F$110,$T1777))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MATCH(1,(TDU_Info!$C$5:$C$110=$T$6)*(TDU_Info!$B$5:$B$110&lt;=$B1778),0)</f>
        <v>88</v>
      </c>
      <c r="U1778" s="152">
        <f>100*(INDEX(TDU_Info!$E$5:$E$110,$T1778)/T$11+INDEX(TDU_Info!$F$5:$F$110,$T1778))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MATCH(1,(TDU_Info!$C$5:$C$110=$T$6)*(TDU_Info!$B$5:$B$110&lt;=$B1779),0)</f>
        <v>88</v>
      </c>
      <c r="U1779" s="152">
        <f>100*(INDEX(TDU_Info!$E$5:$E$110,$T1779)/T$11+INDEX(TDU_Info!$F$5:$F$110,$T1779))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MATCH(1,(TDU_Info!$C$5:$C$110=$T$6)*(TDU_Info!$B$5:$B$110&lt;=$B1780),0)</f>
        <v>88</v>
      </c>
      <c r="U1780" s="152">
        <f>100*(INDEX(TDU_Info!$E$5:$E$110,$T1780)/T$11+INDEX(TDU_Info!$F$5:$F$110,$T1780))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MATCH(1,(TDU_Info!$C$5:$C$110=$T$6)*(TDU_Info!$B$5:$B$110&lt;=$B1781),0)</f>
        <v>88</v>
      </c>
      <c r="U1781" s="152">
        <f>100*(INDEX(TDU_Info!$E$5:$E$110,$T1781)/T$11+INDEX(TDU_Info!$F$5:$F$110,$T1781))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MATCH(1,(TDU_Info!$C$5:$C$110=$T$6)*(TDU_Info!$B$5:$B$110&lt;=$B1782),0)</f>
        <v>88</v>
      </c>
      <c r="U1782" s="152">
        <f>100*(INDEX(TDU_Info!$E$5:$E$110,$T1782)/T$11+INDEX(TDU_Info!$F$5:$F$110,$T1782))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MATCH(1,(TDU_Info!$C$5:$C$110=$T$6)*(TDU_Info!$B$5:$B$110&lt;=$B1783),0)</f>
        <v>88</v>
      </c>
      <c r="U1783" s="152">
        <f>100*(INDEX(TDU_Info!$E$5:$E$110,$T1783)/T$11+INDEX(TDU_Info!$F$5:$F$110,$T1783))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MATCH(1,(TDU_Info!$C$5:$C$110=$T$6)*(TDU_Info!$B$5:$B$110&lt;=$B1784),0)</f>
        <v>88</v>
      </c>
      <c r="U1784" s="152">
        <f>100*(INDEX(TDU_Info!$E$5:$E$110,$T1784)/T$11+INDEX(TDU_Info!$F$5:$F$110,$T1784))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MATCH(1,(TDU_Info!$C$5:$C$110=$T$6)*(TDU_Info!$B$5:$B$110&lt;=$B1785),0)</f>
        <v>88</v>
      </c>
      <c r="U1785" s="152">
        <f>100*(INDEX(TDU_Info!$E$5:$E$110,$T1785)/T$11+INDEX(TDU_Info!$F$5:$F$110,$T1785))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MATCH(1,(TDU_Info!$C$5:$C$110=$T$6)*(TDU_Info!$B$5:$B$110&lt;=$B1786),0)</f>
        <v>88</v>
      </c>
      <c r="U1786" s="152">
        <f>100*(INDEX(TDU_Info!$E$5:$E$110,$T1786)/T$11+INDEX(TDU_Info!$F$5:$F$110,$T1786))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MATCH(1,(TDU_Info!$C$5:$C$110=$T$6)*(TDU_Info!$B$5:$B$110&lt;=$B1787),0)</f>
        <v>88</v>
      </c>
      <c r="U1787" s="152">
        <f>100*(INDEX(TDU_Info!$E$5:$E$110,$T1787)/T$11+INDEX(TDU_Info!$F$5:$F$110,$T1787))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MATCH(1,(TDU_Info!$C$5:$C$110=$T$6)*(TDU_Info!$B$5:$B$110&lt;=$B1788),0)</f>
        <v>88</v>
      </c>
      <c r="U1788" s="152">
        <f>100*(INDEX(TDU_Info!$E$5:$E$110,$T1788)/T$11+INDEX(TDU_Info!$F$5:$F$110,$T1788))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MATCH(1,(TDU_Info!$C$5:$C$110=$T$6)*(TDU_Info!$B$5:$B$110&lt;=$B1789),0)</f>
        <v>88</v>
      </c>
      <c r="U1789" s="152">
        <f>100*(INDEX(TDU_Info!$E$5:$E$110,$T1789)/T$11+INDEX(TDU_Info!$F$5:$F$110,$T1789))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MATCH(1,(TDU_Info!$C$5:$C$110=$T$6)*(TDU_Info!$B$5:$B$110&lt;=$B1790),0)</f>
        <v>88</v>
      </c>
      <c r="U1790" s="152">
        <f>100*(INDEX(TDU_Info!$E$5:$E$110,$T1790)/T$11+INDEX(TDU_Info!$F$5:$F$110,$T1790))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MATCH(1,(TDU_Info!$C$5:$C$110=$T$6)*(TDU_Info!$B$5:$B$110&lt;=$B1791),0)</f>
        <v>88</v>
      </c>
      <c r="U1791" s="152">
        <f>100*(INDEX(TDU_Info!$E$5:$E$110,$T1791)/T$11+INDEX(TDU_Info!$F$5:$F$110,$T1791))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MATCH(1,(TDU_Info!$C$5:$C$110=$T$6)*(TDU_Info!$B$5:$B$110&lt;=$B1792),0)</f>
        <v>88</v>
      </c>
      <c r="U1792" s="152">
        <f>100*(INDEX(TDU_Info!$E$5:$E$110,$T1792)/T$11+INDEX(TDU_Info!$F$5:$F$110,$T1792))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MATCH(1,(TDU_Info!$C$5:$C$110=$T$6)*(TDU_Info!$B$5:$B$110&lt;=$B1793),0)</f>
        <v>88</v>
      </c>
      <c r="U1793" s="152">
        <f>100*(INDEX(TDU_Info!$E$5:$E$110,$T1793)/T$11+INDEX(TDU_Info!$F$5:$F$110,$T1793))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MATCH(1,(TDU_Info!$C$5:$C$110=$T$6)*(TDU_Info!$B$5:$B$110&lt;=$B1794),0)</f>
        <v>88</v>
      </c>
      <c r="U1794" s="152">
        <f>100*(INDEX(TDU_Info!$E$5:$E$110,$T1794)/T$11+INDEX(TDU_Info!$F$5:$F$110,$T1794))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MATCH(1,(TDU_Info!$C$5:$C$110=$T$6)*(TDU_Info!$B$5:$B$110&lt;=$B1795),0)</f>
        <v>88</v>
      </c>
      <c r="U1795" s="152">
        <f>100*(INDEX(TDU_Info!$E$5:$E$110,$T1795)/T$11+INDEX(TDU_Info!$F$5:$F$110,$T1795))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MATCH(1,(TDU_Info!$C$5:$C$110=$T$6)*(TDU_Info!$B$5:$B$110&lt;=$B1796),0)</f>
        <v>88</v>
      </c>
      <c r="U1796" s="152">
        <f>100*(INDEX(TDU_Info!$E$5:$E$110,$T1796)/T$11+INDEX(TDU_Info!$F$5:$F$110,$T1796))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MATCH(1,(TDU_Info!$C$5:$C$110=$T$6)*(TDU_Info!$B$5:$B$110&lt;=$B1797),0)</f>
        <v>88</v>
      </c>
      <c r="U1797" s="152">
        <f>100*(INDEX(TDU_Info!$E$5:$E$110,$T1797)/T$11+INDEX(TDU_Info!$F$5:$F$110,$T1797))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MATCH(1,(TDU_Info!$C$5:$C$110=$T$6)*(TDU_Info!$B$5:$B$110&lt;=$B1798),0)</f>
        <v>88</v>
      </c>
      <c r="U1798" s="152">
        <f>100*(INDEX(TDU_Info!$E$5:$E$110,$T1798)/T$11+INDEX(TDU_Info!$F$5:$F$110,$T1798))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MATCH(1,(TDU_Info!$C$5:$C$110=$T$6)*(TDU_Info!$B$5:$B$110&lt;=$B1799),0)</f>
        <v>88</v>
      </c>
      <c r="U1799" s="152">
        <f>100*(INDEX(TDU_Info!$E$5:$E$110,$T1799)/T$11+INDEX(TDU_Info!$F$5:$F$110,$T1799))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MATCH(1,(TDU_Info!$C$5:$C$110=$T$6)*(TDU_Info!$B$5:$B$110&lt;=$B1800),0)</f>
        <v>88</v>
      </c>
      <c r="U1800" s="152">
        <f>100*(INDEX(TDU_Info!$E$5:$E$110,$T1800)/T$11+INDEX(TDU_Info!$F$5:$F$110,$T1800))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MATCH(1,(TDU_Info!$C$5:$C$110=$T$6)*(TDU_Info!$B$5:$B$110&lt;=$B1801),0)</f>
        <v>88</v>
      </c>
      <c r="U1801" s="152">
        <f>100*(INDEX(TDU_Info!$E$5:$E$110,$T1801)/T$11+INDEX(TDU_Info!$F$5:$F$110,$T1801))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MATCH(1,(TDU_Info!$C$5:$C$110=$T$6)*(TDU_Info!$B$5:$B$110&lt;=$B1802),0)</f>
        <v>88</v>
      </c>
      <c r="U1802" s="152">
        <f>100*(INDEX(TDU_Info!$E$5:$E$110,$T1802)/T$11+INDEX(TDU_Info!$F$5:$F$110,$T1802))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MATCH(1,(TDU_Info!$C$5:$C$110=$T$6)*(TDU_Info!$B$5:$B$110&lt;=$B1803),0)</f>
        <v>88</v>
      </c>
      <c r="U1803" s="152">
        <f>100*(INDEX(TDU_Info!$E$5:$E$110,$T1803)/T$11+INDEX(TDU_Info!$F$5:$F$110,$T1803))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MATCH(1,(TDU_Info!$C$5:$C$110=$T$6)*(TDU_Info!$B$5:$B$110&lt;=$B1804),0)</f>
        <v>88</v>
      </c>
      <c r="U1804" s="152">
        <f>100*(INDEX(TDU_Info!$E$5:$E$110,$T1804)/T$11+INDEX(TDU_Info!$F$5:$F$110,$T1804))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MATCH(1,(TDU_Info!$C$5:$C$110=$T$6)*(TDU_Info!$B$5:$B$110&lt;=$B1805),0)</f>
        <v>88</v>
      </c>
      <c r="U1805" s="152">
        <f>100*(INDEX(TDU_Info!$E$5:$E$110,$T1805)/T$11+INDEX(TDU_Info!$F$5:$F$110,$T1805))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MATCH(1,(TDU_Info!$C$5:$C$110=$T$6)*(TDU_Info!$B$5:$B$110&lt;=$B1806),0)</f>
        <v>88</v>
      </c>
      <c r="U1806" s="152">
        <f>100*(INDEX(TDU_Info!$E$5:$E$110,$T1806)/T$11+INDEX(TDU_Info!$F$5:$F$110,$T1806))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MATCH(1,(TDU_Info!$C$5:$C$110=$T$6)*(TDU_Info!$B$5:$B$110&lt;=$B1807),0)</f>
        <v>88</v>
      </c>
      <c r="U1807" s="152">
        <f>100*(INDEX(TDU_Info!$E$5:$E$110,$T1807)/T$11+INDEX(TDU_Info!$F$5:$F$110,$T1807))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MATCH(1,(TDU_Info!$C$5:$C$110=$T$6)*(TDU_Info!$B$5:$B$110&lt;=$B1808),0)</f>
        <v>88</v>
      </c>
      <c r="U1808" s="152">
        <f>100*(INDEX(TDU_Info!$E$5:$E$110,$T1808)/T$11+INDEX(TDU_Info!$F$5:$F$110,$T1808))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MATCH(1,(TDU_Info!$C$5:$C$110=$T$6)*(TDU_Info!$B$5:$B$110&lt;=$B1809),0)</f>
        <v>88</v>
      </c>
      <c r="U1809" s="152">
        <f>100*(INDEX(TDU_Info!$E$5:$E$110,$T1809)/T$11+INDEX(TDU_Info!$F$5:$F$110,$T1809))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MATCH(1,(TDU_Info!$C$5:$C$110=$T$6)*(TDU_Info!$B$5:$B$110&lt;=$B1810),0)</f>
        <v>88</v>
      </c>
      <c r="U1810" s="152">
        <f>100*(INDEX(TDU_Info!$E$5:$E$110,$T1810)/T$11+INDEX(TDU_Info!$F$5:$F$110,$T1810))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MATCH(1,(TDU_Info!$C$5:$C$110=$T$6)*(TDU_Info!$B$5:$B$110&lt;=$B1811),0)</f>
        <v>88</v>
      </c>
      <c r="U1811" s="152">
        <f>100*(INDEX(TDU_Info!$E$5:$E$110,$T1811)/T$11+INDEX(TDU_Info!$F$5:$F$110,$T1811))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MATCH(1,(TDU_Info!$C$5:$C$110=$T$6)*(TDU_Info!$B$5:$B$110&lt;=$B1812),0)</f>
        <v>88</v>
      </c>
      <c r="U1812" s="152">
        <f>100*(INDEX(TDU_Info!$E$5:$E$110,$T1812)/T$11+INDEX(TDU_Info!$F$5:$F$110,$T1812))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MATCH(1,(TDU_Info!$C$5:$C$110=$T$6)*(TDU_Info!$B$5:$B$110&lt;=$B1813),0)</f>
        <v>88</v>
      </c>
      <c r="U1813" s="152">
        <f>100*(INDEX(TDU_Info!$E$5:$E$110,$T1813)/T$11+INDEX(TDU_Info!$F$5:$F$110,$T1813))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MATCH(1,(TDU_Info!$C$5:$C$110=$T$6)*(TDU_Info!$B$5:$B$110&lt;=$B1814),0)</f>
        <v>88</v>
      </c>
      <c r="U1814" s="152">
        <f>100*(INDEX(TDU_Info!$E$5:$E$110,$T1814)/T$11+INDEX(TDU_Info!$F$5:$F$110,$T1814))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MATCH(1,(TDU_Info!$C$5:$C$110=$T$6)*(TDU_Info!$B$5:$B$110&lt;=$B1815),0)</f>
        <v>88</v>
      </c>
      <c r="U1815" s="152">
        <f>100*(INDEX(TDU_Info!$E$5:$E$110,$T1815)/T$11+INDEX(TDU_Info!$F$5:$F$110,$T1815))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MATCH(1,(TDU_Info!$C$5:$C$110=$T$6)*(TDU_Info!$B$5:$B$110&lt;=$B1816),0)</f>
        <v>88</v>
      </c>
      <c r="U1816" s="152">
        <f>100*(INDEX(TDU_Info!$E$5:$E$110,$T1816)/T$11+INDEX(TDU_Info!$F$5:$F$110,$T1816))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MATCH(1,(TDU_Info!$C$5:$C$110=$T$6)*(TDU_Info!$B$5:$B$110&lt;=$B1817),0)</f>
        <v>88</v>
      </c>
      <c r="U1817" s="152">
        <f>100*(INDEX(TDU_Info!$E$5:$E$110,$T1817)/T$11+INDEX(TDU_Info!$F$5:$F$110,$T1817))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MATCH(1,(TDU_Info!$C$5:$C$110=$T$6)*(TDU_Info!$B$5:$B$110&lt;=$B1818),0)</f>
        <v>88</v>
      </c>
      <c r="U1818" s="152">
        <f>100*(INDEX(TDU_Info!$E$5:$E$110,$T1818)/T$11+INDEX(TDU_Info!$F$5:$F$110,$T1818))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MATCH(1,(TDU_Info!$C$5:$C$110=$T$6)*(TDU_Info!$B$5:$B$110&lt;=$B1819),0)</f>
        <v>88</v>
      </c>
      <c r="U1819" s="152">
        <f>100*(INDEX(TDU_Info!$E$5:$E$110,$T1819)/T$11+INDEX(TDU_Info!$F$5:$F$110,$T1819))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MATCH(1,(TDU_Info!$C$5:$C$110=$T$6)*(TDU_Info!$B$5:$B$110&lt;=$B1820),0)</f>
        <v>88</v>
      </c>
      <c r="U1820" s="152">
        <f>100*(INDEX(TDU_Info!$E$5:$E$110,$T1820)/T$11+INDEX(TDU_Info!$F$5:$F$110,$T1820))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MATCH(1,(TDU_Info!$C$5:$C$110=$T$6)*(TDU_Info!$B$5:$B$110&lt;=$B1821),0)</f>
        <v>88</v>
      </c>
      <c r="U1821" s="152">
        <f>100*(INDEX(TDU_Info!$E$5:$E$110,$T1821)/T$11+INDEX(TDU_Info!$F$5:$F$110,$T1821))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MATCH(1,(TDU_Info!$C$5:$C$110=$T$6)*(TDU_Info!$B$5:$B$110&lt;=$B1822),0)</f>
        <v>88</v>
      </c>
      <c r="U1822" s="152">
        <f>100*(INDEX(TDU_Info!$E$5:$E$110,$T1822)/T$11+INDEX(TDU_Info!$F$5:$F$110,$T1822))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MATCH(1,(TDU_Info!$C$5:$C$110=$T$6)*(TDU_Info!$B$5:$B$110&lt;=$B1823),0)</f>
        <v>88</v>
      </c>
      <c r="U1823" s="152">
        <f>100*(INDEX(TDU_Info!$E$5:$E$110,$T1823)/T$11+INDEX(TDU_Info!$F$5:$F$110,$T1823))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MATCH(1,(TDU_Info!$C$5:$C$110=$T$6)*(TDU_Info!$B$5:$B$110&lt;=$B1824),0)</f>
        <v>88</v>
      </c>
      <c r="U1824" s="152">
        <f>100*(INDEX(TDU_Info!$E$5:$E$110,$T1824)/T$11+INDEX(TDU_Info!$F$5:$F$110,$T1824))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MATCH(1,(TDU_Info!$C$5:$C$110=$T$6)*(TDU_Info!$B$5:$B$110&lt;=$B1825),0)</f>
        <v>88</v>
      </c>
      <c r="U1825" s="152">
        <f>100*(INDEX(TDU_Info!$E$5:$E$110,$T1825)/T$11+INDEX(TDU_Info!$F$5:$F$110,$T1825))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MATCH(1,(TDU_Info!$C$5:$C$110=$T$6)*(TDU_Info!$B$5:$B$110&lt;=$B1826),0)</f>
        <v>88</v>
      </c>
      <c r="U1826" s="152">
        <f>100*(INDEX(TDU_Info!$E$5:$E$110,$T1826)/T$11+INDEX(TDU_Info!$F$5:$F$110,$T1826))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MATCH(1,(TDU_Info!$C$5:$C$110=$T$6)*(TDU_Info!$B$5:$B$110&lt;=$B1827),0)</f>
        <v>88</v>
      </c>
      <c r="U1827" s="152">
        <f>100*(INDEX(TDU_Info!$E$5:$E$110,$T1827)/T$11+INDEX(TDU_Info!$F$5:$F$110,$T1827))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MATCH(1,(TDU_Info!$C$5:$C$110=$T$6)*(TDU_Info!$B$5:$B$110&lt;=$B1828),0)</f>
        <v>88</v>
      </c>
      <c r="U1828" s="152">
        <f>100*(INDEX(TDU_Info!$E$5:$E$110,$T1828)/T$11+INDEX(TDU_Info!$F$5:$F$110,$T1828))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MATCH(1,(TDU_Info!$C$5:$C$110=$T$6)*(TDU_Info!$B$5:$B$110&lt;=$B1829),0)</f>
        <v>88</v>
      </c>
      <c r="U1829" s="152">
        <f>100*(INDEX(TDU_Info!$E$5:$E$110,$T1829)/T$11+INDEX(TDU_Info!$F$5:$F$110,$T1829))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MATCH(1,(TDU_Info!$C$5:$C$110=$T$6)*(TDU_Info!$B$5:$B$110&lt;=$B1830),0)</f>
        <v>88</v>
      </c>
      <c r="U1830" s="152">
        <f>100*(INDEX(TDU_Info!$E$5:$E$110,$T1830)/T$11+INDEX(TDU_Info!$F$5:$F$110,$T1830))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MATCH(1,(TDU_Info!$C$5:$C$110=$T$6)*(TDU_Info!$B$5:$B$110&lt;=$B1831),0)</f>
        <v>88</v>
      </c>
      <c r="U1831" s="152">
        <f>100*(INDEX(TDU_Info!$E$5:$E$110,$T1831)/T$11+INDEX(TDU_Info!$F$5:$F$110,$T1831))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MATCH(1,(TDU_Info!$C$5:$C$110=$T$6)*(TDU_Info!$B$5:$B$110&lt;=$B1832),0)</f>
        <v>88</v>
      </c>
      <c r="U1832" s="152">
        <f>100*(INDEX(TDU_Info!$E$5:$E$110,$T1832)/T$11+INDEX(TDU_Info!$F$5:$F$110,$T1832))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MATCH(1,(TDU_Info!$C$5:$C$110=$T$6)*(TDU_Info!$B$5:$B$110&lt;=$B1833),0)</f>
        <v>88</v>
      </c>
      <c r="U1833" s="152">
        <f>100*(INDEX(TDU_Info!$E$5:$E$110,$T1833)/T$11+INDEX(TDU_Info!$F$5:$F$110,$T1833))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MATCH(1,(TDU_Info!$C$5:$C$110=$T$6)*(TDU_Info!$B$5:$B$110&lt;=$B1834),0)</f>
        <v>88</v>
      </c>
      <c r="U1834" s="152">
        <f>100*(INDEX(TDU_Info!$E$5:$E$110,$T1834)/T$11+INDEX(TDU_Info!$F$5:$F$110,$T1834))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MATCH(1,(TDU_Info!$C$5:$C$110=$T$6)*(TDU_Info!$B$5:$B$110&lt;=$B1835),0)</f>
        <v>88</v>
      </c>
      <c r="U1835" s="152">
        <f>100*(INDEX(TDU_Info!$E$5:$E$110,$T1835)/T$11+INDEX(TDU_Info!$F$5:$F$110,$T1835))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MATCH(1,(TDU_Info!$C$5:$C$110=$T$6)*(TDU_Info!$B$5:$B$110&lt;=$B1836),0)</f>
        <v>88</v>
      </c>
      <c r="U1836" s="152">
        <f>100*(INDEX(TDU_Info!$E$5:$E$110,$T1836)/T$11+INDEX(TDU_Info!$F$5:$F$110,$T1836))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MATCH(1,(TDU_Info!$C$5:$C$110=$T$6)*(TDU_Info!$B$5:$B$110&lt;=$B1837),0)</f>
        <v>88</v>
      </c>
      <c r="U1837" s="152">
        <f>100*(INDEX(TDU_Info!$E$5:$E$110,$T1837)/T$11+INDEX(TDU_Info!$F$5:$F$110,$T1837))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MATCH(1,(TDU_Info!$C$5:$C$110=$T$6)*(TDU_Info!$B$5:$B$110&lt;=$B1838),0)</f>
        <v>88</v>
      </c>
      <c r="U1838" s="152">
        <f>100*(INDEX(TDU_Info!$E$5:$E$110,$T1838)/T$11+INDEX(TDU_Info!$F$5:$F$110,$T1838))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MATCH(1,(TDU_Info!$C$5:$C$110=$T$6)*(TDU_Info!$B$5:$B$110&lt;=$B1839),0)</f>
        <v>88</v>
      </c>
      <c r="U1839" s="152">
        <f>100*(INDEX(TDU_Info!$E$5:$E$110,$T1839)/T$11+INDEX(TDU_Info!$F$5:$F$110,$T1839))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MATCH(1,(TDU_Info!$C$5:$C$110=$T$6)*(TDU_Info!$B$5:$B$110&lt;=$B1840),0)</f>
        <v>88</v>
      </c>
      <c r="U1840" s="152">
        <f>100*(INDEX(TDU_Info!$E$5:$E$110,$T1840)/T$11+INDEX(TDU_Info!$F$5:$F$110,$T1840))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MATCH(1,(TDU_Info!$C$5:$C$110=$T$6)*(TDU_Info!$B$5:$B$110&lt;=$B1841),0)</f>
        <v>88</v>
      </c>
      <c r="U1841" s="152">
        <f>100*(INDEX(TDU_Info!$E$5:$E$110,$T1841)/T$11+INDEX(TDU_Info!$F$5:$F$110,$T1841))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MATCH(1,(TDU_Info!$C$5:$C$110=$T$6)*(TDU_Info!$B$5:$B$110&lt;=$B1842),0)</f>
        <v>88</v>
      </c>
      <c r="U1842" s="152">
        <f>100*(INDEX(TDU_Info!$E$5:$E$110,$T1842)/T$11+INDEX(TDU_Info!$F$5:$F$110,$T1842))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MATCH(1,(TDU_Info!$C$5:$C$110=$T$6)*(TDU_Info!$B$5:$B$110&lt;=$B1843),0)</f>
        <v>88</v>
      </c>
      <c r="U1843" s="152">
        <f>100*(INDEX(TDU_Info!$E$5:$E$110,$T1843)/T$11+INDEX(TDU_Info!$F$5:$F$110,$T1843))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MATCH(1,(TDU_Info!$C$5:$C$110=$T$6)*(TDU_Info!$B$5:$B$110&lt;=$B1844),0)</f>
        <v>88</v>
      </c>
      <c r="U1844" s="152">
        <f>100*(INDEX(TDU_Info!$E$5:$E$110,$T1844)/T$11+INDEX(TDU_Info!$F$5:$F$110,$T1844))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MATCH(1,(TDU_Info!$C$5:$C$110=$T$6)*(TDU_Info!$B$5:$B$110&lt;=$B1845),0)</f>
        <v>88</v>
      </c>
      <c r="U1845" s="152">
        <f>100*(INDEX(TDU_Info!$E$5:$E$110,$T1845)/T$11+INDEX(TDU_Info!$F$5:$F$110,$T1845))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MATCH(1,(TDU_Info!$C$5:$C$110=$T$6)*(TDU_Info!$B$5:$B$110&lt;=$B1846),0)</f>
        <v>88</v>
      </c>
      <c r="U1846" s="152">
        <f>100*(INDEX(TDU_Info!$E$5:$E$110,$T1846)/T$11+INDEX(TDU_Info!$F$5:$F$110,$T1846))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MATCH(1,(TDU_Info!$C$5:$C$110=$T$6)*(TDU_Info!$B$5:$B$110&lt;=$B1847),0)</f>
        <v>88</v>
      </c>
      <c r="U1847" s="152">
        <f>100*(INDEX(TDU_Info!$E$5:$E$110,$T1847)/T$11+INDEX(TDU_Info!$F$5:$F$110,$T1847))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MATCH(1,(TDU_Info!$C$5:$C$110=$T$6)*(TDU_Info!$B$5:$B$110&lt;=$B1848),0)</f>
        <v>88</v>
      </c>
      <c r="U1848" s="152">
        <f>100*(INDEX(TDU_Info!$E$5:$E$110,$T1848)/T$11+INDEX(TDU_Info!$F$5:$F$110,$T1848))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MATCH(1,(TDU_Info!$C$5:$C$110=$T$6)*(TDU_Info!$B$5:$B$110&lt;=$B1849),0)</f>
        <v>88</v>
      </c>
      <c r="U1849" s="152">
        <f>100*(INDEX(TDU_Info!$E$5:$E$110,$T1849)/T$11+INDEX(TDU_Info!$F$5:$F$110,$T1849))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MATCH(1,(TDU_Info!$C$5:$C$110=$T$6)*(TDU_Info!$B$5:$B$110&lt;=$B1850),0)</f>
        <v>88</v>
      </c>
      <c r="U1850" s="152">
        <f>100*(INDEX(TDU_Info!$E$5:$E$110,$T1850)/T$11+INDEX(TDU_Info!$F$5:$F$110,$T1850))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MATCH(1,(TDU_Info!$C$5:$C$110=$T$6)*(TDU_Info!$B$5:$B$110&lt;=$B1851),0)</f>
        <v>88</v>
      </c>
      <c r="U1851" s="152">
        <f>100*(INDEX(TDU_Info!$E$5:$E$110,$T1851)/T$11+INDEX(TDU_Info!$F$5:$F$110,$T1851))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MATCH(1,(TDU_Info!$C$5:$C$110=$T$6)*(TDU_Info!$B$5:$B$110&lt;=$B1852),0)</f>
        <v>88</v>
      </c>
      <c r="U1852" s="152">
        <f>100*(INDEX(TDU_Info!$E$5:$E$110,$T1852)/T$11+INDEX(TDU_Info!$F$5:$F$110,$T1852))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MATCH(1,(TDU_Info!$C$5:$C$110=$T$6)*(TDU_Info!$B$5:$B$110&lt;=$B1853),0)</f>
        <v>88</v>
      </c>
      <c r="U1853" s="152">
        <f>100*(INDEX(TDU_Info!$E$5:$E$110,$T1853)/T$11+INDEX(TDU_Info!$F$5:$F$110,$T1853))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MATCH(1,(TDU_Info!$C$5:$C$110=$T$6)*(TDU_Info!$B$5:$B$110&lt;=$B1854),0)</f>
        <v>88</v>
      </c>
      <c r="U1854" s="152">
        <f>100*(INDEX(TDU_Info!$E$5:$E$110,$T1854)/T$11+INDEX(TDU_Info!$F$5:$F$110,$T1854))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MATCH(1,(TDU_Info!$C$5:$C$110=$T$6)*(TDU_Info!$B$5:$B$110&lt;=$B1855),0)</f>
        <v>88</v>
      </c>
      <c r="U1855" s="152">
        <f>100*(INDEX(TDU_Info!$E$5:$E$110,$T1855)/T$11+INDEX(TDU_Info!$F$5:$F$110,$T1855))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MATCH(1,(TDU_Info!$C$5:$C$110=$T$6)*(TDU_Info!$B$5:$B$110&lt;=$B1856),0)</f>
        <v>88</v>
      </c>
      <c r="U1856" s="152">
        <f>100*(INDEX(TDU_Info!$E$5:$E$110,$T1856)/T$11+INDEX(TDU_Info!$F$5:$F$110,$T1856))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MATCH(1,(TDU_Info!$C$5:$C$110=$T$6)*(TDU_Info!$B$5:$B$110&lt;=$B1857),0)</f>
        <v>88</v>
      </c>
      <c r="U1857" s="152">
        <f>100*(INDEX(TDU_Info!$E$5:$E$110,$T1857)/T$11+INDEX(TDU_Info!$F$5:$F$110,$T1857))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MATCH(1,(TDU_Info!$C$5:$C$110=$T$6)*(TDU_Info!$B$5:$B$110&lt;=$B1858),0)</f>
        <v>88</v>
      </c>
      <c r="U1858" s="152">
        <f>100*(INDEX(TDU_Info!$E$5:$E$110,$T1858)/T$11+INDEX(TDU_Info!$F$5:$F$110,$T1858))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MATCH(1,(TDU_Info!$C$5:$C$110=$T$6)*(TDU_Info!$B$5:$B$110&lt;=$B1859),0)</f>
        <v>88</v>
      </c>
      <c r="U1859" s="152">
        <f>100*(INDEX(TDU_Info!$E$5:$E$110,$T1859)/T$11+INDEX(TDU_Info!$F$5:$F$110,$T1859))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MATCH(1,(TDU_Info!$C$5:$C$110=$T$6)*(TDU_Info!$B$5:$B$110&lt;=$B1860),0)</f>
        <v>88</v>
      </c>
      <c r="U1860" s="152">
        <f>100*(INDEX(TDU_Info!$E$5:$E$110,$T1860)/T$11+INDEX(TDU_Info!$F$5:$F$110,$T1860))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MATCH(1,(TDU_Info!$C$5:$C$110=$T$6)*(TDU_Info!$B$5:$B$110&lt;=$B1861),0)</f>
        <v>88</v>
      </c>
      <c r="U1861" s="152">
        <f>100*(INDEX(TDU_Info!$E$5:$E$110,$T1861)/T$11+INDEX(TDU_Info!$F$5:$F$110,$T1861))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MATCH(1,(TDU_Info!$C$5:$C$110=$T$6)*(TDU_Info!$B$5:$B$110&lt;=$B1862),0)</f>
        <v>88</v>
      </c>
      <c r="U1862" s="152">
        <f>100*(INDEX(TDU_Info!$E$5:$E$110,$T1862)/T$11+INDEX(TDU_Info!$F$5:$F$110,$T1862))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MATCH(1,(TDU_Info!$C$5:$C$110=$T$6)*(TDU_Info!$B$5:$B$110&lt;=$B1863),0)</f>
        <v>88</v>
      </c>
      <c r="U1863" s="152">
        <f>100*(INDEX(TDU_Info!$E$5:$E$110,$T1863)/T$11+INDEX(TDU_Info!$F$5:$F$110,$T1863))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MATCH(1,(TDU_Info!$C$5:$C$110=$T$6)*(TDU_Info!$B$5:$B$110&lt;=$B1864),0)</f>
        <v>88</v>
      </c>
      <c r="U1864" s="152">
        <f>100*(INDEX(TDU_Info!$E$5:$E$110,$T1864)/T$11+INDEX(TDU_Info!$F$5:$F$110,$T1864))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MATCH(1,(TDU_Info!$C$5:$C$110=$T$6)*(TDU_Info!$B$5:$B$110&lt;=$B1865),0)</f>
        <v>88</v>
      </c>
      <c r="U1865" s="152">
        <f>100*(INDEX(TDU_Info!$E$5:$E$110,$T1865)/T$11+INDEX(TDU_Info!$F$5:$F$110,$T1865))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MATCH(1,(TDU_Info!$C$5:$C$110=$T$6)*(TDU_Info!$B$5:$B$110&lt;=$B1866),0)</f>
        <v>88</v>
      </c>
      <c r="U1866" s="152">
        <f>100*(INDEX(TDU_Info!$E$5:$E$110,$T1866)/T$11+INDEX(TDU_Info!$F$5:$F$110,$T1866))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MATCH(1,(TDU_Info!$C$5:$C$110=$T$6)*(TDU_Info!$B$5:$B$110&lt;=$B1867),0)</f>
        <v>88</v>
      </c>
      <c r="U1867" s="152">
        <f>100*(INDEX(TDU_Info!$E$5:$E$110,$T1867)/T$11+INDEX(TDU_Info!$F$5:$F$110,$T1867))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MATCH(1,(TDU_Info!$C$5:$C$110=$T$6)*(TDU_Info!$B$5:$B$110&lt;=$B1868),0)</f>
        <v>88</v>
      </c>
      <c r="U1868" s="152">
        <f>100*(INDEX(TDU_Info!$E$5:$E$110,$T1868)/T$11+INDEX(TDU_Info!$F$5:$F$110,$T1868))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MATCH(1,(TDU_Info!$C$5:$C$110=$T$6)*(TDU_Info!$B$5:$B$110&lt;=$B1869),0)</f>
        <v>88</v>
      </c>
      <c r="U1869" s="152">
        <f>100*(INDEX(TDU_Info!$E$5:$E$110,$T1869)/T$11+INDEX(TDU_Info!$F$5:$F$110,$T1869))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MATCH(1,(TDU_Info!$C$5:$C$110=$T$6)*(TDU_Info!$B$5:$B$110&lt;=$B1870),0)</f>
        <v>88</v>
      </c>
      <c r="U1870" s="152">
        <f>100*(INDEX(TDU_Info!$E$5:$E$110,$T1870)/T$11+INDEX(TDU_Info!$F$5:$F$110,$T1870))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MATCH(1,(TDU_Info!$C$5:$C$110=$T$6)*(TDU_Info!$B$5:$B$110&lt;=$B1871),0)</f>
        <v>88</v>
      </c>
      <c r="U1871" s="152">
        <f>100*(INDEX(TDU_Info!$E$5:$E$110,$T1871)/T$11+INDEX(TDU_Info!$F$5:$F$110,$T1871))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MATCH(1,(TDU_Info!$C$5:$C$110=$T$6)*(TDU_Info!$B$5:$B$110&lt;=$B1872),0)</f>
        <v>88</v>
      </c>
      <c r="U1872" s="152">
        <f>100*(INDEX(TDU_Info!$E$5:$E$110,$T1872)/T$11+INDEX(TDU_Info!$F$5:$F$110,$T1872))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MATCH(1,(TDU_Info!$C$5:$C$110=$T$6)*(TDU_Info!$B$5:$B$110&lt;=$B1873),0)</f>
        <v>88</v>
      </c>
      <c r="U1873" s="152">
        <f>100*(INDEX(TDU_Info!$E$5:$E$110,$T1873)/T$11+INDEX(TDU_Info!$F$5:$F$110,$T1873))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MATCH(1,(TDU_Info!$C$5:$C$110=$T$6)*(TDU_Info!$B$5:$B$110&lt;=$B1874),0)</f>
        <v>88</v>
      </c>
      <c r="U1874" s="152">
        <f>100*(INDEX(TDU_Info!$E$5:$E$110,$T1874)/T$11+INDEX(TDU_Info!$F$5:$F$110,$T1874))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MATCH(1,(TDU_Info!$C$5:$C$110=$T$6)*(TDU_Info!$B$5:$B$110&lt;=$B1875),0)</f>
        <v>88</v>
      </c>
      <c r="U1875" s="152">
        <f>100*(INDEX(TDU_Info!$E$5:$E$110,$T1875)/T$11+INDEX(TDU_Info!$F$5:$F$110,$T1875))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MATCH(1,(TDU_Info!$C$5:$C$110=$T$6)*(TDU_Info!$B$5:$B$110&lt;=$B1876),0)</f>
        <v>88</v>
      </c>
      <c r="U1876" s="152">
        <f>100*(INDEX(TDU_Info!$E$5:$E$110,$T1876)/T$11+INDEX(TDU_Info!$F$5:$F$110,$T1876))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MATCH(1,(TDU_Info!$C$5:$C$110=$T$6)*(TDU_Info!$B$5:$B$110&lt;=$B1877),0)</f>
        <v>88</v>
      </c>
      <c r="U1877" s="152">
        <f>100*(INDEX(TDU_Info!$E$5:$E$110,$T1877)/T$11+INDEX(TDU_Info!$F$5:$F$110,$T1877))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MATCH(1,(TDU_Info!$C$5:$C$110=$T$6)*(TDU_Info!$B$5:$B$110&lt;=$B1878),0)</f>
        <v>88</v>
      </c>
      <c r="U1878" s="152">
        <f>100*(INDEX(TDU_Info!$E$5:$E$110,$T1878)/T$11+INDEX(TDU_Info!$F$5:$F$110,$T1878))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MATCH(1,(TDU_Info!$C$5:$C$110=$T$6)*(TDU_Info!$B$5:$B$110&lt;=$B1879),0)</f>
        <v>88</v>
      </c>
      <c r="U1879" s="152">
        <f>100*(INDEX(TDU_Info!$E$5:$E$110,$T1879)/T$11+INDEX(TDU_Info!$F$5:$F$110,$T1879))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MATCH(1,(TDU_Info!$C$5:$C$110=$T$6)*(TDU_Info!$B$5:$B$110&lt;=$B1880),0)</f>
        <v>88</v>
      </c>
      <c r="U1880" s="152">
        <f>100*(INDEX(TDU_Info!$E$5:$E$110,$T1880)/T$11+INDEX(TDU_Info!$F$5:$F$110,$T1880))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MATCH(1,(TDU_Info!$C$5:$C$110=$T$6)*(TDU_Info!$B$5:$B$110&lt;=$B1881),0)</f>
        <v>88</v>
      </c>
      <c r="U1881" s="152">
        <f>100*(INDEX(TDU_Info!$E$5:$E$110,$T1881)/T$11+INDEX(TDU_Info!$F$5:$F$110,$T1881))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MATCH(1,(TDU_Info!$C$5:$C$110=$T$6)*(TDU_Info!$B$5:$B$110&lt;=$B1882),0)</f>
        <v>88</v>
      </c>
      <c r="U1882" s="152">
        <f>100*(INDEX(TDU_Info!$E$5:$E$110,$T1882)/T$11+INDEX(TDU_Info!$F$5:$F$110,$T1882))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MATCH(1,(TDU_Info!$C$5:$C$110=$T$6)*(TDU_Info!$B$5:$B$110&lt;=$B1883),0)</f>
        <v>88</v>
      </c>
      <c r="U1883" s="152">
        <f>100*(INDEX(TDU_Info!$E$5:$E$110,$T1883)/T$11+INDEX(TDU_Info!$F$5:$F$110,$T1883))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MATCH(1,(TDU_Info!$C$5:$C$110=$T$6)*(TDU_Info!$B$5:$B$110&lt;=$B1884),0)</f>
        <v>88</v>
      </c>
      <c r="U1884" s="152">
        <f>100*(INDEX(TDU_Info!$E$5:$E$110,$T1884)/T$11+INDEX(TDU_Info!$F$5:$F$110,$T1884))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MATCH(1,(TDU_Info!$C$5:$C$110=$T$6)*(TDU_Info!$B$5:$B$110&lt;=$B1885),0)</f>
        <v>88</v>
      </c>
      <c r="U1885" s="152">
        <f>100*(INDEX(TDU_Info!$E$5:$E$110,$T1885)/T$11+INDEX(TDU_Info!$F$5:$F$110,$T1885))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MATCH(1,(TDU_Info!$C$5:$C$110=$T$6)*(TDU_Info!$B$5:$B$110&lt;=$B1886),0)</f>
        <v>88</v>
      </c>
      <c r="U1886" s="152">
        <f>100*(INDEX(TDU_Info!$E$5:$E$110,$T1886)/T$11+INDEX(TDU_Info!$F$5:$F$110,$T1886))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MATCH(1,(TDU_Info!$C$5:$C$110=$T$6)*(TDU_Info!$B$5:$B$110&lt;=$B1887),0)</f>
        <v>88</v>
      </c>
      <c r="U1887" s="152">
        <f>100*(INDEX(TDU_Info!$E$5:$E$110,$T1887)/T$11+INDEX(TDU_Info!$F$5:$F$110,$T1887))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MATCH(1,(TDU_Info!$C$5:$C$110=$T$6)*(TDU_Info!$B$5:$B$110&lt;=$B1888),0)</f>
        <v>88</v>
      </c>
      <c r="U1888" s="152">
        <f>100*(INDEX(TDU_Info!$E$5:$E$110,$T1888)/T$11+INDEX(TDU_Info!$F$5:$F$110,$T1888))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MATCH(1,(TDU_Info!$C$5:$C$110=$T$6)*(TDU_Info!$B$5:$B$110&lt;=$B1889),0)</f>
        <v>88</v>
      </c>
      <c r="U1889" s="152">
        <f>100*(INDEX(TDU_Info!$E$5:$E$110,$T1889)/T$11+INDEX(TDU_Info!$F$5:$F$110,$T1889))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MATCH(1,(TDU_Info!$C$5:$C$110=$T$6)*(TDU_Info!$B$5:$B$110&lt;=$B1890),0)</f>
        <v>88</v>
      </c>
      <c r="U1890" s="152">
        <f>100*(INDEX(TDU_Info!$E$5:$E$110,$T1890)/T$11+INDEX(TDU_Info!$F$5:$F$110,$T1890))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MATCH(1,(TDU_Info!$C$5:$C$110=$T$6)*(TDU_Info!$B$5:$B$110&lt;=$B1891),0)</f>
        <v>88</v>
      </c>
      <c r="U1891" s="152">
        <f>100*(INDEX(TDU_Info!$E$5:$E$110,$T1891)/T$11+INDEX(TDU_Info!$F$5:$F$110,$T1891))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MATCH(1,(TDU_Info!$C$5:$C$110=$T$6)*(TDU_Info!$B$5:$B$110&lt;=$B1892),0)</f>
        <v>88</v>
      </c>
      <c r="U1892" s="152">
        <f>100*(INDEX(TDU_Info!$E$5:$E$110,$T1892)/T$11+INDEX(TDU_Info!$F$5:$F$110,$T1892))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MATCH(1,(TDU_Info!$C$5:$C$110=$T$6)*(TDU_Info!$B$5:$B$110&lt;=$B1893),0)</f>
        <v>88</v>
      </c>
      <c r="U1893" s="152">
        <f>100*(INDEX(TDU_Info!$E$5:$E$110,$T1893)/T$11+INDEX(TDU_Info!$F$5:$F$110,$T1893))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MATCH(1,(TDU_Info!$C$5:$C$110=$T$6)*(TDU_Info!$B$5:$B$110&lt;=$B1894),0)</f>
        <v>88</v>
      </c>
      <c r="U1894" s="152">
        <f>100*(INDEX(TDU_Info!$E$5:$E$110,$T1894)/T$11+INDEX(TDU_Info!$F$5:$F$110,$T1894))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MATCH(1,(TDU_Info!$C$5:$C$110=$T$6)*(TDU_Info!$B$5:$B$110&lt;=$B1895),0)</f>
        <v>88</v>
      </c>
      <c r="U1895" s="152">
        <f>100*(INDEX(TDU_Info!$E$5:$E$110,$T1895)/T$11+INDEX(TDU_Info!$F$5:$F$110,$T1895))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MATCH(1,(TDU_Info!$C$5:$C$110=$T$6)*(TDU_Info!$B$5:$B$110&lt;=$B1896),0)</f>
        <v>88</v>
      </c>
      <c r="U1896" s="152">
        <f>100*(INDEX(TDU_Info!$E$5:$E$110,$T1896)/T$11+INDEX(TDU_Info!$F$5:$F$110,$T1896))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MATCH(1,(TDU_Info!$C$5:$C$110=$T$6)*(TDU_Info!$B$5:$B$110&lt;=$B1897),0)</f>
        <v>88</v>
      </c>
      <c r="U1897" s="152">
        <f>100*(INDEX(TDU_Info!$E$5:$E$110,$T1897)/T$11+INDEX(TDU_Info!$F$5:$F$110,$T1897))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MATCH(1,(TDU_Info!$C$5:$C$110=$T$6)*(TDU_Info!$B$5:$B$110&lt;=$B1898),0)</f>
        <v>88</v>
      </c>
      <c r="U1898" s="152">
        <f>100*(INDEX(TDU_Info!$E$5:$E$110,$T1898)/T$11+INDEX(TDU_Info!$F$5:$F$110,$T1898))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MATCH(1,(TDU_Info!$C$5:$C$110=$T$6)*(TDU_Info!$B$5:$B$110&lt;=$B1899),0)</f>
        <v>88</v>
      </c>
      <c r="U1899" s="152">
        <f>100*(INDEX(TDU_Info!$E$5:$E$110,$T1899)/T$11+INDEX(TDU_Info!$F$5:$F$110,$T1899))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MATCH(1,(TDU_Info!$C$5:$C$110=$T$6)*(TDU_Info!$B$5:$B$110&lt;=$B1900),0)</f>
        <v>88</v>
      </c>
      <c r="U1900" s="152">
        <f>100*(INDEX(TDU_Info!$E$5:$E$110,$T1900)/T$11+INDEX(TDU_Info!$F$5:$F$110,$T1900))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MATCH(1,(TDU_Info!$C$5:$C$110=$T$6)*(TDU_Info!$B$5:$B$110&lt;=$B1901),0)</f>
        <v>88</v>
      </c>
      <c r="U1901" s="152">
        <f>100*(INDEX(TDU_Info!$E$5:$E$110,$T1901)/T$11+INDEX(TDU_Info!$F$5:$F$110,$T1901))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MATCH(1,(TDU_Info!$C$5:$C$110=$T$6)*(TDU_Info!$B$5:$B$110&lt;=$B1902),0)</f>
        <v>87</v>
      </c>
      <c r="U1902" s="152">
        <f>100*(INDEX(TDU_Info!$E$5:$E$110,$T1902)/T$11+INDEX(TDU_Info!$F$5:$F$110,$T1902))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MATCH(1,(TDU_Info!$C$5:$C$110=$T$6)*(TDU_Info!$B$5:$B$110&lt;=$B1903),0)</f>
        <v>87</v>
      </c>
      <c r="U1903" s="152">
        <f>100*(INDEX(TDU_Info!$E$5:$E$110,$T1903)/T$11+INDEX(TDU_Info!$F$5:$F$110,$T1903))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MATCH(1,(TDU_Info!$C$5:$C$110=$T$6)*(TDU_Info!$B$5:$B$110&lt;=$B1904),0)</f>
        <v>87</v>
      </c>
      <c r="U1904" s="152">
        <f>100*(INDEX(TDU_Info!$E$5:$E$110,$T1904)/T$11+INDEX(TDU_Info!$F$5:$F$110,$T1904))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MATCH(1,(TDU_Info!$C$5:$C$110=$T$6)*(TDU_Info!$B$5:$B$110&lt;=$B1905),0)</f>
        <v>87</v>
      </c>
      <c r="U1905" s="152">
        <f>100*(INDEX(TDU_Info!$E$5:$E$110,$T1905)/T$11+INDEX(TDU_Info!$F$5:$F$110,$T1905))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MATCH(1,(TDU_Info!$C$5:$C$110=$T$6)*(TDU_Info!$B$5:$B$110&lt;=$B1906),0)</f>
        <v>87</v>
      </c>
      <c r="U1906" s="152">
        <f>100*(INDEX(TDU_Info!$E$5:$E$110,$T1906)/T$11+INDEX(TDU_Info!$F$5:$F$110,$T1906))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MATCH(1,(TDU_Info!$C$5:$C$110=$T$6)*(TDU_Info!$B$5:$B$110&lt;=$B1907),0)</f>
        <v>87</v>
      </c>
      <c r="U1907" s="152">
        <f>100*(INDEX(TDU_Info!$E$5:$E$110,$T1907)/T$11+INDEX(TDU_Info!$F$5:$F$110,$T1907))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MATCH(1,(TDU_Info!$C$5:$C$110=$T$6)*(TDU_Info!$B$5:$B$110&lt;=$B1908),0)</f>
        <v>87</v>
      </c>
      <c r="U1908" s="152">
        <f>100*(INDEX(TDU_Info!$E$5:$E$110,$T1908)/T$11+INDEX(TDU_Info!$F$5:$F$110,$T1908))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MATCH(1,(TDU_Info!$C$5:$C$110=$T$6)*(TDU_Info!$B$5:$B$110&lt;=$B1909),0)</f>
        <v>87</v>
      </c>
      <c r="U1909" s="152">
        <f>100*(INDEX(TDU_Info!$E$5:$E$110,$T1909)/T$11+INDEX(TDU_Info!$F$5:$F$110,$T1909))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MATCH(1,(TDU_Info!$C$5:$C$110=$T$6)*(TDU_Info!$B$5:$B$110&lt;=$B1910),0)</f>
        <v>87</v>
      </c>
      <c r="U1910" s="152">
        <f>100*(INDEX(TDU_Info!$E$5:$E$110,$T1910)/T$11+INDEX(TDU_Info!$F$5:$F$110,$T1910))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MATCH(1,(TDU_Info!$C$5:$C$110=$T$6)*(TDU_Info!$B$5:$B$110&lt;=$B1911),0)</f>
        <v>87</v>
      </c>
      <c r="U1911" s="152">
        <f>100*(INDEX(TDU_Info!$E$5:$E$110,$T1911)/T$11+INDEX(TDU_Info!$F$5:$F$110,$T1911))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MATCH(1,(TDU_Info!$C$5:$C$110=$T$6)*(TDU_Info!$B$5:$B$110&lt;=$B1912),0)</f>
        <v>87</v>
      </c>
      <c r="U1912" s="152">
        <f>100*(INDEX(TDU_Info!$E$5:$E$110,$T1912)/T$11+INDEX(TDU_Info!$F$5:$F$110,$T1912))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MATCH(1,(TDU_Info!$C$5:$C$110=$T$6)*(TDU_Info!$B$5:$B$110&lt;=$B1913),0)</f>
        <v>87</v>
      </c>
      <c r="U1913" s="152">
        <f>100*(INDEX(TDU_Info!$E$5:$E$110,$T1913)/T$11+INDEX(TDU_Info!$F$5:$F$110,$T1913))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MATCH(1,(TDU_Info!$C$5:$C$110=$T$6)*(TDU_Info!$B$5:$B$110&lt;=$B1914),0)</f>
        <v>87</v>
      </c>
      <c r="U1914" s="152">
        <f>100*(INDEX(TDU_Info!$E$5:$E$110,$T1914)/T$11+INDEX(TDU_Info!$F$5:$F$110,$T1914))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MATCH(1,(TDU_Info!$C$5:$C$110=$T$6)*(TDU_Info!$B$5:$B$110&lt;=$B1915),0)</f>
        <v>87</v>
      </c>
      <c r="U1915" s="152">
        <f>100*(INDEX(TDU_Info!$E$5:$E$110,$T1915)/T$11+INDEX(TDU_Info!$F$5:$F$110,$T1915))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MATCH(1,(TDU_Info!$C$5:$C$110=$T$6)*(TDU_Info!$B$5:$B$110&lt;=$B1916),0)</f>
        <v>87</v>
      </c>
      <c r="U1916" s="152">
        <f>100*(INDEX(TDU_Info!$E$5:$E$110,$T1916)/T$11+INDEX(TDU_Info!$F$5:$F$110,$T1916))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MATCH(1,(TDU_Info!$C$5:$C$110=$T$6)*(TDU_Info!$B$5:$B$110&lt;=$B1917),0)</f>
        <v>87</v>
      </c>
      <c r="U1917" s="152">
        <f>100*(INDEX(TDU_Info!$E$5:$E$110,$T1917)/T$11+INDEX(TDU_Info!$F$5:$F$110,$T1917))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MATCH(1,(TDU_Info!$C$5:$C$110=$T$6)*(TDU_Info!$B$5:$B$110&lt;=$B1918),0)</f>
        <v>87</v>
      </c>
      <c r="U1918" s="152">
        <f>100*(INDEX(TDU_Info!$E$5:$E$110,$T1918)/T$11+INDEX(TDU_Info!$F$5:$F$110,$T1918))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MATCH(1,(TDU_Info!$C$5:$C$110=$T$6)*(TDU_Info!$B$5:$B$110&lt;=$B1919),0)</f>
        <v>87</v>
      </c>
      <c r="U1919" s="152">
        <f>100*(INDEX(TDU_Info!$E$5:$E$110,$T1919)/T$11+INDEX(TDU_Info!$F$5:$F$110,$T1919))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MATCH(1,(TDU_Info!$C$5:$C$110=$T$6)*(TDU_Info!$B$5:$B$110&lt;=$B1920),0)</f>
        <v>87</v>
      </c>
      <c r="U1920" s="152">
        <f>100*(INDEX(TDU_Info!$E$5:$E$110,$T1920)/T$11+INDEX(TDU_Info!$F$5:$F$110,$T1920))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MATCH(1,(TDU_Info!$C$5:$C$110=$T$6)*(TDU_Info!$B$5:$B$110&lt;=$B1921),0)</f>
        <v>87</v>
      </c>
      <c r="U1921" s="152">
        <f>100*(INDEX(TDU_Info!$E$5:$E$110,$T1921)/T$11+INDEX(TDU_Info!$F$5:$F$110,$T1921))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MATCH(1,(TDU_Info!$C$5:$C$110=$T$6)*(TDU_Info!$B$5:$B$110&lt;=$B1922),0)</f>
        <v>87</v>
      </c>
      <c r="U1922" s="152">
        <f>100*(INDEX(TDU_Info!$E$5:$E$110,$T1922)/T$11+INDEX(TDU_Info!$F$5:$F$110,$T1922))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MATCH(1,(TDU_Info!$C$5:$C$110=$T$6)*(TDU_Info!$B$5:$B$110&lt;=$B1923),0)</f>
        <v>87</v>
      </c>
      <c r="U1923" s="152">
        <f>100*(INDEX(TDU_Info!$E$5:$E$110,$T1923)/T$11+INDEX(TDU_Info!$F$5:$F$110,$T1923))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MATCH(1,(TDU_Info!$C$5:$C$110=$T$6)*(TDU_Info!$B$5:$B$110&lt;=$B1924),0)</f>
        <v>87</v>
      </c>
      <c r="U1924" s="152">
        <f>100*(INDEX(TDU_Info!$E$5:$E$110,$T1924)/T$11+INDEX(TDU_Info!$F$5:$F$110,$T1924))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MATCH(1,(TDU_Info!$C$5:$C$110=$T$6)*(TDU_Info!$B$5:$B$110&lt;=$B1925),0)</f>
        <v>87</v>
      </c>
      <c r="U1925" s="152">
        <f>100*(INDEX(TDU_Info!$E$5:$E$110,$T1925)/T$11+INDEX(TDU_Info!$F$5:$F$110,$T1925))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MATCH(1,(TDU_Info!$C$5:$C$110=$T$6)*(TDU_Info!$B$5:$B$110&lt;=$B1926),0)</f>
        <v>87</v>
      </c>
      <c r="U1926" s="152">
        <f>100*(INDEX(TDU_Info!$E$5:$E$110,$T1926)/T$11+INDEX(TDU_Info!$F$5:$F$110,$T1926))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MATCH(1,(TDU_Info!$C$5:$C$110=$T$6)*(TDU_Info!$B$5:$B$110&lt;=$B1927),0)</f>
        <v>87</v>
      </c>
      <c r="U1927" s="152">
        <f>100*(INDEX(TDU_Info!$E$5:$E$110,$T1927)/T$11+INDEX(TDU_Info!$F$5:$F$110,$T1927))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MATCH(1,(TDU_Info!$C$5:$C$110=$T$6)*(TDU_Info!$B$5:$B$110&lt;=$B1928),0)</f>
        <v>87</v>
      </c>
      <c r="U1928" s="152">
        <f>100*(INDEX(TDU_Info!$E$5:$E$110,$T1928)/T$11+INDEX(TDU_Info!$F$5:$F$110,$T1928))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MATCH(1,(TDU_Info!$C$5:$C$110=$T$6)*(TDU_Info!$B$5:$B$110&lt;=$B1929),0)</f>
        <v>87</v>
      </c>
      <c r="U1929" s="152">
        <f>100*(INDEX(TDU_Info!$E$5:$E$110,$T1929)/T$11+INDEX(TDU_Info!$F$5:$F$110,$T1929))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MATCH(1,(TDU_Info!$C$5:$C$110=$T$6)*(TDU_Info!$B$5:$B$110&lt;=$B1930),0)</f>
        <v>87</v>
      </c>
      <c r="U1930" s="152">
        <f>100*(INDEX(TDU_Info!$E$5:$E$110,$T1930)/T$11+INDEX(TDU_Info!$F$5:$F$110,$T1930))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MATCH(1,(TDU_Info!$C$5:$C$110=$T$6)*(TDU_Info!$B$5:$B$110&lt;=$B1931),0)</f>
        <v>87</v>
      </c>
      <c r="U1931" s="152">
        <f>100*(INDEX(TDU_Info!$E$5:$E$110,$T1931)/T$11+INDEX(TDU_Info!$F$5:$F$110,$T1931))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MATCH(1,(TDU_Info!$C$5:$C$110=$T$6)*(TDU_Info!$B$5:$B$110&lt;=$B1932),0)</f>
        <v>87</v>
      </c>
      <c r="U1932" s="152">
        <f>100*(INDEX(TDU_Info!$E$5:$E$110,$T1932)/T$11+INDEX(TDU_Info!$F$5:$F$110,$T1932))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MATCH(1,(TDU_Info!$C$5:$C$110=$T$6)*(TDU_Info!$B$5:$B$110&lt;=$B1933),0)</f>
        <v>87</v>
      </c>
      <c r="U1933" s="152">
        <f>100*(INDEX(TDU_Info!$E$5:$E$110,$T1933)/T$11+INDEX(TDU_Info!$F$5:$F$110,$T1933))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MATCH(1,(TDU_Info!$C$5:$C$110=$T$6)*(TDU_Info!$B$5:$B$110&lt;=$B1934),0)</f>
        <v>87</v>
      </c>
      <c r="U1934" s="152">
        <f>100*(INDEX(TDU_Info!$E$5:$E$110,$T1934)/T$11+INDEX(TDU_Info!$F$5:$F$110,$T1934))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MATCH(1,(TDU_Info!$C$5:$C$110=$T$6)*(TDU_Info!$B$5:$B$110&lt;=$B1935),0)</f>
        <v>87</v>
      </c>
      <c r="U1935" s="152">
        <f>100*(INDEX(TDU_Info!$E$5:$E$110,$T1935)/T$11+INDEX(TDU_Info!$F$5:$F$110,$T1935))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MATCH(1,(TDU_Info!$C$5:$C$110=$T$6)*(TDU_Info!$B$5:$B$110&lt;=$B1936),0)</f>
        <v>87</v>
      </c>
      <c r="U1936" s="152">
        <f>100*(INDEX(TDU_Info!$E$5:$E$110,$T1936)/T$11+INDEX(TDU_Info!$F$5:$F$110,$T1936))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MATCH(1,(TDU_Info!$C$5:$C$110=$T$6)*(TDU_Info!$B$5:$B$110&lt;=$B1937),0)</f>
        <v>87</v>
      </c>
      <c r="U1937" s="152">
        <f>100*(INDEX(TDU_Info!$E$5:$E$110,$T1937)/T$11+INDEX(TDU_Info!$F$5:$F$110,$T1937))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MATCH(1,(TDU_Info!$C$5:$C$110=$T$6)*(TDU_Info!$B$5:$B$110&lt;=$B1938),0)</f>
        <v>87</v>
      </c>
      <c r="U1938" s="152">
        <f>100*(INDEX(TDU_Info!$E$5:$E$110,$T1938)/T$11+INDEX(TDU_Info!$F$5:$F$110,$T1938))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1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MATCH(1,(TDU_Info!$C$5:$C$110=$T$6)*(TDU_Info!$B$5:$B$110&lt;=$B1939),0)</f>
        <v>87</v>
      </c>
      <c r="U1939" s="152">
        <f>100*(INDEX(TDU_Info!$E$5:$E$110,$T1939)/T$11+INDEX(TDU_Info!$F$5:$F$110,$T1939))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MATCH(1,(TDU_Info!$C$5:$C$110=$T$6)*(TDU_Info!$B$5:$B$110&lt;=$B1940),0)</f>
        <v>87</v>
      </c>
      <c r="U1940" s="152">
        <f>100*(INDEX(TDU_Info!$E$5:$E$110,$T1940)/T$11+INDEX(TDU_Info!$F$5:$F$110,$T1940))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MATCH(1,(TDU_Info!$C$5:$C$110=$T$6)*(TDU_Info!$B$5:$B$110&lt;=$B1941),0)</f>
        <v>87</v>
      </c>
      <c r="U1941" s="152">
        <f>100*(INDEX(TDU_Info!$E$5:$E$110,$T1941)/T$11+INDEX(TDU_Info!$F$5:$F$110,$T1941))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MATCH(1,(TDU_Info!$C$5:$C$110=$T$6)*(TDU_Info!$B$5:$B$110&lt;=$B1942),0)</f>
        <v>87</v>
      </c>
      <c r="U1942" s="152">
        <f>100*(INDEX(TDU_Info!$E$5:$E$110,$T1942)/T$11+INDEX(TDU_Info!$F$5:$F$110,$T1942))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MATCH(1,(TDU_Info!$C$5:$C$110=$T$6)*(TDU_Info!$B$5:$B$110&lt;=$B1943),0)</f>
        <v>87</v>
      </c>
      <c r="U1943" s="152">
        <f>100*(INDEX(TDU_Info!$E$5:$E$110,$T1943)/T$11+INDEX(TDU_Info!$F$5:$F$110,$T1943))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MATCH(1,(TDU_Info!$C$5:$C$110=$T$6)*(TDU_Info!$B$5:$B$110&lt;=$B1944),0)</f>
        <v>87</v>
      </c>
      <c r="U1944" s="152">
        <f>100*(INDEX(TDU_Info!$E$5:$E$110,$T1944)/T$11+INDEX(TDU_Info!$F$5:$F$110,$T1944))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MATCH(1,(TDU_Info!$C$5:$C$110=$T$6)*(TDU_Info!$B$5:$B$110&lt;=$B1945),0)</f>
        <v>87</v>
      </c>
      <c r="U1945" s="152">
        <f>100*(INDEX(TDU_Info!$E$5:$E$110,$T1945)/T$11+INDEX(TDU_Info!$F$5:$F$110,$T1945))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MATCH(1,(TDU_Info!$C$5:$C$110=$T$6)*(TDU_Info!$B$5:$B$110&lt;=$B1946),0)</f>
        <v>87</v>
      </c>
      <c r="U1946" s="152">
        <f>100*(INDEX(TDU_Info!$E$5:$E$110,$T1946)/T$11+INDEX(TDU_Info!$F$5:$F$110,$T1946))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MATCH(1,(TDU_Info!$C$5:$C$110=$T$6)*(TDU_Info!$B$5:$B$110&lt;=$B1947),0)</f>
        <v>87</v>
      </c>
      <c r="U1947" s="152">
        <f>100*(INDEX(TDU_Info!$E$5:$E$110,$T1947)/T$11+INDEX(TDU_Info!$F$5:$F$110,$T1947))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MATCH(1,(TDU_Info!$C$5:$C$110=$T$6)*(TDU_Info!$B$5:$B$110&lt;=$B1948),0)</f>
        <v>87</v>
      </c>
      <c r="U1948" s="152">
        <f>100*(INDEX(TDU_Info!$E$5:$E$110,$T1948)/T$11+INDEX(TDU_Info!$F$5:$F$110,$T1948))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MATCH(1,(TDU_Info!$C$5:$C$110=$T$6)*(TDU_Info!$B$5:$B$110&lt;=$B1949),0)</f>
        <v>87</v>
      </c>
      <c r="U1949" s="152">
        <f>100*(INDEX(TDU_Info!$E$5:$E$110,$T1949)/T$11+INDEX(TDU_Info!$F$5:$F$110,$T1949))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MATCH(1,(TDU_Info!$C$5:$C$110=$T$6)*(TDU_Info!$B$5:$B$110&lt;=$B1950),0)</f>
        <v>87</v>
      </c>
      <c r="U1950" s="152">
        <f>100*(INDEX(TDU_Info!$E$5:$E$110,$T1950)/T$11+INDEX(TDU_Info!$F$5:$F$110,$T1950))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MATCH(1,(TDU_Info!$C$5:$C$110=$T$6)*(TDU_Info!$B$5:$B$110&lt;=$B1951),0)</f>
        <v>87</v>
      </c>
      <c r="U1951" s="152">
        <f>100*(INDEX(TDU_Info!$E$5:$E$110,$T1951)/T$11+INDEX(TDU_Info!$F$5:$F$110,$T1951))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MATCH(1,(TDU_Info!$C$5:$C$110=$T$6)*(TDU_Info!$B$5:$B$110&lt;=$B1952),0)</f>
        <v>87</v>
      </c>
      <c r="U1952" s="152">
        <f>100*(INDEX(TDU_Info!$E$5:$E$110,$T1952)/T$11+INDEX(TDU_Info!$F$5:$F$110,$T1952))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MATCH(1,(TDU_Info!$C$5:$C$110=$T$6)*(TDU_Info!$B$5:$B$110&lt;=$B1953),0)</f>
        <v>87</v>
      </c>
      <c r="U1953" s="152">
        <f>100*(INDEX(TDU_Info!$E$5:$E$110,$T1953)/T$11+INDEX(TDU_Info!$F$5:$F$110,$T1953))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MATCH(1,(TDU_Info!$C$5:$C$110=$T$6)*(TDU_Info!$B$5:$B$110&lt;=$B1954),0)</f>
        <v>87</v>
      </c>
      <c r="U1954" s="152">
        <f>100*(INDEX(TDU_Info!$E$5:$E$110,$T1954)/T$11+INDEX(TDU_Info!$F$5:$F$110,$T1954))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MATCH(1,(TDU_Info!$C$5:$C$110=$T$6)*(TDU_Info!$B$5:$B$110&lt;=$B1955),0)</f>
        <v>87</v>
      </c>
      <c r="U1955" s="152">
        <f>100*(INDEX(TDU_Info!$E$5:$E$110,$T1955)/T$11+INDEX(TDU_Info!$F$5:$F$110,$T1955))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MATCH(1,(TDU_Info!$C$5:$C$110=$T$6)*(TDU_Info!$B$5:$B$110&lt;=$B1956),0)</f>
        <v>87</v>
      </c>
      <c r="U1956" s="152">
        <f>100*(INDEX(TDU_Info!$E$5:$E$110,$T1956)/T$11+INDEX(TDU_Info!$F$5:$F$110,$T1956))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MATCH(1,(TDU_Info!$C$5:$C$110=$T$6)*(TDU_Info!$B$5:$B$110&lt;=$B1957),0)</f>
        <v>87</v>
      </c>
      <c r="U1957" s="152">
        <f>100*(INDEX(TDU_Info!$E$5:$E$110,$T1957)/T$11+INDEX(TDU_Info!$F$5:$F$110,$T1957))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MATCH(1,(TDU_Info!$C$5:$C$110=$T$6)*(TDU_Info!$B$5:$B$110&lt;=$B1958),0)</f>
        <v>87</v>
      </c>
      <c r="U1958" s="152">
        <f>100*(INDEX(TDU_Info!$E$5:$E$110,$T1958)/T$11+INDEX(TDU_Info!$F$5:$F$110,$T1958))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MATCH(1,(TDU_Info!$C$5:$C$110=$T$6)*(TDU_Info!$B$5:$B$110&lt;=$B1959),0)</f>
        <v>87</v>
      </c>
      <c r="U1959" s="152">
        <f>100*(INDEX(TDU_Info!$E$5:$E$110,$T1959)/T$11+INDEX(TDU_Info!$F$5:$F$110,$T1959))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MATCH(1,(TDU_Info!$C$5:$C$110=$T$6)*(TDU_Info!$B$5:$B$110&lt;=$B1960),0)</f>
        <v>87</v>
      </c>
      <c r="U1960" s="152">
        <f>100*(INDEX(TDU_Info!$E$5:$E$110,$T1960)/T$11+INDEX(TDU_Info!$F$5:$F$110,$T1960))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MATCH(1,(TDU_Info!$C$5:$C$110=$T$6)*(TDU_Info!$B$5:$B$110&lt;=$B1961),0)</f>
        <v>87</v>
      </c>
      <c r="U1961" s="152">
        <f>100*(INDEX(TDU_Info!$E$5:$E$110,$T1961)/T$11+INDEX(TDU_Info!$F$5:$F$110,$T1961))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MATCH(1,(TDU_Info!$C$5:$C$110=$T$6)*(TDU_Info!$B$5:$B$110&lt;=$B1962),0)</f>
        <v>87</v>
      </c>
      <c r="U1962" s="152">
        <f>100*(INDEX(TDU_Info!$E$5:$E$110,$T1962)/T$11+INDEX(TDU_Info!$F$5:$F$110,$T1962))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MATCH(1,(TDU_Info!$C$5:$C$110=$T$6)*(TDU_Info!$B$5:$B$110&lt;=$B1963),0)</f>
        <v>87</v>
      </c>
      <c r="U1963" s="152">
        <f>100*(INDEX(TDU_Info!$E$5:$E$110,$T1963)/T$11+INDEX(TDU_Info!$F$5:$F$110,$T1963))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MATCH(1,(TDU_Info!$C$5:$C$110=$T$6)*(TDU_Info!$B$5:$B$110&lt;=$B1964),0)</f>
        <v>87</v>
      </c>
      <c r="U1964" s="152">
        <f>100*(INDEX(TDU_Info!$E$5:$E$110,$T1964)/T$11+INDEX(TDU_Info!$F$5:$F$110,$T1964))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MATCH(1,(TDU_Info!$C$5:$C$110=$T$6)*(TDU_Info!$B$5:$B$110&lt;=$B1965),0)</f>
        <v>87</v>
      </c>
      <c r="U1965" s="152">
        <f>100*(INDEX(TDU_Info!$E$5:$E$110,$T1965)/T$11+INDEX(TDU_Info!$F$5:$F$110,$T1965))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MATCH(1,(TDU_Info!$C$5:$C$110=$T$6)*(TDU_Info!$B$5:$B$110&lt;=$B1966),0)</f>
        <v>87</v>
      </c>
      <c r="U1966" s="152">
        <f>100*(INDEX(TDU_Info!$E$5:$E$110,$T1966)/T$11+INDEX(TDU_Info!$F$5:$F$110,$T1966))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MATCH(1,(TDU_Info!$C$5:$C$110=$T$6)*(TDU_Info!$B$5:$B$110&lt;=$B1967),0)</f>
        <v>87</v>
      </c>
      <c r="U1967" s="152">
        <f>100*(INDEX(TDU_Info!$E$5:$E$110,$T1967)/T$11+INDEX(TDU_Info!$F$5:$F$110,$T1967))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MATCH(1,(TDU_Info!$C$5:$C$110=$T$6)*(TDU_Info!$B$5:$B$110&lt;=$B1968),0)</f>
        <v>87</v>
      </c>
      <c r="U1968" s="152">
        <f>100*(INDEX(TDU_Info!$E$5:$E$110,$T1968)/T$11+INDEX(TDU_Info!$F$5:$F$110,$T1968))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MATCH(1,(TDU_Info!$C$5:$C$110=$T$6)*(TDU_Info!$B$5:$B$110&lt;=$B1969),0)</f>
        <v>87</v>
      </c>
      <c r="U1969" s="152">
        <f>100*(INDEX(TDU_Info!$E$5:$E$110,$T1969)/T$11+INDEX(TDU_Info!$F$5:$F$110,$T1969))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MATCH(1,(TDU_Info!$C$5:$C$110=$T$6)*(TDU_Info!$B$5:$B$110&lt;=$B1970),0)</f>
        <v>87</v>
      </c>
      <c r="U1970" s="152">
        <f>100*(INDEX(TDU_Info!$E$5:$E$110,$T1970)/T$11+INDEX(TDU_Info!$F$5:$F$110,$T1970))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MATCH(1,(TDU_Info!$C$5:$C$110=$T$6)*(TDU_Info!$B$5:$B$110&lt;=$B1971),0)</f>
        <v>87</v>
      </c>
      <c r="U1971" s="152">
        <f>100*(INDEX(TDU_Info!$E$5:$E$110,$T1971)/T$11+INDEX(TDU_Info!$F$5:$F$110,$T1971))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MATCH(1,(TDU_Info!$C$5:$C$110=$T$6)*(TDU_Info!$B$5:$B$110&lt;=$B1972),0)</f>
        <v>87</v>
      </c>
      <c r="U1972" s="152">
        <f>100*(INDEX(TDU_Info!$E$5:$E$110,$T1972)/T$11+INDEX(TDU_Info!$F$5:$F$110,$T1972))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MATCH(1,(TDU_Info!$C$5:$C$110=$T$6)*(TDU_Info!$B$5:$B$110&lt;=$B1973),0)</f>
        <v>87</v>
      </c>
      <c r="U1973" s="152">
        <f>100*(INDEX(TDU_Info!$E$5:$E$110,$T1973)/T$11+INDEX(TDU_Info!$F$5:$F$110,$T1973))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MATCH(1,(TDU_Info!$C$5:$C$110=$T$6)*(TDU_Info!$B$5:$B$110&lt;=$B1974),0)</f>
        <v>87</v>
      </c>
      <c r="U1974" s="152">
        <f>100*(INDEX(TDU_Info!$E$5:$E$110,$T1974)/T$11+INDEX(TDU_Info!$F$5:$F$110,$T1974))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MATCH(1,(TDU_Info!$C$5:$C$110=$T$6)*(TDU_Info!$B$5:$B$110&lt;=$B1975),0)</f>
        <v>87</v>
      </c>
      <c r="U1975" s="152">
        <f>100*(INDEX(TDU_Info!$E$5:$E$110,$T1975)/T$11+INDEX(TDU_Info!$F$5:$F$110,$T1975))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MATCH(1,(TDU_Info!$C$5:$C$110=$T$6)*(TDU_Info!$B$5:$B$110&lt;=$B1976),0)</f>
        <v>87</v>
      </c>
      <c r="U1976" s="152">
        <f>100*(INDEX(TDU_Info!$E$5:$E$110,$T1976)/T$11+INDEX(TDU_Info!$F$5:$F$110,$T1976))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MATCH(1,(TDU_Info!$C$5:$C$110=$T$6)*(TDU_Info!$B$5:$B$110&lt;=$B1977),0)</f>
        <v>87</v>
      </c>
      <c r="U1977" s="152">
        <f>100*(INDEX(TDU_Info!$E$5:$E$110,$T1977)/T$11+INDEX(TDU_Info!$F$5:$F$110,$T1977))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MATCH(1,(TDU_Info!$C$5:$C$110=$T$6)*(TDU_Info!$B$5:$B$110&lt;=$B1978),0)</f>
        <v>87</v>
      </c>
      <c r="U1978" s="152">
        <f>100*(INDEX(TDU_Info!$E$5:$E$110,$T1978)/T$11+INDEX(TDU_Info!$F$5:$F$110,$T1978))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MATCH(1,(TDU_Info!$C$5:$C$110=$T$6)*(TDU_Info!$B$5:$B$110&lt;=$B1979),0)</f>
        <v>87</v>
      </c>
      <c r="U1979" s="152">
        <f>100*(INDEX(TDU_Info!$E$5:$E$110,$T1979)/T$11+INDEX(TDU_Info!$F$5:$F$110,$T1979))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MATCH(1,(TDU_Info!$C$5:$C$110=$T$6)*(TDU_Info!$B$5:$B$110&lt;=$B1980),0)</f>
        <v>87</v>
      </c>
      <c r="U1980" s="152">
        <f>100*(INDEX(TDU_Info!$E$5:$E$110,$T1980)/T$11+INDEX(TDU_Info!$F$5:$F$110,$T1980))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MATCH(1,(TDU_Info!$C$5:$C$110=$T$6)*(TDU_Info!$B$5:$B$110&lt;=$B1981),0)</f>
        <v>87</v>
      </c>
      <c r="U1981" s="152">
        <f>100*(INDEX(TDU_Info!$E$5:$E$110,$T1981)/T$11+INDEX(TDU_Info!$F$5:$F$110,$T1981))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MATCH(1,(TDU_Info!$C$5:$C$110=$T$6)*(TDU_Info!$B$5:$B$110&lt;=$B1982),0)</f>
        <v>87</v>
      </c>
      <c r="U1982" s="152">
        <f>100*(INDEX(TDU_Info!$E$5:$E$110,$T1982)/T$11+INDEX(TDU_Info!$F$5:$F$110,$T1982))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MATCH(1,(TDU_Info!$C$5:$C$110=$T$6)*(TDU_Info!$B$5:$B$110&lt;=$B1983),0)</f>
        <v>87</v>
      </c>
      <c r="U1983" s="152">
        <f>100*(INDEX(TDU_Info!$E$5:$E$110,$T1983)/T$11+INDEX(TDU_Info!$F$5:$F$110,$T1983))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MATCH(1,(TDU_Info!$C$5:$C$110=$T$6)*(TDU_Info!$B$5:$B$110&lt;=$B1984),0)</f>
        <v>87</v>
      </c>
      <c r="U1984" s="152">
        <f>100*(INDEX(TDU_Info!$E$5:$E$110,$T1984)/T$11+INDEX(TDU_Info!$F$5:$F$110,$T1984))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MATCH(1,(TDU_Info!$C$5:$C$110=$T$6)*(TDU_Info!$B$5:$B$110&lt;=$B1985),0)</f>
        <v>87</v>
      </c>
      <c r="U1985" s="152">
        <f>100*(INDEX(TDU_Info!$E$5:$E$110,$T1985)/T$11+INDEX(TDU_Info!$F$5:$F$110,$T1985))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MATCH(1,(TDU_Info!$C$5:$C$110=$T$6)*(TDU_Info!$B$5:$B$110&lt;=$B1986),0)</f>
        <v>87</v>
      </c>
      <c r="U1986" s="152">
        <f>100*(INDEX(TDU_Info!$E$5:$E$110,$T1986)/T$11+INDEX(TDU_Info!$F$5:$F$110,$T1986))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MATCH(1,(TDU_Info!$C$5:$C$110=$T$6)*(TDU_Info!$B$5:$B$110&lt;=$B1987),0)</f>
        <v>87</v>
      </c>
      <c r="U1987" s="152">
        <f>100*(INDEX(TDU_Info!$E$5:$E$110,$T1987)/T$11+INDEX(TDU_Info!$F$5:$F$110,$T1987))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MATCH(1,(TDU_Info!$C$5:$C$110=$T$6)*(TDU_Info!$B$5:$B$110&lt;=$B1988),0)</f>
        <v>87</v>
      </c>
      <c r="U1988" s="152">
        <f>100*(INDEX(TDU_Info!$E$5:$E$110,$T1988)/T$11+INDEX(TDU_Info!$F$5:$F$110,$T1988))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MATCH(1,(TDU_Info!$C$5:$C$110=$T$6)*(TDU_Info!$B$5:$B$110&lt;=$B1989),0)</f>
        <v>87</v>
      </c>
      <c r="U1989" s="152">
        <f>100*(INDEX(TDU_Info!$E$5:$E$110,$T1989)/T$11+INDEX(TDU_Info!$F$5:$F$110,$T1989))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MATCH(1,(TDU_Info!$C$5:$C$110=$T$6)*(TDU_Info!$B$5:$B$110&lt;=$B1990),0)</f>
        <v>87</v>
      </c>
      <c r="U1990" s="152">
        <f>100*(INDEX(TDU_Info!$E$5:$E$110,$T1990)/T$11+INDEX(TDU_Info!$F$5:$F$110,$T1990))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MATCH(1,(TDU_Info!$C$5:$C$110=$T$6)*(TDU_Info!$B$5:$B$110&lt;=$B1991),0)</f>
        <v>87</v>
      </c>
      <c r="U1991" s="152">
        <f>100*(INDEX(TDU_Info!$E$5:$E$110,$T1991)/T$11+INDEX(TDU_Info!$F$5:$F$110,$T1991))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MATCH(1,(TDU_Info!$C$5:$C$110=$T$6)*(TDU_Info!$B$5:$B$110&lt;=$B1992),0)</f>
        <v>87</v>
      </c>
      <c r="U1992" s="152">
        <f>100*(INDEX(TDU_Info!$E$5:$E$110,$T1992)/T$11+INDEX(TDU_Info!$F$5:$F$110,$T1992))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MATCH(1,(TDU_Info!$C$5:$C$110=$T$6)*(TDU_Info!$B$5:$B$110&lt;=$B1993),0)</f>
        <v>87</v>
      </c>
      <c r="U1993" s="152">
        <f>100*(INDEX(TDU_Info!$E$5:$E$110,$T1993)/T$11+INDEX(TDU_Info!$F$5:$F$110,$T1993))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MATCH(1,(TDU_Info!$C$5:$C$110=$T$6)*(TDU_Info!$B$5:$B$110&lt;=$B1994),0)</f>
        <v>87</v>
      </c>
      <c r="U1994" s="152">
        <f>100*(INDEX(TDU_Info!$E$5:$E$110,$T1994)/T$11+INDEX(TDU_Info!$F$5:$F$110,$T1994))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MATCH(1,(TDU_Info!$C$5:$C$110=$T$6)*(TDU_Info!$B$5:$B$110&lt;=$B1995),0)</f>
        <v>87</v>
      </c>
      <c r="U1995" s="152">
        <f>100*(INDEX(TDU_Info!$E$5:$E$110,$T1995)/T$11+INDEX(TDU_Info!$F$5:$F$110,$T1995))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MATCH(1,(TDU_Info!$C$5:$C$110=$T$6)*(TDU_Info!$B$5:$B$110&lt;=$B1996),0)</f>
        <v>87</v>
      </c>
      <c r="U1996" s="152">
        <f>100*(INDEX(TDU_Info!$E$5:$E$110,$T1996)/T$11+INDEX(TDU_Info!$F$5:$F$110,$T1996))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MATCH(1,(TDU_Info!$C$5:$C$110=$T$6)*(TDU_Info!$B$5:$B$110&lt;=$B1997),0)</f>
        <v>87</v>
      </c>
      <c r="U1997" s="152">
        <f>100*(INDEX(TDU_Info!$E$5:$E$110,$T1997)/T$11+INDEX(TDU_Info!$F$5:$F$110,$T1997))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MATCH(1,(TDU_Info!$C$5:$C$110=$T$6)*(TDU_Info!$B$5:$B$110&lt;=$B1998),0)</f>
        <v>87</v>
      </c>
      <c r="U1998" s="152">
        <f>100*(INDEX(TDU_Info!$E$5:$E$110,$T1998)/T$11+INDEX(TDU_Info!$F$5:$F$110,$T1998))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MATCH(1,(TDU_Info!$C$5:$C$110=$T$6)*(TDU_Info!$B$5:$B$110&lt;=$B1999),0)</f>
        <v>87</v>
      </c>
      <c r="U1999" s="152">
        <f>100*(INDEX(TDU_Info!$E$5:$E$110,$T1999)/T$11+INDEX(TDU_Info!$F$5:$F$110,$T1999))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MATCH(1,(TDU_Info!$C$5:$C$110=$T$6)*(TDU_Info!$B$5:$B$110&lt;=$B2000),0)</f>
        <v>87</v>
      </c>
      <c r="U2000" s="152">
        <f>100*(INDEX(TDU_Info!$E$5:$E$110,$T2000)/T$11+INDEX(TDU_Info!$F$5:$F$110,$T2000))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MATCH(1,(TDU_Info!$C$5:$C$110=$T$6)*(TDU_Info!$B$5:$B$110&lt;=$B2001),0)</f>
        <v>87</v>
      </c>
      <c r="U2001" s="152">
        <f>100*(INDEX(TDU_Info!$E$5:$E$110,$T2001)/T$11+INDEX(TDU_Info!$F$5:$F$110,$T2001))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MATCH(1,(TDU_Info!$C$5:$C$110=$T$6)*(TDU_Info!$B$5:$B$110&lt;=$B2002),0)</f>
        <v>87</v>
      </c>
      <c r="U2002" s="152">
        <f>100*(INDEX(TDU_Info!$E$5:$E$110,$T2002)/T$11+INDEX(TDU_Info!$F$5:$F$110,$T2002))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MATCH(1,(TDU_Info!$C$5:$C$110=$T$6)*(TDU_Info!$B$5:$B$110&lt;=$B2003),0)</f>
        <v>87</v>
      </c>
      <c r="U2003" s="152">
        <f>100*(INDEX(TDU_Info!$E$5:$E$110,$T2003)/T$11+INDEX(TDU_Info!$F$5:$F$110,$T2003))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MATCH(1,(TDU_Info!$C$5:$C$110=$T$6)*(TDU_Info!$B$5:$B$110&lt;=$B2004),0)</f>
        <v>87</v>
      </c>
      <c r="U2004" s="152">
        <f>100*(INDEX(TDU_Info!$E$5:$E$110,$T2004)/T$11+INDEX(TDU_Info!$F$5:$F$110,$T2004))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MATCH(1,(TDU_Info!$C$5:$C$110=$T$6)*(TDU_Info!$B$5:$B$110&lt;=$B2005),0)</f>
        <v>87</v>
      </c>
      <c r="U2005" s="152">
        <f>100*(INDEX(TDU_Info!$E$5:$E$110,$T2005)/T$11+INDEX(TDU_Info!$F$5:$F$110,$T2005))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MATCH(1,(TDU_Info!$C$5:$C$110=$T$6)*(TDU_Info!$B$5:$B$110&lt;=$B2006),0)</f>
        <v>87</v>
      </c>
      <c r="U2006" s="152">
        <f>100*(INDEX(TDU_Info!$E$5:$E$110,$T2006)/T$11+INDEX(TDU_Info!$F$5:$F$110,$T2006))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MATCH(1,(TDU_Info!$C$5:$C$110=$T$6)*(TDU_Info!$B$5:$B$110&lt;=$B2007),0)</f>
        <v>87</v>
      </c>
      <c r="U2007" s="152">
        <f>100*(INDEX(TDU_Info!$E$5:$E$110,$T2007)/T$11+INDEX(TDU_Info!$F$5:$F$110,$T2007))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MATCH(1,(TDU_Info!$C$5:$C$110=$T$6)*(TDU_Info!$B$5:$B$110&lt;=$B2008),0)</f>
        <v>87</v>
      </c>
      <c r="U2008" s="152">
        <f>100*(INDEX(TDU_Info!$E$5:$E$110,$T2008)/T$11+INDEX(TDU_Info!$F$5:$F$110,$T2008))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MATCH(1,(TDU_Info!$C$5:$C$110=$T$6)*(TDU_Info!$B$5:$B$110&lt;=$B2009),0)</f>
        <v>87</v>
      </c>
      <c r="U2009" s="152">
        <f>100*(INDEX(TDU_Info!$E$5:$E$110,$T2009)/T$11+INDEX(TDU_Info!$F$5:$F$110,$T2009))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MATCH(1,(TDU_Info!$C$5:$C$110=$T$6)*(TDU_Info!$B$5:$B$110&lt;=$B2010),0)</f>
        <v>87</v>
      </c>
      <c r="U2010" s="152">
        <f>100*(INDEX(TDU_Info!$E$5:$E$110,$T2010)/T$11+INDEX(TDU_Info!$F$5:$F$110,$T2010))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MATCH(1,(TDU_Info!$C$5:$C$110=$T$6)*(TDU_Info!$B$5:$B$110&lt;=$B2011),0)</f>
        <v>87</v>
      </c>
      <c r="U2011" s="152">
        <f>100*(INDEX(TDU_Info!$E$5:$E$110,$T2011)/T$11+INDEX(TDU_Info!$F$5:$F$110,$T2011))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MATCH(1,(TDU_Info!$C$5:$C$110=$T$6)*(TDU_Info!$B$5:$B$110&lt;=$B2012),0)</f>
        <v>87</v>
      </c>
      <c r="U2012" s="152">
        <f>100*(INDEX(TDU_Info!$E$5:$E$110,$T2012)/T$11+INDEX(TDU_Info!$F$5:$F$110,$T2012))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MATCH(1,(TDU_Info!$C$5:$C$110=$T$6)*(TDU_Info!$B$5:$B$110&lt;=$B2013),0)</f>
        <v>87</v>
      </c>
      <c r="U2013" s="152">
        <f>100*(INDEX(TDU_Info!$E$5:$E$110,$T2013)/T$11+INDEX(TDU_Info!$F$5:$F$110,$T2013))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MATCH(1,(TDU_Info!$C$5:$C$110=$T$6)*(TDU_Info!$B$5:$B$110&lt;=$B2014),0)</f>
        <v>87</v>
      </c>
      <c r="U2014" s="152">
        <f>100*(INDEX(TDU_Info!$E$5:$E$110,$T2014)/T$11+INDEX(TDU_Info!$F$5:$F$110,$T2014))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MATCH(1,(TDU_Info!$C$5:$C$110=$T$6)*(TDU_Info!$B$5:$B$110&lt;=$B2015),0)</f>
        <v>87</v>
      </c>
      <c r="U2015" s="152">
        <f>100*(INDEX(TDU_Info!$E$5:$E$110,$T2015)/T$11+INDEX(TDU_Info!$F$5:$F$110,$T2015))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MATCH(1,(TDU_Info!$C$5:$C$110=$T$6)*(TDU_Info!$B$5:$B$110&lt;=$B2016),0)</f>
        <v>87</v>
      </c>
      <c r="U2016" s="152">
        <f>100*(INDEX(TDU_Info!$E$5:$E$110,$T2016)/T$11+INDEX(TDU_Info!$F$5:$F$110,$T2016))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MATCH(1,(TDU_Info!$C$5:$C$110=$T$6)*(TDU_Info!$B$5:$B$110&lt;=$B2017),0)</f>
        <v>87</v>
      </c>
      <c r="U2017" s="152">
        <f>100*(INDEX(TDU_Info!$E$5:$E$110,$T2017)/T$11+INDEX(TDU_Info!$F$5:$F$110,$T2017))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MATCH(1,(TDU_Info!$C$5:$C$110=$T$6)*(TDU_Info!$B$5:$B$110&lt;=$B2018),0)</f>
        <v>87</v>
      </c>
      <c r="U2018" s="152">
        <f>100*(INDEX(TDU_Info!$E$5:$E$110,$T2018)/T$11+INDEX(TDU_Info!$F$5:$F$110,$T2018))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MATCH(1,(TDU_Info!$C$5:$C$110=$T$6)*(TDU_Info!$B$5:$B$110&lt;=$B2019),0)</f>
        <v>87</v>
      </c>
      <c r="U2019" s="152">
        <f>100*(INDEX(TDU_Info!$E$5:$E$110,$T2019)/T$11+INDEX(TDU_Info!$F$5:$F$110,$T2019))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MATCH(1,(TDU_Info!$C$5:$C$110=$T$6)*(TDU_Info!$B$5:$B$110&lt;=$B2020),0)</f>
        <v>87</v>
      </c>
      <c r="U2020" s="152">
        <f>100*(INDEX(TDU_Info!$E$5:$E$110,$T2020)/T$11+INDEX(TDU_Info!$F$5:$F$110,$T2020))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MATCH(1,(TDU_Info!$C$5:$C$110=$T$6)*(TDU_Info!$B$5:$B$110&lt;=$B2021),0)</f>
        <v>87</v>
      </c>
      <c r="U2021" s="152">
        <f>100*(INDEX(TDU_Info!$E$5:$E$110,$T2021)/T$11+INDEX(TDU_Info!$F$5:$F$110,$T2021))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MATCH(1,(TDU_Info!$C$5:$C$110=$T$6)*(TDU_Info!$B$5:$B$110&lt;=$B2022),0)</f>
        <v>87</v>
      </c>
      <c r="U2022" s="152">
        <f>100*(INDEX(TDU_Info!$E$5:$E$110,$T2022)/T$11+INDEX(TDU_Info!$F$5:$F$110,$T2022))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MATCH(1,(TDU_Info!$C$5:$C$110=$T$6)*(TDU_Info!$B$5:$B$110&lt;=$B2023),0)</f>
        <v>87</v>
      </c>
      <c r="U2023" s="152">
        <f>100*(INDEX(TDU_Info!$E$5:$E$110,$T2023)/T$11+INDEX(TDU_Info!$F$5:$F$110,$T2023))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MATCH(1,(TDU_Info!$C$5:$C$110=$T$6)*(TDU_Info!$B$5:$B$110&lt;=$B2024),0)</f>
        <v>87</v>
      </c>
      <c r="U2024" s="152">
        <f>100*(INDEX(TDU_Info!$E$5:$E$110,$T2024)/T$11+INDEX(TDU_Info!$F$5:$F$110,$T2024))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MATCH(1,(TDU_Info!$C$5:$C$110=$T$6)*(TDU_Info!$B$5:$B$110&lt;=$B2025),0)</f>
        <v>87</v>
      </c>
      <c r="U2025" s="152">
        <f>100*(INDEX(TDU_Info!$E$5:$E$110,$T2025)/T$11+INDEX(TDU_Info!$F$5:$F$110,$T2025))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MATCH(1,(TDU_Info!$C$5:$C$110=$T$6)*(TDU_Info!$B$5:$B$110&lt;=$B2026),0)</f>
        <v>87</v>
      </c>
      <c r="U2026" s="152">
        <f>100*(INDEX(TDU_Info!$E$5:$E$110,$T2026)/T$11+INDEX(TDU_Info!$F$5:$F$110,$T2026))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MATCH(1,(TDU_Info!$C$5:$C$110=$T$6)*(TDU_Info!$B$5:$B$110&lt;=$B2027),0)</f>
        <v>87</v>
      </c>
      <c r="U2027" s="152">
        <f>100*(INDEX(TDU_Info!$E$5:$E$110,$T2027)/T$11+INDEX(TDU_Info!$F$5:$F$110,$T2027))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MATCH(1,(TDU_Info!$C$5:$C$110=$T$6)*(TDU_Info!$B$5:$B$110&lt;=$B2028),0)</f>
        <v>87</v>
      </c>
      <c r="U2028" s="152">
        <f>100*(INDEX(TDU_Info!$E$5:$E$110,$T2028)/T$11+INDEX(TDU_Info!$F$5:$F$110,$T2028))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MATCH(1,(TDU_Info!$C$5:$C$110=$T$6)*(TDU_Info!$B$5:$B$110&lt;=$B2029),0)</f>
        <v>87</v>
      </c>
      <c r="U2029" s="152">
        <f>100*(INDEX(TDU_Info!$E$5:$E$110,$T2029)/T$11+INDEX(TDU_Info!$F$5:$F$110,$T2029))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MATCH(1,(TDU_Info!$C$5:$C$110=$T$6)*(TDU_Info!$B$5:$B$110&lt;=$B2030),0)</f>
        <v>87</v>
      </c>
      <c r="U2030" s="152">
        <f>100*(INDEX(TDU_Info!$E$5:$E$110,$T2030)/T$11+INDEX(TDU_Info!$F$5:$F$110,$T2030))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MATCH(1,(TDU_Info!$C$5:$C$110=$T$6)*(TDU_Info!$B$5:$B$110&lt;=$B2031),0)</f>
        <v>87</v>
      </c>
      <c r="U2031" s="152">
        <f>100*(INDEX(TDU_Info!$E$5:$E$110,$T2031)/T$11+INDEX(TDU_Info!$F$5:$F$110,$T2031))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MATCH(1,(TDU_Info!$C$5:$C$110=$T$6)*(TDU_Info!$B$5:$B$110&lt;=$B2032),0)</f>
        <v>87</v>
      </c>
      <c r="U2032" s="152">
        <f>100*(INDEX(TDU_Info!$E$5:$E$110,$T2032)/T$11+INDEX(TDU_Info!$F$5:$F$110,$T2032))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MATCH(1,(TDU_Info!$C$5:$C$110=$T$6)*(TDU_Info!$B$5:$B$110&lt;=$B2033),0)</f>
        <v>87</v>
      </c>
      <c r="U2033" s="152">
        <f>100*(INDEX(TDU_Info!$E$5:$E$110,$T2033)/T$11+INDEX(TDU_Info!$F$5:$F$110,$T2033))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MATCH(1,(TDU_Info!$C$5:$C$110=$T$6)*(TDU_Info!$B$5:$B$110&lt;=$B2034),0)</f>
        <v>87</v>
      </c>
      <c r="U2034" s="152">
        <f>100*(INDEX(TDU_Info!$E$5:$E$110,$T2034)/T$11+INDEX(TDU_Info!$F$5:$F$110,$T2034))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MATCH(1,(TDU_Info!$C$5:$C$110=$T$6)*(TDU_Info!$B$5:$B$110&lt;=$B2035),0)</f>
        <v>87</v>
      </c>
      <c r="U2035" s="152">
        <f>100*(INDEX(TDU_Info!$E$5:$E$110,$T2035)/T$11+INDEX(TDU_Info!$F$5:$F$110,$T2035))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MATCH(1,(TDU_Info!$C$5:$C$110=$T$6)*(TDU_Info!$B$5:$B$110&lt;=$B2036),0)</f>
        <v>87</v>
      </c>
      <c r="U2036" s="152">
        <f>100*(INDEX(TDU_Info!$E$5:$E$110,$T2036)/T$11+INDEX(TDU_Info!$F$5:$F$110,$T2036))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MATCH(1,(TDU_Info!$C$5:$C$110=$T$6)*(TDU_Info!$B$5:$B$110&lt;=$B2037),0)</f>
        <v>87</v>
      </c>
      <c r="U2037" s="152">
        <f>100*(INDEX(TDU_Info!$E$5:$E$110,$T2037)/T$11+INDEX(TDU_Info!$F$5:$F$110,$T2037))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MATCH(1,(TDU_Info!$C$5:$C$110=$T$6)*(TDU_Info!$B$5:$B$110&lt;=$B2038),0)</f>
        <v>87</v>
      </c>
      <c r="U2038" s="152">
        <f>100*(INDEX(TDU_Info!$E$5:$E$110,$T2038)/T$11+INDEX(TDU_Info!$F$5:$F$110,$T2038))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MATCH(1,(TDU_Info!$C$5:$C$110=$T$6)*(TDU_Info!$B$5:$B$110&lt;=$B2039),0)</f>
        <v>87</v>
      </c>
      <c r="U2039" s="152">
        <f>100*(INDEX(TDU_Info!$E$5:$E$110,$T2039)/T$11+INDEX(TDU_Info!$F$5:$F$110,$T2039))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MATCH(1,(TDU_Info!$C$5:$C$110=$T$6)*(TDU_Info!$B$5:$B$110&lt;=$B2040),0)</f>
        <v>87</v>
      </c>
      <c r="U2040" s="152">
        <f>100*(INDEX(TDU_Info!$E$5:$E$110,$T2040)/T$11+INDEX(TDU_Info!$F$5:$F$110,$T2040))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MATCH(1,(TDU_Info!$C$5:$C$110=$T$6)*(TDU_Info!$B$5:$B$110&lt;=$B2041),0)</f>
        <v>87</v>
      </c>
      <c r="U2041" s="152">
        <f>100*(INDEX(TDU_Info!$E$5:$E$110,$T2041)/T$11+INDEX(TDU_Info!$F$5:$F$110,$T2041))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MATCH(1,(TDU_Info!$C$5:$C$110=$T$6)*(TDU_Info!$B$5:$B$110&lt;=$B2042),0)</f>
        <v>87</v>
      </c>
      <c r="U2042" s="152">
        <f>100*(INDEX(TDU_Info!$E$5:$E$110,$T2042)/T$11+INDEX(TDU_Info!$F$5:$F$110,$T2042))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MATCH(1,(TDU_Info!$C$5:$C$110=$T$6)*(TDU_Info!$B$5:$B$110&lt;=$B2043),0)</f>
        <v>87</v>
      </c>
      <c r="U2043" s="152">
        <f>100*(INDEX(TDU_Info!$E$5:$E$110,$T2043)/T$11+INDEX(TDU_Info!$F$5:$F$110,$T2043))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MATCH(1,(TDU_Info!$C$5:$C$110=$T$6)*(TDU_Info!$B$5:$B$110&lt;=$B2044),0)</f>
        <v>87</v>
      </c>
      <c r="U2044" s="152">
        <f>100*(INDEX(TDU_Info!$E$5:$E$110,$T2044)/T$11+INDEX(TDU_Info!$F$5:$F$110,$T2044))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MATCH(1,(TDU_Info!$C$5:$C$110=$T$6)*(TDU_Info!$B$5:$B$110&lt;=$B2045),0)</f>
        <v>87</v>
      </c>
      <c r="U2045" s="152">
        <f>100*(INDEX(TDU_Info!$E$5:$E$110,$T2045)/T$11+INDEX(TDU_Info!$F$5:$F$110,$T2045))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MATCH(1,(TDU_Info!$C$5:$C$110=$T$6)*(TDU_Info!$B$5:$B$110&lt;=$B2046),0)</f>
        <v>87</v>
      </c>
      <c r="U2046" s="152">
        <f>100*(INDEX(TDU_Info!$E$5:$E$110,$T2046)/T$11+INDEX(TDU_Info!$F$5:$F$110,$T2046))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MATCH(1,(TDU_Info!$C$5:$C$110=$T$6)*(TDU_Info!$B$5:$B$110&lt;=$B2047),0)</f>
        <v>87</v>
      </c>
      <c r="U2047" s="152">
        <f>100*(INDEX(TDU_Info!$E$5:$E$110,$T2047)/T$11+INDEX(TDU_Info!$F$5:$F$110,$T2047))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MATCH(1,(TDU_Info!$C$5:$C$110=$T$6)*(TDU_Info!$B$5:$B$110&lt;=$B2048),0)</f>
        <v>87</v>
      </c>
      <c r="U2048" s="152">
        <f>100*(INDEX(TDU_Info!$E$5:$E$110,$T2048)/T$11+INDEX(TDU_Info!$F$5:$F$110,$T2048))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MATCH(1,(TDU_Info!$C$5:$C$110=$T$6)*(TDU_Info!$B$5:$B$110&lt;=$B2049),0)</f>
        <v>87</v>
      </c>
      <c r="U2049" s="152">
        <f>100*(INDEX(TDU_Info!$E$5:$E$110,$T2049)/T$11+INDEX(TDU_Info!$F$5:$F$110,$T2049))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MATCH(1,(TDU_Info!$C$5:$C$110=$T$6)*(TDU_Info!$B$5:$B$110&lt;=$B2050),0)</f>
        <v>87</v>
      </c>
      <c r="U2050" s="152">
        <f>100*(INDEX(TDU_Info!$E$5:$E$110,$T2050)/T$11+INDEX(TDU_Info!$F$5:$F$110,$T2050))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MATCH(1,(TDU_Info!$C$5:$C$110=$T$6)*(TDU_Info!$B$5:$B$110&lt;=$B2051),0)</f>
        <v>87</v>
      </c>
      <c r="U2051" s="152">
        <f>100*(INDEX(TDU_Info!$E$5:$E$110,$T2051)/T$11+INDEX(TDU_Info!$F$5:$F$110,$T2051))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MATCH(1,(TDU_Info!$C$5:$C$110=$T$6)*(TDU_Info!$B$5:$B$110&lt;=$B2052),0)</f>
        <v>87</v>
      </c>
      <c r="U2052" s="152">
        <f>100*(INDEX(TDU_Info!$E$5:$E$110,$T2052)/T$11+INDEX(TDU_Info!$F$5:$F$110,$T2052))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MATCH(1,(TDU_Info!$C$5:$C$110=$T$6)*(TDU_Info!$B$5:$B$110&lt;=$B2053),0)</f>
        <v>87</v>
      </c>
      <c r="U2053" s="152">
        <f>100*(INDEX(TDU_Info!$E$5:$E$110,$T2053)/T$11+INDEX(TDU_Info!$F$5:$F$110,$T2053))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MATCH(1,(TDU_Info!$C$5:$C$110=$T$6)*(TDU_Info!$B$5:$B$110&lt;=$B2054),0)</f>
        <v>87</v>
      </c>
      <c r="U2054" s="152">
        <f>100*(INDEX(TDU_Info!$E$5:$E$110,$T2054)/T$11+INDEX(TDU_Info!$F$5:$F$110,$T2054))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MATCH(1,(TDU_Info!$C$5:$C$110=$T$6)*(TDU_Info!$B$5:$B$110&lt;=$B2055),0)</f>
        <v>87</v>
      </c>
      <c r="U2055" s="152">
        <f>100*(INDEX(TDU_Info!$E$5:$E$110,$T2055)/T$11+INDEX(TDU_Info!$F$5:$F$110,$T2055))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MATCH(1,(TDU_Info!$C$5:$C$110=$T$6)*(TDU_Info!$B$5:$B$110&lt;=$B2056),0)</f>
        <v>87</v>
      </c>
      <c r="U2056" s="152">
        <f>100*(INDEX(TDU_Info!$E$5:$E$110,$T2056)/T$11+INDEX(TDU_Info!$F$5:$F$110,$T2056))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MATCH(1,(TDU_Info!$C$5:$C$110=$T$6)*(TDU_Info!$B$5:$B$110&lt;=$B2057),0)</f>
        <v>87</v>
      </c>
      <c r="U2057" s="152">
        <f>100*(INDEX(TDU_Info!$E$5:$E$110,$T2057)/T$11+INDEX(TDU_Info!$F$5:$F$110,$T2057))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MATCH(1,(TDU_Info!$C$5:$C$110=$T$6)*(TDU_Info!$B$5:$B$110&lt;=$B2058),0)</f>
        <v>87</v>
      </c>
      <c r="U2058" s="152">
        <f>100*(INDEX(TDU_Info!$E$5:$E$110,$T2058)/T$11+INDEX(TDU_Info!$F$5:$F$110,$T2058))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MATCH(1,(TDU_Info!$C$5:$C$110=$T$6)*(TDU_Info!$B$5:$B$110&lt;=$B2059),0)</f>
        <v>87</v>
      </c>
      <c r="U2059" s="152">
        <f>100*(INDEX(TDU_Info!$E$5:$E$110,$T2059)/T$11+INDEX(TDU_Info!$F$5:$F$110,$T2059))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MATCH(1,(TDU_Info!$C$5:$C$110=$T$6)*(TDU_Info!$B$5:$B$110&lt;=$B2060),0)</f>
        <v>87</v>
      </c>
      <c r="U2060" s="152">
        <f>100*(INDEX(TDU_Info!$E$5:$E$110,$T2060)/T$11+INDEX(TDU_Info!$F$5:$F$110,$T2060))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MATCH(1,(TDU_Info!$C$5:$C$110=$T$6)*(TDU_Info!$B$5:$B$110&lt;=$B2061),0)</f>
        <v>87</v>
      </c>
      <c r="U2061" s="152">
        <f>100*(INDEX(TDU_Info!$E$5:$E$110,$T2061)/T$11+INDEX(TDU_Info!$F$5:$F$110,$T2061))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MATCH(1,(TDU_Info!$C$5:$C$110=$T$6)*(TDU_Info!$B$5:$B$110&lt;=$B2062),0)</f>
        <v>87</v>
      </c>
      <c r="U2062" s="152">
        <f>100*(INDEX(TDU_Info!$E$5:$E$110,$T2062)/T$11+INDEX(TDU_Info!$F$5:$F$110,$T2062))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MATCH(1,(TDU_Info!$C$5:$C$110=$T$6)*(TDU_Info!$B$5:$B$110&lt;=$B2063),0)</f>
        <v>87</v>
      </c>
      <c r="U2063" s="152">
        <f>100*(INDEX(TDU_Info!$E$5:$E$110,$T2063)/T$11+INDEX(TDU_Info!$F$5:$F$110,$T2063))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MATCH(1,(TDU_Info!$C$5:$C$110=$T$6)*(TDU_Info!$B$5:$B$110&lt;=$B2064),0)</f>
        <v>87</v>
      </c>
      <c r="U2064" s="152">
        <f>100*(INDEX(TDU_Info!$E$5:$E$110,$T2064)/T$11+INDEX(TDU_Info!$F$5:$F$110,$T2064))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MATCH(1,(TDU_Info!$C$5:$C$110=$T$6)*(TDU_Info!$B$5:$B$110&lt;=$B2065),0)</f>
        <v>87</v>
      </c>
      <c r="U2065" s="152">
        <f>100*(INDEX(TDU_Info!$E$5:$E$110,$T2065)/T$11+INDEX(TDU_Info!$F$5:$F$110,$T2065))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MATCH(1,(TDU_Info!$C$5:$C$110=$T$6)*(TDU_Info!$B$5:$B$110&lt;=$B2066),0)</f>
        <v>87</v>
      </c>
      <c r="U2066" s="152">
        <f>100*(INDEX(TDU_Info!$E$5:$E$110,$T2066)/T$11+INDEX(TDU_Info!$F$5:$F$110,$T2066))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MATCH(1,(TDU_Info!$C$5:$C$110=$T$6)*(TDU_Info!$B$5:$B$110&lt;=$B2067),0)</f>
        <v>87</v>
      </c>
      <c r="U2067" s="152">
        <f>100*(INDEX(TDU_Info!$E$5:$E$110,$T2067)/T$11+INDEX(TDU_Info!$F$5:$F$110,$T2067))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MATCH(1,(TDU_Info!$C$5:$C$110=$T$6)*(TDU_Info!$B$5:$B$110&lt;=$B2068),0)</f>
        <v>87</v>
      </c>
      <c r="U2068" s="152">
        <f>100*(INDEX(TDU_Info!$E$5:$E$110,$T2068)/T$11+INDEX(TDU_Info!$F$5:$F$110,$T2068))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MATCH(1,(TDU_Info!$C$5:$C$110=$T$6)*(TDU_Info!$B$5:$B$110&lt;=$B2069),0)</f>
        <v>87</v>
      </c>
      <c r="U2069" s="152">
        <f>100*(INDEX(TDU_Info!$E$5:$E$110,$T2069)/T$11+INDEX(TDU_Info!$F$5:$F$110,$T2069))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MATCH(1,(TDU_Info!$C$5:$C$110=$T$6)*(TDU_Info!$B$5:$B$110&lt;=$B2070),0)</f>
        <v>87</v>
      </c>
      <c r="U2070" s="152">
        <f>100*(INDEX(TDU_Info!$E$5:$E$110,$T2070)/T$11+INDEX(TDU_Info!$F$5:$F$110,$T2070))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MATCH(1,(TDU_Info!$C$5:$C$110=$T$6)*(TDU_Info!$B$5:$B$110&lt;=$B2071),0)</f>
        <v>87</v>
      </c>
      <c r="U2071" s="152">
        <f>100*(INDEX(TDU_Info!$E$5:$E$110,$T2071)/T$11+INDEX(TDU_Info!$F$5:$F$110,$T2071))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MATCH(1,(TDU_Info!$C$5:$C$110=$T$6)*(TDU_Info!$B$5:$B$110&lt;=$B2072),0)</f>
        <v>87</v>
      </c>
      <c r="U2072" s="152">
        <f>100*(INDEX(TDU_Info!$E$5:$E$110,$T2072)/T$11+INDEX(TDU_Info!$F$5:$F$110,$T2072))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MATCH(1,(TDU_Info!$C$5:$C$110=$T$6)*(TDU_Info!$B$5:$B$110&lt;=$B2073),0)</f>
        <v>87</v>
      </c>
      <c r="U2073" s="152">
        <f>100*(INDEX(TDU_Info!$E$5:$E$110,$T2073)/T$11+INDEX(TDU_Info!$F$5:$F$110,$T2073))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MATCH(1,(TDU_Info!$C$5:$C$110=$T$6)*(TDU_Info!$B$5:$B$110&lt;=$B2074),0)</f>
        <v>87</v>
      </c>
      <c r="U2074" s="152">
        <f>100*(INDEX(TDU_Info!$E$5:$E$110,$T2074)/T$11+INDEX(TDU_Info!$F$5:$F$110,$T2074))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MATCH(1,(TDU_Info!$C$5:$C$110=$T$6)*(TDU_Info!$B$5:$B$110&lt;=$B2075),0)</f>
        <v>87</v>
      </c>
      <c r="U2075" s="152">
        <f>100*(INDEX(TDU_Info!$E$5:$E$110,$T2075)/T$11+INDEX(TDU_Info!$F$5:$F$110,$T2075))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MATCH(1,(TDU_Info!$C$5:$C$110=$T$6)*(TDU_Info!$B$5:$B$110&lt;=$B2076),0)</f>
        <v>87</v>
      </c>
      <c r="U2076" s="152">
        <f>100*(INDEX(TDU_Info!$E$5:$E$110,$T2076)/T$11+INDEX(TDU_Info!$F$5:$F$110,$T2076))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MATCH(1,(TDU_Info!$C$5:$C$110=$T$6)*(TDU_Info!$B$5:$B$110&lt;=$B2077),0)</f>
        <v>87</v>
      </c>
      <c r="U2077" s="152">
        <f>100*(INDEX(TDU_Info!$E$5:$E$110,$T2077)/T$11+INDEX(TDU_Info!$F$5:$F$110,$T2077))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MATCH(1,(TDU_Info!$C$5:$C$110=$T$6)*(TDU_Info!$B$5:$B$110&lt;=$B2078),0)</f>
        <v>87</v>
      </c>
      <c r="U2078" s="152">
        <f>100*(INDEX(TDU_Info!$E$5:$E$110,$T2078)/T$11+INDEX(TDU_Info!$F$5:$F$110,$T2078))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MATCH(1,(TDU_Info!$C$5:$C$110=$T$6)*(TDU_Info!$B$5:$B$110&lt;=$B2079),0)</f>
        <v>87</v>
      </c>
      <c r="U2079" s="152">
        <f>100*(INDEX(TDU_Info!$E$5:$E$110,$T2079)/T$11+INDEX(TDU_Info!$F$5:$F$110,$T2079))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MATCH(1,(TDU_Info!$C$5:$C$110=$T$6)*(TDU_Info!$B$5:$B$110&lt;=$B2080),0)</f>
        <v>87</v>
      </c>
      <c r="U2080" s="152">
        <f>100*(INDEX(TDU_Info!$E$5:$E$110,$T2080)/T$11+INDEX(TDU_Info!$F$5:$F$110,$T2080))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MATCH(1,(TDU_Info!$C$5:$C$110=$T$6)*(TDU_Info!$B$5:$B$110&lt;=$B2081),0)</f>
        <v>87</v>
      </c>
      <c r="U2081" s="152">
        <f>100*(INDEX(TDU_Info!$E$5:$E$110,$T2081)/T$11+INDEX(TDU_Info!$F$5:$F$110,$T2081))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MATCH(1,(TDU_Info!$C$5:$C$110=$T$6)*(TDU_Info!$B$5:$B$110&lt;=$B2082),0)</f>
        <v>87</v>
      </c>
      <c r="U2082" s="152">
        <f>100*(INDEX(TDU_Info!$E$5:$E$110,$T2082)/T$11+INDEX(TDU_Info!$F$5:$F$110,$T2082))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MATCH(1,(TDU_Info!$C$5:$C$110=$T$6)*(TDU_Info!$B$5:$B$110&lt;=$B2083),0)</f>
        <v>87</v>
      </c>
      <c r="U2083" s="152">
        <f>100*(INDEX(TDU_Info!$E$5:$E$110,$T2083)/T$11+INDEX(TDU_Info!$F$5:$F$110,$T2083))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MATCH(1,(TDU_Info!$C$5:$C$110=$T$6)*(TDU_Info!$B$5:$B$110&lt;=$B2084),0)</f>
        <v>87</v>
      </c>
      <c r="U2084" s="152">
        <f>100*(INDEX(TDU_Info!$E$5:$E$110,$T2084)/T$11+INDEX(TDU_Info!$F$5:$F$110,$T2084))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MATCH(1,(TDU_Info!$C$5:$C$110=$T$6)*(TDU_Info!$B$5:$B$110&lt;=$B2085),0)</f>
        <v>87</v>
      </c>
      <c r="U2085" s="152">
        <f>100*(INDEX(TDU_Info!$E$5:$E$110,$T2085)/T$11+INDEX(TDU_Info!$F$5:$F$110,$T2085))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MATCH(1,(TDU_Info!$C$5:$C$110=$T$6)*(TDU_Info!$B$5:$B$110&lt;=$B2086),0)</f>
        <v>86</v>
      </c>
      <c r="U2086" s="152">
        <f>100*(INDEX(TDU_Info!$E$5:$E$110,$T2086)/T$11+INDEX(TDU_Info!$F$5:$F$110,$T2086))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MATCH(1,(TDU_Info!$C$5:$C$110=$T$6)*(TDU_Info!$B$5:$B$110&lt;=$B2087),0)</f>
        <v>86</v>
      </c>
      <c r="U2087" s="152">
        <f>100*(INDEX(TDU_Info!$E$5:$E$110,$T2087)/T$11+INDEX(TDU_Info!$F$5:$F$110,$T2087))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MATCH(1,(TDU_Info!$C$5:$C$110=$T$6)*(TDU_Info!$B$5:$B$110&lt;=$B2088),0)</f>
        <v>86</v>
      </c>
      <c r="U2088" s="152">
        <f>100*(INDEX(TDU_Info!$E$5:$E$110,$T2088)/T$11+INDEX(TDU_Info!$F$5:$F$110,$T2088))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MATCH(1,(TDU_Info!$C$5:$C$110=$T$6)*(TDU_Info!$B$5:$B$110&lt;=$B2089),0)</f>
        <v>86</v>
      </c>
      <c r="U2089" s="152">
        <f>100*(INDEX(TDU_Info!$E$5:$E$110,$T2089)/T$11+INDEX(TDU_Info!$F$5:$F$110,$T2089))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MATCH(1,(TDU_Info!$C$5:$C$110=$T$6)*(TDU_Info!$B$5:$B$110&lt;=$B2090),0)</f>
        <v>86</v>
      </c>
      <c r="U2090" s="152">
        <f>100*(INDEX(TDU_Info!$E$5:$E$110,$T2090)/T$11+INDEX(TDU_Info!$F$5:$F$110,$T2090))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MATCH(1,(TDU_Info!$C$5:$C$110=$T$6)*(TDU_Info!$B$5:$B$110&lt;=$B2091),0)</f>
        <v>86</v>
      </c>
      <c r="U2091" s="152">
        <f>100*(INDEX(TDU_Info!$E$5:$E$110,$T2091)/T$11+INDEX(TDU_Info!$F$5:$F$110,$T2091))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MATCH(1,(TDU_Info!$C$5:$C$110=$T$6)*(TDU_Info!$B$5:$B$110&lt;=$B2092),0)</f>
        <v>86</v>
      </c>
      <c r="U2092" s="152">
        <f>100*(INDEX(TDU_Info!$E$5:$E$110,$T2092)/T$11+INDEX(TDU_Info!$F$5:$F$110,$T2092))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MATCH(1,(TDU_Info!$C$5:$C$110=$T$6)*(TDU_Info!$B$5:$B$110&lt;=$B2093),0)</f>
        <v>86</v>
      </c>
      <c r="U2093" s="152">
        <f>100*(INDEX(TDU_Info!$E$5:$E$110,$T2093)/T$11+INDEX(TDU_Info!$F$5:$F$110,$T2093))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MATCH(1,(TDU_Info!$C$5:$C$110=$T$6)*(TDU_Info!$B$5:$B$110&lt;=$B2094),0)</f>
        <v>86</v>
      </c>
      <c r="U2094" s="152">
        <f>100*(INDEX(TDU_Info!$E$5:$E$110,$T2094)/T$11+INDEX(TDU_Info!$F$5:$F$110,$T2094))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MATCH(1,(TDU_Info!$C$5:$C$110=$T$6)*(TDU_Info!$B$5:$B$110&lt;=$B2095),0)</f>
        <v>86</v>
      </c>
      <c r="U2095" s="152">
        <f>100*(INDEX(TDU_Info!$E$5:$E$110,$T2095)/T$11+INDEX(TDU_Info!$F$5:$F$110,$T2095))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MATCH(1,(TDU_Info!$C$5:$C$110=$T$6)*(TDU_Info!$B$5:$B$110&lt;=$B2096),0)</f>
        <v>86</v>
      </c>
      <c r="U2096" s="152">
        <f>100*(INDEX(TDU_Info!$E$5:$E$110,$T2096)/T$11+INDEX(TDU_Info!$F$5:$F$110,$T2096))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MATCH(1,(TDU_Info!$C$5:$C$110=$T$6)*(TDU_Info!$B$5:$B$110&lt;=$B2097),0)</f>
        <v>86</v>
      </c>
      <c r="U2097" s="152">
        <f>100*(INDEX(TDU_Info!$E$5:$E$110,$T2097)/T$11+INDEX(TDU_Info!$F$5:$F$110,$T2097))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MATCH(1,(TDU_Info!$C$5:$C$110=$T$6)*(TDU_Info!$B$5:$B$110&lt;=$B2098),0)</f>
        <v>86</v>
      </c>
      <c r="U2098" s="152">
        <f>100*(INDEX(TDU_Info!$E$5:$E$110,$T2098)/T$11+INDEX(TDU_Info!$F$5:$F$110,$T2098))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MATCH(1,(TDU_Info!$C$5:$C$110=$T$6)*(TDU_Info!$B$5:$B$110&lt;=$B2099),0)</f>
        <v>86</v>
      </c>
      <c r="U2099" s="152">
        <f>100*(INDEX(TDU_Info!$E$5:$E$110,$T2099)/T$11+INDEX(TDU_Info!$F$5:$F$110,$T2099))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MATCH(1,(TDU_Info!$C$5:$C$110=$T$6)*(TDU_Info!$B$5:$B$110&lt;=$B2100),0)</f>
        <v>86</v>
      </c>
      <c r="U2100" s="152">
        <f>100*(INDEX(TDU_Info!$E$5:$E$110,$T2100)/T$11+INDEX(TDU_Info!$F$5:$F$110,$T2100))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MATCH(1,(TDU_Info!$C$5:$C$110=$T$6)*(TDU_Info!$B$5:$B$110&lt;=$B2101),0)</f>
        <v>86</v>
      </c>
      <c r="U2101" s="152">
        <f>100*(INDEX(TDU_Info!$E$5:$E$110,$T2101)/T$11+INDEX(TDU_Info!$F$5:$F$110,$T2101))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MATCH(1,(TDU_Info!$C$5:$C$110=$T$6)*(TDU_Info!$B$5:$B$110&lt;=$B2102),0)</f>
        <v>86</v>
      </c>
      <c r="U2102" s="152">
        <f>100*(INDEX(TDU_Info!$E$5:$E$110,$T2102)/T$11+INDEX(TDU_Info!$F$5:$F$110,$T2102))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MATCH(1,(TDU_Info!$C$5:$C$110=$T$6)*(TDU_Info!$B$5:$B$110&lt;=$B2103),0)</f>
        <v>86</v>
      </c>
      <c r="U2103" s="152">
        <f>100*(INDEX(TDU_Info!$E$5:$E$110,$T2103)/T$11+INDEX(TDU_Info!$F$5:$F$110,$T2103))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MATCH(1,(TDU_Info!$C$5:$C$110=$T$6)*(TDU_Info!$B$5:$B$110&lt;=$B2104),0)</f>
        <v>86</v>
      </c>
      <c r="U2104" s="152">
        <f>100*(INDEX(TDU_Info!$E$5:$E$110,$T2104)/T$11+INDEX(TDU_Info!$F$5:$F$110,$T2104))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MATCH(1,(TDU_Info!$C$5:$C$110=$T$6)*(TDU_Info!$B$5:$B$110&lt;=$B2105),0)</f>
        <v>86</v>
      </c>
      <c r="U2105" s="152">
        <f>100*(INDEX(TDU_Info!$E$5:$E$110,$T2105)/T$11+INDEX(TDU_Info!$F$5:$F$110,$T2105))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MATCH(1,(TDU_Info!$C$5:$C$110=$T$6)*(TDU_Info!$B$5:$B$110&lt;=$B2106),0)</f>
        <v>86</v>
      </c>
      <c r="U2106" s="152">
        <f>100*(INDEX(TDU_Info!$E$5:$E$110,$T2106)/T$11+INDEX(TDU_Info!$F$5:$F$110,$T2106))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MATCH(1,(TDU_Info!$C$5:$C$110=$T$6)*(TDU_Info!$B$5:$B$110&lt;=$B2107),0)</f>
        <v>86</v>
      </c>
      <c r="U2107" s="152">
        <f>100*(INDEX(TDU_Info!$E$5:$E$110,$T2107)/T$11+INDEX(TDU_Info!$F$5:$F$110,$T2107))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MATCH(1,(TDU_Info!$C$5:$C$110=$T$6)*(TDU_Info!$B$5:$B$110&lt;=$B2108),0)</f>
        <v>86</v>
      </c>
      <c r="U2108" s="152">
        <f>100*(INDEX(TDU_Info!$E$5:$E$110,$T2108)/T$11+INDEX(TDU_Info!$F$5:$F$110,$T2108))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MATCH(1,(TDU_Info!$C$5:$C$110=$T$6)*(TDU_Info!$B$5:$B$110&lt;=$B2109),0)</f>
        <v>86</v>
      </c>
      <c r="U2109" s="152">
        <f>100*(INDEX(TDU_Info!$E$5:$E$110,$T2109)/T$11+INDEX(TDU_Info!$F$5:$F$110,$T2109))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MATCH(1,(TDU_Info!$C$5:$C$110=$T$6)*(TDU_Info!$B$5:$B$110&lt;=$B2110),0)</f>
        <v>86</v>
      </c>
      <c r="U2110" s="152">
        <f>100*(INDEX(TDU_Info!$E$5:$E$110,$T2110)/T$11+INDEX(TDU_Info!$F$5:$F$110,$T2110))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MATCH(1,(TDU_Info!$C$5:$C$110=$T$6)*(TDU_Info!$B$5:$B$110&lt;=$B2111),0)</f>
        <v>86</v>
      </c>
      <c r="U2111" s="152">
        <f>100*(INDEX(TDU_Info!$E$5:$E$110,$T2111)/T$11+INDEX(TDU_Info!$F$5:$F$110,$T2111))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MATCH(1,(TDU_Info!$C$5:$C$110=$T$6)*(TDU_Info!$B$5:$B$110&lt;=$B2112),0)</f>
        <v>86</v>
      </c>
      <c r="U2112" s="152">
        <f>100*(INDEX(TDU_Info!$E$5:$E$110,$T2112)/T$11+INDEX(TDU_Info!$F$5:$F$110,$T2112))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MATCH(1,(TDU_Info!$C$5:$C$110=$T$6)*(TDU_Info!$B$5:$B$110&lt;=$B2113),0)</f>
        <v>86</v>
      </c>
      <c r="U2113" s="152">
        <f>100*(INDEX(TDU_Info!$E$5:$E$110,$T2113)/T$11+INDEX(TDU_Info!$F$5:$F$110,$T2113))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MATCH(1,(TDU_Info!$C$5:$C$110=$T$6)*(TDU_Info!$B$5:$B$110&lt;=$B2114),0)</f>
        <v>86</v>
      </c>
      <c r="U2114" s="152">
        <f>100*(INDEX(TDU_Info!$E$5:$E$110,$T2114)/T$11+INDEX(TDU_Info!$F$5:$F$110,$T2114))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MATCH(1,(TDU_Info!$C$5:$C$110=$T$6)*(TDU_Info!$B$5:$B$110&lt;=$B2115),0)</f>
        <v>86</v>
      </c>
      <c r="U2115" s="152">
        <f>100*(INDEX(TDU_Info!$E$5:$E$110,$T2115)/T$11+INDEX(TDU_Info!$F$5:$F$110,$T2115))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MATCH(1,(TDU_Info!$C$5:$C$110=$T$6)*(TDU_Info!$B$5:$B$110&lt;=$B2116),0)</f>
        <v>86</v>
      </c>
      <c r="U2116" s="152">
        <f>100*(INDEX(TDU_Info!$E$5:$E$110,$T2116)/T$11+INDEX(TDU_Info!$F$5:$F$110,$T2116))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MATCH(1,(TDU_Info!$C$5:$C$110=$T$6)*(TDU_Info!$B$5:$B$110&lt;=$B2117),0)</f>
        <v>86</v>
      </c>
      <c r="U2117" s="152">
        <f>100*(INDEX(TDU_Info!$E$5:$E$110,$T2117)/T$11+INDEX(TDU_Info!$F$5:$F$110,$T2117))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MATCH(1,(TDU_Info!$C$5:$C$110=$T$6)*(TDU_Info!$B$5:$B$110&lt;=$B2118),0)</f>
        <v>86</v>
      </c>
      <c r="U2118" s="152">
        <f>100*(INDEX(TDU_Info!$E$5:$E$110,$T2118)/T$11+INDEX(TDU_Info!$F$5:$F$110,$T2118))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MATCH(1,(TDU_Info!$C$5:$C$110=$T$6)*(TDU_Info!$B$5:$B$110&lt;=$B2119),0)</f>
        <v>86</v>
      </c>
      <c r="U2119" s="152">
        <f>100*(INDEX(TDU_Info!$E$5:$E$110,$T2119)/T$11+INDEX(TDU_Info!$F$5:$F$110,$T2119))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MATCH(1,(TDU_Info!$C$5:$C$110=$T$6)*(TDU_Info!$B$5:$B$110&lt;=$B2120),0)</f>
        <v>86</v>
      </c>
      <c r="U2120" s="152">
        <f>100*(INDEX(TDU_Info!$E$5:$E$110,$T2120)/T$11+INDEX(TDU_Info!$F$5:$F$110,$T2120))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MATCH(1,(TDU_Info!$C$5:$C$110=$T$6)*(TDU_Info!$B$5:$B$110&lt;=$B2121),0)</f>
        <v>86</v>
      </c>
      <c r="U2121" s="152">
        <f>100*(INDEX(TDU_Info!$E$5:$E$110,$T2121)/T$11+INDEX(TDU_Info!$F$5:$F$110,$T2121))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MATCH(1,(TDU_Info!$C$5:$C$110=$T$6)*(TDU_Info!$B$5:$B$110&lt;=$B2122),0)</f>
        <v>86</v>
      </c>
      <c r="U2122" s="152">
        <f>100*(INDEX(TDU_Info!$E$5:$E$110,$T2122)/T$11+INDEX(TDU_Info!$F$5:$F$110,$T2122))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MATCH(1,(TDU_Info!$C$5:$C$110=$T$6)*(TDU_Info!$B$5:$B$110&lt;=$B2123),0)</f>
        <v>86</v>
      </c>
      <c r="U2123" s="152">
        <f>100*(INDEX(TDU_Info!$E$5:$E$110,$T2123)/T$11+INDEX(TDU_Info!$F$5:$F$110,$T2123))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MATCH(1,(TDU_Info!$C$5:$C$110=$T$6)*(TDU_Info!$B$5:$B$110&lt;=$B2124),0)</f>
        <v>86</v>
      </c>
      <c r="U2124" s="152">
        <f>100*(INDEX(TDU_Info!$E$5:$E$110,$T2124)/T$11+INDEX(TDU_Info!$F$5:$F$110,$T2124))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MATCH(1,(TDU_Info!$C$5:$C$110=$T$6)*(TDU_Info!$B$5:$B$110&lt;=$B2125),0)</f>
        <v>86</v>
      </c>
      <c r="U2125" s="152">
        <f>100*(INDEX(TDU_Info!$E$5:$E$110,$T2125)/T$11+INDEX(TDU_Info!$F$5:$F$110,$T2125))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MATCH(1,(TDU_Info!$C$5:$C$110=$T$6)*(TDU_Info!$B$5:$B$110&lt;=$B2126),0)</f>
        <v>86</v>
      </c>
      <c r="U2126" s="152">
        <f>100*(INDEX(TDU_Info!$E$5:$E$110,$T2126)/T$11+INDEX(TDU_Info!$F$5:$F$110,$T2126))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MATCH(1,(TDU_Info!$C$5:$C$110=$T$6)*(TDU_Info!$B$5:$B$110&lt;=$B2127),0)</f>
        <v>86</v>
      </c>
      <c r="U2127" s="152">
        <f>100*(INDEX(TDU_Info!$E$5:$E$110,$T2127)/T$11+INDEX(TDU_Info!$F$5:$F$110,$T2127))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MATCH(1,(TDU_Info!$C$5:$C$110=$T$6)*(TDU_Info!$B$5:$B$110&lt;=$B2128),0)</f>
        <v>86</v>
      </c>
      <c r="U2128" s="152">
        <f>100*(INDEX(TDU_Info!$E$5:$E$110,$T2128)/T$11+INDEX(TDU_Info!$F$5:$F$110,$T2128))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MATCH(1,(TDU_Info!$C$5:$C$110=$T$6)*(TDU_Info!$B$5:$B$110&lt;=$B2129),0)</f>
        <v>86</v>
      </c>
      <c r="U2129" s="152">
        <f>100*(INDEX(TDU_Info!$E$5:$E$110,$T2129)/T$11+INDEX(TDU_Info!$F$5:$F$110,$T2129))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MATCH(1,(TDU_Info!$C$5:$C$110=$T$6)*(TDU_Info!$B$5:$B$110&lt;=$B2130),0)</f>
        <v>86</v>
      </c>
      <c r="U2130" s="152">
        <f>100*(INDEX(TDU_Info!$E$5:$E$110,$T2130)/T$11+INDEX(TDU_Info!$F$5:$F$110,$T2130))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MATCH(1,(TDU_Info!$C$5:$C$110=$T$6)*(TDU_Info!$B$5:$B$110&lt;=$B2131),0)</f>
        <v>86</v>
      </c>
      <c r="U2131" s="152">
        <f>100*(INDEX(TDU_Info!$E$5:$E$110,$T2131)/T$11+INDEX(TDU_Info!$F$5:$F$110,$T2131))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MATCH(1,(TDU_Info!$C$5:$C$110=$T$6)*(TDU_Info!$B$5:$B$110&lt;=$B2132),0)</f>
        <v>86</v>
      </c>
      <c r="U2132" s="152">
        <f>100*(INDEX(TDU_Info!$E$5:$E$110,$T2132)/T$11+INDEX(TDU_Info!$F$5:$F$110,$T2132))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MATCH(1,(TDU_Info!$C$5:$C$110=$T$6)*(TDU_Info!$B$5:$B$110&lt;=$B2133),0)</f>
        <v>86</v>
      </c>
      <c r="U2133" s="152">
        <f>100*(INDEX(TDU_Info!$E$5:$E$110,$T2133)/T$11+INDEX(TDU_Info!$F$5:$F$110,$T2133))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MATCH(1,(TDU_Info!$C$5:$C$110=$T$6)*(TDU_Info!$B$5:$B$110&lt;=$B2134),0)</f>
        <v>86</v>
      </c>
      <c r="U2134" s="152">
        <f>100*(INDEX(TDU_Info!$E$5:$E$110,$T2134)/T$11+INDEX(TDU_Info!$F$5:$F$110,$T2134))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MATCH(1,(TDU_Info!$C$5:$C$110=$T$6)*(TDU_Info!$B$5:$B$110&lt;=$B2135),0)</f>
        <v>86</v>
      </c>
      <c r="U2135" s="152">
        <f>100*(INDEX(TDU_Info!$E$5:$E$110,$T2135)/T$11+INDEX(TDU_Info!$F$5:$F$110,$T2135))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MATCH(1,(TDU_Info!$C$5:$C$110=$T$6)*(TDU_Info!$B$5:$B$110&lt;=$B2136),0)</f>
        <v>86</v>
      </c>
      <c r="U2136" s="152">
        <f>100*(INDEX(TDU_Info!$E$5:$E$110,$T2136)/T$11+INDEX(TDU_Info!$F$5:$F$110,$T2136))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MATCH(1,(TDU_Info!$C$5:$C$110=$T$6)*(TDU_Info!$B$5:$B$110&lt;=$B2137),0)</f>
        <v>86</v>
      </c>
      <c r="U2137" s="152">
        <f>100*(INDEX(TDU_Info!$E$5:$E$110,$T2137)/T$11+INDEX(TDU_Info!$F$5:$F$110,$T2137))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MATCH(1,(TDU_Info!$C$5:$C$110=$T$6)*(TDU_Info!$B$5:$B$110&lt;=$B2138),0)</f>
        <v>86</v>
      </c>
      <c r="U2138" s="152">
        <f>100*(INDEX(TDU_Info!$E$5:$E$110,$T2138)/T$11+INDEX(TDU_Info!$F$5:$F$110,$T2138))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MATCH(1,(TDU_Info!$C$5:$C$110=$T$6)*(TDU_Info!$B$5:$B$110&lt;=$B2139),0)</f>
        <v>86</v>
      </c>
      <c r="U2139" s="152">
        <f>100*(INDEX(TDU_Info!$E$5:$E$110,$T2139)/T$11+INDEX(TDU_Info!$F$5:$F$110,$T2139))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MATCH(1,(TDU_Info!$C$5:$C$110=$T$6)*(TDU_Info!$B$5:$B$110&lt;=$B2140),0)</f>
        <v>86</v>
      </c>
      <c r="U2140" s="152">
        <f>100*(INDEX(TDU_Info!$E$5:$E$110,$T2140)/T$11+INDEX(TDU_Info!$F$5:$F$110,$T2140))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MATCH(1,(TDU_Info!$C$5:$C$110=$T$6)*(TDU_Info!$B$5:$B$110&lt;=$B2141),0)</f>
        <v>86</v>
      </c>
      <c r="U2141" s="152">
        <f>100*(INDEX(TDU_Info!$E$5:$E$110,$T2141)/T$11+INDEX(TDU_Info!$F$5:$F$110,$T2141))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MATCH(1,(TDU_Info!$C$5:$C$110=$T$6)*(TDU_Info!$B$5:$B$110&lt;=$B2142),0)</f>
        <v>86</v>
      </c>
      <c r="U2142" s="152">
        <f>100*(INDEX(TDU_Info!$E$5:$E$110,$T2142)/T$11+INDEX(TDU_Info!$F$5:$F$110,$T2142))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MATCH(1,(TDU_Info!$C$5:$C$110=$T$6)*(TDU_Info!$B$5:$B$110&lt;=$B2143),0)</f>
        <v>86</v>
      </c>
      <c r="U2143" s="152">
        <f>100*(INDEX(TDU_Info!$E$5:$E$110,$T2143)/T$11+INDEX(TDU_Info!$F$5:$F$110,$T2143))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MATCH(1,(TDU_Info!$C$5:$C$110=$T$6)*(TDU_Info!$B$5:$B$110&lt;=$B2144),0)</f>
        <v>86</v>
      </c>
      <c r="U2144" s="152">
        <f>100*(INDEX(TDU_Info!$E$5:$E$110,$T2144)/T$11+INDEX(TDU_Info!$F$5:$F$110,$T2144))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MATCH(1,(TDU_Info!$C$5:$C$110=$T$6)*(TDU_Info!$B$5:$B$110&lt;=$B2145),0)</f>
        <v>86</v>
      </c>
      <c r="U2145" s="152">
        <f>100*(INDEX(TDU_Info!$E$5:$E$110,$T2145)/T$11+INDEX(TDU_Info!$F$5:$F$110,$T2145))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MATCH(1,(TDU_Info!$C$5:$C$110=$T$6)*(TDU_Info!$B$5:$B$110&lt;=$B2146),0)</f>
        <v>86</v>
      </c>
      <c r="U2146" s="152">
        <f>100*(INDEX(TDU_Info!$E$5:$E$110,$T2146)/T$11+INDEX(TDU_Info!$F$5:$F$110,$T2146))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MATCH(1,(TDU_Info!$C$5:$C$110=$T$6)*(TDU_Info!$B$5:$B$110&lt;=$B2147),0)</f>
        <v>86</v>
      </c>
      <c r="U2147" s="152">
        <f>100*(INDEX(TDU_Info!$E$5:$E$110,$T2147)/T$11+INDEX(TDU_Info!$F$5:$F$110,$T2147))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MATCH(1,(TDU_Info!$C$5:$C$110=$T$6)*(TDU_Info!$B$5:$B$110&lt;=$B2148),0)</f>
        <v>86</v>
      </c>
      <c r="U2148" s="152">
        <f>100*(INDEX(TDU_Info!$E$5:$E$110,$T2148)/T$11+INDEX(TDU_Info!$F$5:$F$110,$T2148))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MATCH(1,(TDU_Info!$C$5:$C$110=$T$6)*(TDU_Info!$B$5:$B$110&lt;=$B2149),0)</f>
        <v>86</v>
      </c>
      <c r="U2149" s="152">
        <f>100*(INDEX(TDU_Info!$E$5:$E$110,$T2149)/T$11+INDEX(TDU_Info!$F$5:$F$110,$T2149))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MATCH(1,(TDU_Info!$C$5:$C$110=$T$6)*(TDU_Info!$B$5:$B$110&lt;=$B2150),0)</f>
        <v>86</v>
      </c>
      <c r="U2150" s="152">
        <f>100*(INDEX(TDU_Info!$E$5:$E$110,$T2150)/T$11+INDEX(TDU_Info!$F$5:$F$110,$T2150))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MATCH(1,(TDU_Info!$C$5:$C$110=$T$6)*(TDU_Info!$B$5:$B$110&lt;=$B2151),0)</f>
        <v>86</v>
      </c>
      <c r="U2151" s="152">
        <f>100*(INDEX(TDU_Info!$E$5:$E$110,$T2151)/T$11+INDEX(TDU_Info!$F$5:$F$110,$T2151))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MATCH(1,(TDU_Info!$C$5:$C$110=$T$6)*(TDU_Info!$B$5:$B$110&lt;=$B2152),0)</f>
        <v>86</v>
      </c>
      <c r="U2152" s="152">
        <f>100*(INDEX(TDU_Info!$E$5:$E$110,$T2152)/T$11+INDEX(TDU_Info!$F$5:$F$110,$T2152))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MATCH(1,(TDU_Info!$C$5:$C$110=$T$6)*(TDU_Info!$B$5:$B$110&lt;=$B2153),0)</f>
        <v>86</v>
      </c>
      <c r="U2153" s="152">
        <f>100*(INDEX(TDU_Info!$E$5:$E$110,$T2153)/T$11+INDEX(TDU_Info!$F$5:$F$110,$T2153))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MATCH(1,(TDU_Info!$C$5:$C$110=$T$6)*(TDU_Info!$B$5:$B$110&lt;=$B2154),0)</f>
        <v>86</v>
      </c>
      <c r="U2154" s="152">
        <f>100*(INDEX(TDU_Info!$E$5:$E$110,$T2154)/T$11+INDEX(TDU_Info!$F$5:$F$110,$T2154))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MATCH(1,(TDU_Info!$C$5:$C$110=$T$6)*(TDU_Info!$B$5:$B$110&lt;=$B2155),0)</f>
        <v>86</v>
      </c>
      <c r="U2155" s="152">
        <f>100*(INDEX(TDU_Info!$E$5:$E$110,$T2155)/T$11+INDEX(TDU_Info!$F$5:$F$110,$T2155))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MATCH(1,(TDU_Info!$C$5:$C$110=$T$6)*(TDU_Info!$B$5:$B$110&lt;=$B2156),0)</f>
        <v>86</v>
      </c>
      <c r="U2156" s="152">
        <f>100*(INDEX(TDU_Info!$E$5:$E$110,$T2156)/T$11+INDEX(TDU_Info!$F$5:$F$110,$T2156))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MATCH(1,(TDU_Info!$C$5:$C$110=$T$6)*(TDU_Info!$B$5:$B$110&lt;=$B2157),0)</f>
        <v>86</v>
      </c>
      <c r="U2157" s="152">
        <f>100*(INDEX(TDU_Info!$E$5:$E$110,$T2157)/T$11+INDEX(TDU_Info!$F$5:$F$110,$T2157))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MATCH(1,(TDU_Info!$C$5:$C$110=$T$6)*(TDU_Info!$B$5:$B$110&lt;=$B2158),0)</f>
        <v>86</v>
      </c>
      <c r="U2158" s="152">
        <f>100*(INDEX(TDU_Info!$E$5:$E$110,$T2158)/T$11+INDEX(TDU_Info!$F$5:$F$110,$T2158))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MATCH(1,(TDU_Info!$C$5:$C$110=$T$6)*(TDU_Info!$B$5:$B$110&lt;=$B2159),0)</f>
        <v>86</v>
      </c>
      <c r="U2159" s="152">
        <f>100*(INDEX(TDU_Info!$E$5:$E$110,$T2159)/T$11+INDEX(TDU_Info!$F$5:$F$110,$T2159))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MATCH(1,(TDU_Info!$C$5:$C$110=$T$6)*(TDU_Info!$B$5:$B$110&lt;=$B2160),0)</f>
        <v>86</v>
      </c>
      <c r="U2160" s="152">
        <f>100*(INDEX(TDU_Info!$E$5:$E$110,$T2160)/T$11+INDEX(TDU_Info!$F$5:$F$110,$T2160))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MATCH(1,(TDU_Info!$C$5:$C$110=$T$6)*(TDU_Info!$B$5:$B$110&lt;=$B2161),0)</f>
        <v>86</v>
      </c>
      <c r="U2161" s="152">
        <f>100*(INDEX(TDU_Info!$E$5:$E$110,$T2161)/T$11+INDEX(TDU_Info!$F$5:$F$110,$T2161))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MATCH(1,(TDU_Info!$C$5:$C$110=$T$6)*(TDU_Info!$B$5:$B$110&lt;=$B2162),0)</f>
        <v>86</v>
      </c>
      <c r="U2162" s="152">
        <f>100*(INDEX(TDU_Info!$E$5:$E$110,$T2162)/T$11+INDEX(TDU_Info!$F$5:$F$110,$T2162))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MATCH(1,(TDU_Info!$C$5:$C$110=$T$6)*(TDU_Info!$B$5:$B$110&lt;=$B2163),0)</f>
        <v>86</v>
      </c>
      <c r="U2163" s="152">
        <f>100*(INDEX(TDU_Info!$E$5:$E$110,$T2163)/T$11+INDEX(TDU_Info!$F$5:$F$110,$T2163))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MATCH(1,(TDU_Info!$C$5:$C$110=$T$6)*(TDU_Info!$B$5:$B$110&lt;=$B2164),0)</f>
        <v>86</v>
      </c>
      <c r="U2164" s="152">
        <f>100*(INDEX(TDU_Info!$E$5:$E$110,$T2164)/T$11+INDEX(TDU_Info!$F$5:$F$110,$T2164))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MATCH(1,(TDU_Info!$C$5:$C$110=$T$6)*(TDU_Info!$B$5:$B$110&lt;=$B2165),0)</f>
        <v>86</v>
      </c>
      <c r="U2165" s="152">
        <f>100*(INDEX(TDU_Info!$E$5:$E$110,$T2165)/T$11+INDEX(TDU_Info!$F$5:$F$110,$T2165))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MATCH(1,(TDU_Info!$C$5:$C$110=$T$6)*(TDU_Info!$B$5:$B$110&lt;=$B2166),0)</f>
        <v>86</v>
      </c>
      <c r="U2166" s="152">
        <f>100*(INDEX(TDU_Info!$E$5:$E$110,$T2166)/T$11+INDEX(TDU_Info!$F$5:$F$110,$T2166))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MATCH(1,(TDU_Info!$C$5:$C$110=$T$6)*(TDU_Info!$B$5:$B$110&lt;=$B2167),0)</f>
        <v>86</v>
      </c>
      <c r="U2167" s="152">
        <f>100*(INDEX(TDU_Info!$E$5:$E$110,$T2167)/T$11+INDEX(TDU_Info!$F$5:$F$110,$T2167))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MATCH(1,(TDU_Info!$C$5:$C$110=$T$6)*(TDU_Info!$B$5:$B$110&lt;=$B2168),0)</f>
        <v>86</v>
      </c>
      <c r="U2168" s="152">
        <f>100*(INDEX(TDU_Info!$E$5:$E$110,$T2168)/T$11+INDEX(TDU_Info!$F$5:$F$110,$T2168))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MATCH(1,(TDU_Info!$C$5:$C$110=$T$6)*(TDU_Info!$B$5:$B$110&lt;=$B2169),0)</f>
        <v>86</v>
      </c>
      <c r="U2169" s="152">
        <f>100*(INDEX(TDU_Info!$E$5:$E$110,$T2169)/T$11+INDEX(TDU_Info!$F$5:$F$110,$T2169))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MATCH(1,(TDU_Info!$C$5:$C$110=$T$6)*(TDU_Info!$B$5:$B$110&lt;=$B2170),0)</f>
        <v>86</v>
      </c>
      <c r="U2170" s="152">
        <f>100*(INDEX(TDU_Info!$E$5:$E$110,$T2170)/T$11+INDEX(TDU_Info!$F$5:$F$110,$T2170))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MATCH(1,(TDU_Info!$C$5:$C$110=$T$6)*(TDU_Info!$B$5:$B$110&lt;=$B2171),0)</f>
        <v>86</v>
      </c>
      <c r="U2171" s="152">
        <f>100*(INDEX(TDU_Info!$E$5:$E$110,$T2171)/T$11+INDEX(TDU_Info!$F$5:$F$110,$T2171))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MATCH(1,(TDU_Info!$C$5:$C$110=$T$6)*(TDU_Info!$B$5:$B$110&lt;=$B2172),0)</f>
        <v>86</v>
      </c>
      <c r="U2172" s="152">
        <f>100*(INDEX(TDU_Info!$E$5:$E$110,$T2172)/T$11+INDEX(TDU_Info!$F$5:$F$110,$T2172))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MATCH(1,(TDU_Info!$C$5:$C$110=$T$6)*(TDU_Info!$B$5:$B$110&lt;=$B2173),0)</f>
        <v>86</v>
      </c>
      <c r="U2173" s="152">
        <f>100*(INDEX(TDU_Info!$E$5:$E$110,$T2173)/T$11+INDEX(TDU_Info!$F$5:$F$110,$T2173))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MATCH(1,(TDU_Info!$C$5:$C$110=$T$6)*(TDU_Info!$B$5:$B$110&lt;=$B2174),0)</f>
        <v>86</v>
      </c>
      <c r="U2174" s="152">
        <f>100*(INDEX(TDU_Info!$E$5:$E$110,$T2174)/T$11+INDEX(TDU_Info!$F$5:$F$110,$T2174))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MATCH(1,(TDU_Info!$C$5:$C$110=$T$6)*(TDU_Info!$B$5:$B$110&lt;=$B2175),0)</f>
        <v>86</v>
      </c>
      <c r="U2175" s="152">
        <f>100*(INDEX(TDU_Info!$E$5:$E$110,$T2175)/T$11+INDEX(TDU_Info!$F$5:$F$110,$T2175))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MATCH(1,(TDU_Info!$C$5:$C$110=$T$6)*(TDU_Info!$B$5:$B$110&lt;=$B2176),0)</f>
        <v>86</v>
      </c>
      <c r="U2176" s="152">
        <f>100*(INDEX(TDU_Info!$E$5:$E$110,$T2176)/T$11+INDEX(TDU_Info!$F$5:$F$110,$T2176))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MATCH(1,(TDU_Info!$C$5:$C$110=$T$6)*(TDU_Info!$B$5:$B$110&lt;=$B2177),0)</f>
        <v>86</v>
      </c>
      <c r="U2177" s="152">
        <f>100*(INDEX(TDU_Info!$E$5:$E$110,$T2177)/T$11+INDEX(TDU_Info!$F$5:$F$110,$T2177))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MATCH(1,(TDU_Info!$C$5:$C$110=$T$6)*(TDU_Info!$B$5:$B$110&lt;=$B2178),0)</f>
        <v>86</v>
      </c>
      <c r="U2178" s="152">
        <f>100*(INDEX(TDU_Info!$E$5:$E$110,$T2178)/T$11+INDEX(TDU_Info!$F$5:$F$110,$T2178))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MATCH(1,(TDU_Info!$C$5:$C$110=$T$6)*(TDU_Info!$B$5:$B$110&lt;=$B2179),0)</f>
        <v>86</v>
      </c>
      <c r="U2179" s="152">
        <f>100*(INDEX(TDU_Info!$E$5:$E$110,$T2179)/T$11+INDEX(TDU_Info!$F$5:$F$110,$T2179))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MATCH(1,(TDU_Info!$C$5:$C$110=$T$6)*(TDU_Info!$B$5:$B$110&lt;=$B2180),0)</f>
        <v>86</v>
      </c>
      <c r="U2180" s="152">
        <f>100*(INDEX(TDU_Info!$E$5:$E$110,$T2180)/T$11+INDEX(TDU_Info!$F$5:$F$110,$T2180))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MATCH(1,(TDU_Info!$C$5:$C$110=$T$6)*(TDU_Info!$B$5:$B$110&lt;=$B2181),0)</f>
        <v>86</v>
      </c>
      <c r="U2181" s="152">
        <f>100*(INDEX(TDU_Info!$E$5:$E$110,$T2181)/T$11+INDEX(TDU_Info!$F$5:$F$110,$T2181))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MATCH(1,(TDU_Info!$C$5:$C$110=$T$6)*(TDU_Info!$B$5:$B$110&lt;=$B2182),0)</f>
        <v>86</v>
      </c>
      <c r="U2182" s="152">
        <f>100*(INDEX(TDU_Info!$E$5:$E$110,$T2182)/T$11+INDEX(TDU_Info!$F$5:$F$110,$T2182))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MATCH(1,(TDU_Info!$C$5:$C$110=$T$6)*(TDU_Info!$B$5:$B$110&lt;=$B2183),0)</f>
        <v>86</v>
      </c>
      <c r="U2183" s="152">
        <f>100*(INDEX(TDU_Info!$E$5:$E$110,$T2183)/T$11+INDEX(TDU_Info!$F$5:$F$110,$T2183))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MATCH(1,(TDU_Info!$C$5:$C$110=$T$6)*(TDU_Info!$B$5:$B$110&lt;=$B2184),0)</f>
        <v>86</v>
      </c>
      <c r="U2184" s="152">
        <f>100*(INDEX(TDU_Info!$E$5:$E$110,$T2184)/T$11+INDEX(TDU_Info!$F$5:$F$110,$T2184))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MATCH(1,(TDU_Info!$C$5:$C$110=$T$6)*(TDU_Info!$B$5:$B$110&lt;=$B2185),0)</f>
        <v>86</v>
      </c>
      <c r="U2185" s="152">
        <f>100*(INDEX(TDU_Info!$E$5:$E$110,$T2185)/T$11+INDEX(TDU_Info!$F$5:$F$110,$T2185))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MATCH(1,(TDU_Info!$C$5:$C$110=$T$6)*(TDU_Info!$B$5:$B$110&lt;=$B2186),0)</f>
        <v>86</v>
      </c>
      <c r="U2186" s="152">
        <f>100*(INDEX(TDU_Info!$E$5:$E$110,$T2186)/T$11+INDEX(TDU_Info!$F$5:$F$110,$T2186))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MATCH(1,(TDU_Info!$C$5:$C$110=$T$6)*(TDU_Info!$B$5:$B$110&lt;=$B2187),0)</f>
        <v>86</v>
      </c>
      <c r="U2187" s="152">
        <f>100*(INDEX(TDU_Info!$E$5:$E$110,$T2187)/T$11+INDEX(TDU_Info!$F$5:$F$110,$T2187))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MATCH(1,(TDU_Info!$C$5:$C$110=$T$6)*(TDU_Info!$B$5:$B$110&lt;=$B2188),0)</f>
        <v>86</v>
      </c>
      <c r="U2188" s="152">
        <f>100*(INDEX(TDU_Info!$E$5:$E$110,$T2188)/T$11+INDEX(TDU_Info!$F$5:$F$110,$T2188))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MATCH(1,(TDU_Info!$C$5:$C$110=$T$6)*(TDU_Info!$B$5:$B$110&lt;=$B2189),0)</f>
        <v>86</v>
      </c>
      <c r="U2189" s="152">
        <f>100*(INDEX(TDU_Info!$E$5:$E$110,$T2189)/T$11+INDEX(TDU_Info!$F$5:$F$110,$T2189))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MATCH(1,(TDU_Info!$C$5:$C$110=$T$6)*(TDU_Info!$B$5:$B$110&lt;=$B2190),0)</f>
        <v>86</v>
      </c>
      <c r="U2190" s="152">
        <f>100*(INDEX(TDU_Info!$E$5:$E$110,$T2190)/T$11+INDEX(TDU_Info!$F$5:$F$110,$T2190))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MATCH(1,(TDU_Info!$C$5:$C$110=$T$6)*(TDU_Info!$B$5:$B$110&lt;=$B2191),0)</f>
        <v>86</v>
      </c>
      <c r="U2191" s="152">
        <f>100*(INDEX(TDU_Info!$E$5:$E$110,$T2191)/T$11+INDEX(TDU_Info!$F$5:$F$110,$T2191))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MATCH(1,(TDU_Info!$C$5:$C$110=$T$6)*(TDU_Info!$B$5:$B$110&lt;=$B2192),0)</f>
        <v>86</v>
      </c>
      <c r="U2192" s="152">
        <f>100*(INDEX(TDU_Info!$E$5:$E$110,$T2192)/T$11+INDEX(TDU_Info!$F$5:$F$110,$T2192))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MATCH(1,(TDU_Info!$C$5:$C$110=$T$6)*(TDU_Info!$B$5:$B$110&lt;=$B2193),0)</f>
        <v>86</v>
      </c>
      <c r="U2193" s="152">
        <f>100*(INDEX(TDU_Info!$E$5:$E$110,$T2193)/T$11+INDEX(TDU_Info!$F$5:$F$110,$T2193))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MATCH(1,(TDU_Info!$C$5:$C$110=$T$6)*(TDU_Info!$B$5:$B$110&lt;=$B2194),0)</f>
        <v>86</v>
      </c>
      <c r="U2194" s="152">
        <f>100*(INDEX(TDU_Info!$E$5:$E$110,$T2194)/T$11+INDEX(TDU_Info!$F$5:$F$110,$T2194))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MATCH(1,(TDU_Info!$C$5:$C$110=$T$6)*(TDU_Info!$B$5:$B$110&lt;=$B2195),0)</f>
        <v>86</v>
      </c>
      <c r="U2195" s="152">
        <f>100*(INDEX(TDU_Info!$E$5:$E$110,$T2195)/T$11+INDEX(TDU_Info!$F$5:$F$110,$T2195))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MATCH(1,(TDU_Info!$C$5:$C$110=$T$6)*(TDU_Info!$B$5:$B$110&lt;=$B2196),0)</f>
        <v>86</v>
      </c>
      <c r="U2196" s="152">
        <f>100*(INDEX(TDU_Info!$E$5:$E$110,$T2196)/T$11+INDEX(TDU_Info!$F$5:$F$110,$T2196))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MATCH(1,(TDU_Info!$C$5:$C$110=$T$6)*(TDU_Info!$B$5:$B$110&lt;=$B2197),0)</f>
        <v>86</v>
      </c>
      <c r="U2197" s="152">
        <f>100*(INDEX(TDU_Info!$E$5:$E$110,$T2197)/T$11+INDEX(TDU_Info!$F$5:$F$110,$T2197))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MATCH(1,(TDU_Info!$C$5:$C$110=$T$6)*(TDU_Info!$B$5:$B$110&lt;=$B2198),0)</f>
        <v>86</v>
      </c>
      <c r="U2198" s="152">
        <f>100*(INDEX(TDU_Info!$E$5:$E$110,$T2198)/T$11+INDEX(TDU_Info!$F$5:$F$110,$T2198))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MATCH(1,(TDU_Info!$C$5:$C$110=$T$6)*(TDU_Info!$B$5:$B$110&lt;=$B2199),0)</f>
        <v>86</v>
      </c>
      <c r="U2199" s="152">
        <f>100*(INDEX(TDU_Info!$E$5:$E$110,$T2199)/T$11+INDEX(TDU_Info!$F$5:$F$110,$T2199))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MATCH(1,(TDU_Info!$C$5:$C$110=$T$6)*(TDU_Info!$B$5:$B$110&lt;=$B2200),0)</f>
        <v>86</v>
      </c>
      <c r="U2200" s="152">
        <f>100*(INDEX(TDU_Info!$E$5:$E$110,$T2200)/T$11+INDEX(TDU_Info!$F$5:$F$110,$T2200))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MATCH(1,(TDU_Info!$C$5:$C$110=$T$6)*(TDU_Info!$B$5:$B$110&lt;=$B2201),0)</f>
        <v>86</v>
      </c>
      <c r="U2201" s="152">
        <f>100*(INDEX(TDU_Info!$E$5:$E$110,$T2201)/T$11+INDEX(TDU_Info!$F$5:$F$110,$T2201))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MATCH(1,(TDU_Info!$C$5:$C$110=$T$6)*(TDU_Info!$B$5:$B$110&lt;=$B2202),0)</f>
        <v>86</v>
      </c>
      <c r="U2202" s="152">
        <f>100*(INDEX(TDU_Info!$E$5:$E$110,$T2202)/T$11+INDEX(TDU_Info!$F$5:$F$110,$T2202))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MATCH(1,(TDU_Info!$C$5:$C$110=$T$6)*(TDU_Info!$B$5:$B$110&lt;=$B2203),0)</f>
        <v>86</v>
      </c>
      <c r="U2203" s="152">
        <f>100*(INDEX(TDU_Info!$E$5:$E$110,$T2203)/T$11+INDEX(TDU_Info!$F$5:$F$110,$T2203))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MATCH(1,(TDU_Info!$C$5:$C$110=$T$6)*(TDU_Info!$B$5:$B$110&lt;=$B2204),0)</f>
        <v>86</v>
      </c>
      <c r="U2204" s="152">
        <f>100*(INDEX(TDU_Info!$E$5:$E$110,$T2204)/T$11+INDEX(TDU_Info!$F$5:$F$110,$T2204))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MATCH(1,(TDU_Info!$C$5:$C$110=$T$6)*(TDU_Info!$B$5:$B$110&lt;=$B2205),0)</f>
        <v>86</v>
      </c>
      <c r="U2205" s="152">
        <f>100*(INDEX(TDU_Info!$E$5:$E$110,$T2205)/T$11+INDEX(TDU_Info!$F$5:$F$110,$T2205))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MATCH(1,(TDU_Info!$C$5:$C$110=$T$6)*(TDU_Info!$B$5:$B$110&lt;=$B2206),0)</f>
        <v>86</v>
      </c>
      <c r="U2206" s="152">
        <f>100*(INDEX(TDU_Info!$E$5:$E$110,$T2206)/T$11+INDEX(TDU_Info!$F$5:$F$110,$T2206))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MATCH(1,(TDU_Info!$C$5:$C$110=$T$6)*(TDU_Info!$B$5:$B$110&lt;=$B2207),0)</f>
        <v>86</v>
      </c>
      <c r="U2207" s="152">
        <f>100*(INDEX(TDU_Info!$E$5:$E$110,$T2207)/T$11+INDEX(TDU_Info!$F$5:$F$110,$T2207))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MATCH(1,(TDU_Info!$C$5:$C$110=$T$6)*(TDU_Info!$B$5:$B$110&lt;=$B2208),0)</f>
        <v>86</v>
      </c>
      <c r="U2208" s="152">
        <f>100*(INDEX(TDU_Info!$E$5:$E$110,$T2208)/T$11+INDEX(TDU_Info!$F$5:$F$110,$T2208))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MATCH(1,(TDU_Info!$C$5:$C$110=$T$6)*(TDU_Info!$B$5:$B$110&lt;=$B2209),0)</f>
        <v>86</v>
      </c>
      <c r="U2209" s="152">
        <f>100*(INDEX(TDU_Info!$E$5:$E$110,$T2209)/T$11+INDEX(TDU_Info!$F$5:$F$110,$T2209))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MATCH(1,(TDU_Info!$C$5:$C$110=$T$6)*(TDU_Info!$B$5:$B$110&lt;=$B2210),0)</f>
        <v>86</v>
      </c>
      <c r="U2210" s="152">
        <f>100*(INDEX(TDU_Info!$E$5:$E$110,$T2210)/T$11+INDEX(TDU_Info!$F$5:$F$110,$T2210))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MATCH(1,(TDU_Info!$C$5:$C$110=$T$6)*(TDU_Info!$B$5:$B$110&lt;=$B2211),0)</f>
        <v>86</v>
      </c>
      <c r="U2211" s="152">
        <f>100*(INDEX(TDU_Info!$E$5:$E$110,$T2211)/T$11+INDEX(TDU_Info!$F$5:$F$110,$T2211))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MATCH(1,(TDU_Info!$C$5:$C$110=$T$6)*(TDU_Info!$B$5:$B$110&lt;=$B2212),0)</f>
        <v>86</v>
      </c>
      <c r="U2212" s="152">
        <f>100*(INDEX(TDU_Info!$E$5:$E$110,$T2212)/T$11+INDEX(TDU_Info!$F$5:$F$110,$T2212))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MATCH(1,(TDU_Info!$C$5:$C$110=$T$6)*(TDU_Info!$B$5:$B$110&lt;=$B2213),0)</f>
        <v>86</v>
      </c>
      <c r="U2213" s="152">
        <f>100*(INDEX(TDU_Info!$E$5:$E$110,$T2213)/T$11+INDEX(TDU_Info!$F$5:$F$110,$T2213))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MATCH(1,(TDU_Info!$C$5:$C$110=$T$6)*(TDU_Info!$B$5:$B$110&lt;=$B2214),0)</f>
        <v>86</v>
      </c>
      <c r="U2214" s="152">
        <f>100*(INDEX(TDU_Info!$E$5:$E$110,$T2214)/T$11+INDEX(TDU_Info!$F$5:$F$110,$T2214))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MATCH(1,(TDU_Info!$C$5:$C$110=$T$6)*(TDU_Info!$B$5:$B$110&lt;=$B2215),0)</f>
        <v>86</v>
      </c>
      <c r="U2215" s="152">
        <f>100*(INDEX(TDU_Info!$E$5:$E$110,$T2215)/T$11+INDEX(TDU_Info!$F$5:$F$110,$T2215))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MATCH(1,(TDU_Info!$C$5:$C$110=$T$6)*(TDU_Info!$B$5:$B$110&lt;=$B2216),0)</f>
        <v>86</v>
      </c>
      <c r="U2216" s="152">
        <f>100*(INDEX(TDU_Info!$E$5:$E$110,$T2216)/T$11+INDEX(TDU_Info!$F$5:$F$110,$T2216))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MATCH(1,(TDU_Info!$C$5:$C$110=$T$6)*(TDU_Info!$B$5:$B$110&lt;=$B2217),0)</f>
        <v>86</v>
      </c>
      <c r="U2217" s="152">
        <f>100*(INDEX(TDU_Info!$E$5:$E$110,$T2217)/T$11+INDEX(TDU_Info!$F$5:$F$110,$T2217))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MATCH(1,(TDU_Info!$C$5:$C$110=$T$6)*(TDU_Info!$B$5:$B$110&lt;=$B2218),0)</f>
        <v>86</v>
      </c>
      <c r="U2218" s="152">
        <f>100*(INDEX(TDU_Info!$E$5:$E$110,$T2218)/T$11+INDEX(TDU_Info!$F$5:$F$110,$T2218))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MATCH(1,(TDU_Info!$C$5:$C$110=$T$6)*(TDU_Info!$B$5:$B$110&lt;=$B2219),0)</f>
        <v>86</v>
      </c>
      <c r="U2219" s="152">
        <f>100*(INDEX(TDU_Info!$E$5:$E$110,$T2219)/T$11+INDEX(TDU_Info!$F$5:$F$110,$T2219))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MATCH(1,(TDU_Info!$C$5:$C$110=$T$6)*(TDU_Info!$B$5:$B$110&lt;=$B2220),0)</f>
        <v>86</v>
      </c>
      <c r="U2220" s="152">
        <f>100*(INDEX(TDU_Info!$E$5:$E$110,$T2220)/T$11+INDEX(TDU_Info!$F$5:$F$110,$T2220))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MATCH(1,(TDU_Info!$C$5:$C$110=$T$6)*(TDU_Info!$B$5:$B$110&lt;=$B2221),0)</f>
        <v>86</v>
      </c>
      <c r="U2221" s="152">
        <f>100*(INDEX(TDU_Info!$E$5:$E$110,$T2221)/T$11+INDEX(TDU_Info!$F$5:$F$110,$T2221))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MATCH(1,(TDU_Info!$C$5:$C$110=$T$6)*(TDU_Info!$B$5:$B$110&lt;=$B2222),0)</f>
        <v>86</v>
      </c>
      <c r="U2222" s="152">
        <f>100*(INDEX(TDU_Info!$E$5:$E$110,$T2222)/T$11+INDEX(TDU_Info!$F$5:$F$110,$T2222))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MATCH(1,(TDU_Info!$C$5:$C$110=$T$6)*(TDU_Info!$B$5:$B$110&lt;=$B2223),0)</f>
        <v>86</v>
      </c>
      <c r="U2223" s="152">
        <f>100*(INDEX(TDU_Info!$E$5:$E$110,$T2223)/T$11+INDEX(TDU_Info!$F$5:$F$110,$T2223))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MATCH(1,(TDU_Info!$C$5:$C$110=$T$6)*(TDU_Info!$B$5:$B$110&lt;=$B2224),0)</f>
        <v>86</v>
      </c>
      <c r="U2224" s="152">
        <f>100*(INDEX(TDU_Info!$E$5:$E$110,$T2224)/T$11+INDEX(TDU_Info!$F$5:$F$110,$T2224))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MATCH(1,(TDU_Info!$C$5:$C$110=$T$6)*(TDU_Info!$B$5:$B$110&lt;=$B2225),0)</f>
        <v>86</v>
      </c>
      <c r="U2225" s="152">
        <f>100*(INDEX(TDU_Info!$E$5:$E$110,$T2225)/T$11+INDEX(TDU_Info!$F$5:$F$110,$T2225))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MATCH(1,(TDU_Info!$C$5:$C$110=$T$6)*(TDU_Info!$B$5:$B$110&lt;=$B2226),0)</f>
        <v>86</v>
      </c>
      <c r="U2226" s="152">
        <f>100*(INDEX(TDU_Info!$E$5:$E$110,$T2226)/T$11+INDEX(TDU_Info!$F$5:$F$110,$T2226))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MATCH(1,(TDU_Info!$C$5:$C$110=$T$6)*(TDU_Info!$B$5:$B$110&lt;=$B2227),0)</f>
        <v>86</v>
      </c>
      <c r="U2227" s="152">
        <f>100*(INDEX(TDU_Info!$E$5:$E$110,$T2227)/T$11+INDEX(TDU_Info!$F$5:$F$110,$T2227))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MATCH(1,(TDU_Info!$C$5:$C$110=$T$6)*(TDU_Info!$B$5:$B$110&lt;=$B2228),0)</f>
        <v>86</v>
      </c>
      <c r="U2228" s="152">
        <f>100*(INDEX(TDU_Info!$E$5:$E$110,$T2228)/T$11+INDEX(TDU_Info!$F$5:$F$110,$T2228))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MATCH(1,(TDU_Info!$C$5:$C$110=$T$6)*(TDU_Info!$B$5:$B$110&lt;=$B2229),0)</f>
        <v>86</v>
      </c>
      <c r="U2229" s="152">
        <f>100*(INDEX(TDU_Info!$E$5:$E$110,$T2229)/T$11+INDEX(TDU_Info!$F$5:$F$110,$T2229))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MATCH(1,(TDU_Info!$C$5:$C$110=$T$6)*(TDU_Info!$B$5:$B$110&lt;=$B2230),0)</f>
        <v>86</v>
      </c>
      <c r="U2230" s="152">
        <f>100*(INDEX(TDU_Info!$E$5:$E$110,$T2230)/T$11+INDEX(TDU_Info!$F$5:$F$110,$T2230))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MATCH(1,(TDU_Info!$C$5:$C$110=$T$6)*(TDU_Info!$B$5:$B$110&lt;=$B2231),0)</f>
        <v>86</v>
      </c>
      <c r="U2231" s="152">
        <f>100*(INDEX(TDU_Info!$E$5:$E$110,$T2231)/T$11+INDEX(TDU_Info!$F$5:$F$110,$T2231))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MATCH(1,(TDU_Info!$C$5:$C$110=$T$6)*(TDU_Info!$B$5:$B$110&lt;=$B2232),0)</f>
        <v>86</v>
      </c>
      <c r="U2232" s="152">
        <f>100*(INDEX(TDU_Info!$E$5:$E$110,$T2232)/T$11+INDEX(TDU_Info!$F$5:$F$110,$T2232))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MATCH(1,(TDU_Info!$C$5:$C$110=$T$6)*(TDU_Info!$B$5:$B$110&lt;=$B2233),0)</f>
        <v>86</v>
      </c>
      <c r="U2233" s="152">
        <f>100*(INDEX(TDU_Info!$E$5:$E$110,$T2233)/T$11+INDEX(TDU_Info!$F$5:$F$110,$T2233))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MATCH(1,(TDU_Info!$C$5:$C$110=$T$6)*(TDU_Info!$B$5:$B$110&lt;=$B2234),0)</f>
        <v>86</v>
      </c>
      <c r="U2234" s="152">
        <f>100*(INDEX(TDU_Info!$E$5:$E$110,$T2234)/T$11+INDEX(TDU_Info!$F$5:$F$110,$T2234))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MATCH(1,(TDU_Info!$C$5:$C$110=$T$6)*(TDU_Info!$B$5:$B$110&lt;=$B2235),0)</f>
        <v>86</v>
      </c>
      <c r="U2235" s="152">
        <f>100*(INDEX(TDU_Info!$E$5:$E$110,$T2235)/T$11+INDEX(TDU_Info!$F$5:$F$110,$T2235))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MATCH(1,(TDU_Info!$C$5:$C$110=$T$6)*(TDU_Info!$B$5:$B$110&lt;=$B2236),0)</f>
        <v>86</v>
      </c>
      <c r="U2236" s="152">
        <f>100*(INDEX(TDU_Info!$E$5:$E$110,$T2236)/T$11+INDEX(TDU_Info!$F$5:$F$110,$T2236))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MATCH(1,(TDU_Info!$C$5:$C$110=$T$6)*(TDU_Info!$B$5:$B$110&lt;=$B2237),0)</f>
        <v>86</v>
      </c>
      <c r="U2237" s="152">
        <f>100*(INDEX(TDU_Info!$E$5:$E$110,$T2237)/T$11+INDEX(TDU_Info!$F$5:$F$110,$T2237))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MATCH(1,(TDU_Info!$C$5:$C$110=$T$6)*(TDU_Info!$B$5:$B$110&lt;=$B2238),0)</f>
        <v>86</v>
      </c>
      <c r="U2238" s="152">
        <f>100*(INDEX(TDU_Info!$E$5:$E$110,$T2238)/T$11+INDEX(TDU_Info!$F$5:$F$110,$T2238))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MATCH(1,(TDU_Info!$C$5:$C$110=$T$6)*(TDU_Info!$B$5:$B$110&lt;=$B2239),0)</f>
        <v>86</v>
      </c>
      <c r="U2239" s="152">
        <f>100*(INDEX(TDU_Info!$E$5:$E$110,$T2239)/T$11+INDEX(TDU_Info!$F$5:$F$110,$T2239))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MATCH(1,(TDU_Info!$C$5:$C$110=$T$6)*(TDU_Info!$B$5:$B$110&lt;=$B2240),0)</f>
        <v>86</v>
      </c>
      <c r="U2240" s="152">
        <f>100*(INDEX(TDU_Info!$E$5:$E$110,$T2240)/T$11+INDEX(TDU_Info!$F$5:$F$110,$T2240))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MATCH(1,(TDU_Info!$C$5:$C$110=$T$6)*(TDU_Info!$B$5:$B$110&lt;=$B2241),0)</f>
        <v>86</v>
      </c>
      <c r="U2241" s="152">
        <f>100*(INDEX(TDU_Info!$E$5:$E$110,$T2241)/T$11+INDEX(TDU_Info!$F$5:$F$110,$T2241))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MATCH(1,(TDU_Info!$C$5:$C$110=$T$6)*(TDU_Info!$B$5:$B$110&lt;=$B2242),0)</f>
        <v>86</v>
      </c>
      <c r="U2242" s="152">
        <f>100*(INDEX(TDU_Info!$E$5:$E$110,$T2242)/T$11+INDEX(TDU_Info!$F$5:$F$110,$T2242))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MATCH(1,(TDU_Info!$C$5:$C$110=$T$6)*(TDU_Info!$B$5:$B$110&lt;=$B2243),0)</f>
        <v>86</v>
      </c>
      <c r="U2243" s="152">
        <f>100*(INDEX(TDU_Info!$E$5:$E$110,$T2243)/T$11+INDEX(TDU_Info!$F$5:$F$110,$T2243))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MATCH(1,(TDU_Info!$C$5:$C$110=$T$6)*(TDU_Info!$B$5:$B$110&lt;=$B2244),0)</f>
        <v>86</v>
      </c>
      <c r="U2244" s="152">
        <f>100*(INDEX(TDU_Info!$E$5:$E$110,$T2244)/T$11+INDEX(TDU_Info!$F$5:$F$110,$T2244))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MATCH(1,(TDU_Info!$C$5:$C$110=$T$6)*(TDU_Info!$B$5:$B$110&lt;=$B2245),0)</f>
        <v>86</v>
      </c>
      <c r="U2245" s="152">
        <f>100*(INDEX(TDU_Info!$E$5:$E$110,$T2245)/T$11+INDEX(TDU_Info!$F$5:$F$110,$T2245))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MATCH(1,(TDU_Info!$C$5:$C$110=$T$6)*(TDU_Info!$B$5:$B$110&lt;=$B2246),0)</f>
        <v>86</v>
      </c>
      <c r="U2246" s="152">
        <f>100*(INDEX(TDU_Info!$E$5:$E$110,$T2246)/T$11+INDEX(TDU_Info!$F$5:$F$110,$T2246))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MATCH(1,(TDU_Info!$C$5:$C$110=$T$6)*(TDU_Info!$B$5:$B$110&lt;=$B2247),0)</f>
        <v>86</v>
      </c>
      <c r="U2247" s="152">
        <f>100*(INDEX(TDU_Info!$E$5:$E$110,$T2247)/T$11+INDEX(TDU_Info!$F$5:$F$110,$T2247))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MATCH(1,(TDU_Info!$C$5:$C$110=$T$6)*(TDU_Info!$B$5:$B$110&lt;=$B2248),0)</f>
        <v>86</v>
      </c>
      <c r="U2248" s="152">
        <f>100*(INDEX(TDU_Info!$E$5:$E$110,$T2248)/T$11+INDEX(TDU_Info!$F$5:$F$110,$T2248))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MATCH(1,(TDU_Info!$C$5:$C$110=$T$6)*(TDU_Info!$B$5:$B$110&lt;=$B2249),0)</f>
        <v>86</v>
      </c>
      <c r="U2249" s="152">
        <f>100*(INDEX(TDU_Info!$E$5:$E$110,$T2249)/T$11+INDEX(TDU_Info!$F$5:$F$110,$T2249))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MATCH(1,(TDU_Info!$C$5:$C$110=$T$6)*(TDU_Info!$B$5:$B$110&lt;=$B2250),0)</f>
        <v>86</v>
      </c>
      <c r="U2250" s="152">
        <f>100*(INDEX(TDU_Info!$E$5:$E$110,$T2250)/T$11+INDEX(TDU_Info!$F$5:$F$110,$T2250))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MATCH(1,(TDU_Info!$C$5:$C$110=$T$6)*(TDU_Info!$B$5:$B$110&lt;=$B2251),0)</f>
        <v>86</v>
      </c>
      <c r="U2251" s="152">
        <f>100*(INDEX(TDU_Info!$E$5:$E$110,$T2251)/T$11+INDEX(TDU_Info!$F$5:$F$110,$T2251))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MATCH(1,(TDU_Info!$C$5:$C$110=$T$6)*(TDU_Info!$B$5:$B$110&lt;=$B2252),0)</f>
        <v>86</v>
      </c>
      <c r="U2252" s="152">
        <f>100*(INDEX(TDU_Info!$E$5:$E$110,$T2252)/T$11+INDEX(TDU_Info!$F$5:$F$110,$T2252))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MATCH(1,(TDU_Info!$C$5:$C$110=$T$6)*(TDU_Info!$B$5:$B$110&lt;=$B2253),0)</f>
        <v>86</v>
      </c>
      <c r="U2253" s="152">
        <f>100*(INDEX(TDU_Info!$E$5:$E$110,$T2253)/T$11+INDEX(TDU_Info!$F$5:$F$110,$T2253))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MATCH(1,(TDU_Info!$C$5:$C$110=$T$6)*(TDU_Info!$B$5:$B$110&lt;=$B2254),0)</f>
        <v>86</v>
      </c>
      <c r="U2254" s="152">
        <f>100*(INDEX(TDU_Info!$E$5:$E$110,$T2254)/T$11+INDEX(TDU_Info!$F$5:$F$110,$T2254))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MATCH(1,(TDU_Info!$C$5:$C$110=$T$6)*(TDU_Info!$B$5:$B$110&lt;=$B2255),0)</f>
        <v>86</v>
      </c>
      <c r="U2255" s="152">
        <f>100*(INDEX(TDU_Info!$E$5:$E$110,$T2255)/T$11+INDEX(TDU_Info!$F$5:$F$110,$T2255))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MATCH(1,(TDU_Info!$C$5:$C$110=$T$6)*(TDU_Info!$B$5:$B$110&lt;=$B2256),0)</f>
        <v>86</v>
      </c>
      <c r="U2256" s="152">
        <f>100*(INDEX(TDU_Info!$E$5:$E$110,$T2256)/T$11+INDEX(TDU_Info!$F$5:$F$110,$T2256))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MATCH(1,(TDU_Info!$C$5:$C$110=$T$6)*(TDU_Info!$B$5:$B$110&lt;=$B2257),0)</f>
        <v>86</v>
      </c>
      <c r="U2257" s="152">
        <f>100*(INDEX(TDU_Info!$E$5:$E$110,$T2257)/T$11+INDEX(TDU_Info!$F$5:$F$110,$T2257))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MATCH(1,(TDU_Info!$C$5:$C$110=$T$6)*(TDU_Info!$B$5:$B$110&lt;=$B2258),0)</f>
        <v>86</v>
      </c>
      <c r="U2258" s="152">
        <f>100*(INDEX(TDU_Info!$E$5:$E$110,$T2258)/T$11+INDEX(TDU_Info!$F$5:$F$110,$T2258))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MATCH(1,(TDU_Info!$C$5:$C$110=$T$6)*(TDU_Info!$B$5:$B$110&lt;=$B2259),0)</f>
        <v>86</v>
      </c>
      <c r="U2259" s="152">
        <f>100*(INDEX(TDU_Info!$E$5:$E$110,$T2259)/T$11+INDEX(TDU_Info!$F$5:$F$110,$T2259))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MATCH(1,(TDU_Info!$C$5:$C$110=$T$6)*(TDU_Info!$B$5:$B$110&lt;=$B2260),0)</f>
        <v>86</v>
      </c>
      <c r="U2260" s="152">
        <f>100*(INDEX(TDU_Info!$E$5:$E$110,$T2260)/T$11+INDEX(TDU_Info!$F$5:$F$110,$T2260))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MATCH(1,(TDU_Info!$C$5:$C$110=$T$6)*(TDU_Info!$B$5:$B$110&lt;=$B2261),0)</f>
        <v>86</v>
      </c>
      <c r="U2261" s="152">
        <f>100*(INDEX(TDU_Info!$E$5:$E$110,$T2261)/T$11+INDEX(TDU_Info!$F$5:$F$110,$T2261))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MATCH(1,(TDU_Info!$C$5:$C$110=$T$6)*(TDU_Info!$B$5:$B$110&lt;=$B2262),0)</f>
        <v>86</v>
      </c>
      <c r="U2262" s="152">
        <f>100*(INDEX(TDU_Info!$E$5:$E$110,$T2262)/T$11+INDEX(TDU_Info!$F$5:$F$110,$T2262))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MATCH(1,(TDU_Info!$C$5:$C$110=$T$6)*(TDU_Info!$B$5:$B$110&lt;=$B2263),0)</f>
        <v>86</v>
      </c>
      <c r="U2263" s="152">
        <f>100*(INDEX(TDU_Info!$E$5:$E$110,$T2263)/T$11+INDEX(TDU_Info!$F$5:$F$110,$T2263))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MATCH(1,(TDU_Info!$C$5:$C$110=$T$6)*(TDU_Info!$B$5:$B$110&lt;=$B2264),0)</f>
        <v>86</v>
      </c>
      <c r="U2264" s="152">
        <f>100*(INDEX(TDU_Info!$E$5:$E$110,$T2264)/T$11+INDEX(TDU_Info!$F$5:$F$110,$T2264))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MATCH(1,(TDU_Info!$C$5:$C$110=$T$6)*(TDU_Info!$B$5:$B$110&lt;=$B2265),0)</f>
        <v>86</v>
      </c>
      <c r="U2265" s="152">
        <f>100*(INDEX(TDU_Info!$E$5:$E$110,$T2265)/T$11+INDEX(TDU_Info!$F$5:$F$110,$T2265))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MATCH(1,(TDU_Info!$C$5:$C$110=$T$6)*(TDU_Info!$B$5:$B$110&lt;=$B2266),0)</f>
        <v>86</v>
      </c>
      <c r="U2266" s="152">
        <f>100*(INDEX(TDU_Info!$E$5:$E$110,$T2266)/T$11+INDEX(TDU_Info!$F$5:$F$110,$T2266))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MATCH(1,(TDU_Info!$C$5:$C$110=$T$6)*(TDU_Info!$B$5:$B$110&lt;=$B2267),0)</f>
        <v>85</v>
      </c>
      <c r="U2267" s="152">
        <f>100*(INDEX(TDU_Info!$E$5:$E$110,$T2267)/T$11+INDEX(TDU_Info!$F$5:$F$110,$T2267))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MATCH(1,(TDU_Info!$C$5:$C$110=$T$6)*(TDU_Info!$B$5:$B$110&lt;=$B2268),0)</f>
        <v>85</v>
      </c>
      <c r="U2268" s="152">
        <f>100*(INDEX(TDU_Info!$E$5:$E$110,$T2268)/T$11+INDEX(TDU_Info!$F$5:$F$110,$T2268))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MATCH(1,(TDU_Info!$C$5:$C$110=$T$6)*(TDU_Info!$B$5:$B$110&lt;=$B2269),0)</f>
        <v>85</v>
      </c>
      <c r="U2269" s="152">
        <f>100*(INDEX(TDU_Info!$E$5:$E$110,$T2269)/T$11+INDEX(TDU_Info!$F$5:$F$110,$T2269))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MATCH(1,(TDU_Info!$C$5:$C$110=$T$6)*(TDU_Info!$B$5:$B$110&lt;=$B2270),0)</f>
        <v>85</v>
      </c>
      <c r="U2270" s="152">
        <f>100*(INDEX(TDU_Info!$E$5:$E$110,$T2270)/T$11+INDEX(TDU_Info!$F$5:$F$110,$T2270))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MATCH(1,(TDU_Info!$C$5:$C$110=$T$6)*(TDU_Info!$B$5:$B$110&lt;=$B2271),0)</f>
        <v>85</v>
      </c>
      <c r="U2271" s="152">
        <f>100*(INDEX(TDU_Info!$E$5:$E$110,$T2271)/T$11+INDEX(TDU_Info!$F$5:$F$110,$T2271))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MATCH(1,(TDU_Info!$C$5:$C$110=$T$6)*(TDU_Info!$B$5:$B$110&lt;=$B2272),0)</f>
        <v>85</v>
      </c>
      <c r="U2272" s="152">
        <f>100*(INDEX(TDU_Info!$E$5:$E$110,$T2272)/T$11+INDEX(TDU_Info!$F$5:$F$110,$T2272))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MATCH(1,(TDU_Info!$C$5:$C$110=$T$6)*(TDU_Info!$B$5:$B$110&lt;=$B2273),0)</f>
        <v>85</v>
      </c>
      <c r="U2273" s="152">
        <f>100*(INDEX(TDU_Info!$E$5:$E$110,$T2273)/T$11+INDEX(TDU_Info!$F$5:$F$110,$T2273))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MATCH(1,(TDU_Info!$C$5:$C$110=$T$6)*(TDU_Info!$B$5:$B$110&lt;=$B2274),0)</f>
        <v>85</v>
      </c>
      <c r="U2274" s="152">
        <f>100*(INDEX(TDU_Info!$E$5:$E$110,$T2274)/T$11+INDEX(TDU_Info!$F$5:$F$110,$T2274))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MATCH(1,(TDU_Info!$C$5:$C$110=$T$6)*(TDU_Info!$B$5:$B$110&lt;=$B2275),0)</f>
        <v>85</v>
      </c>
      <c r="U2275" s="152">
        <f>100*(INDEX(TDU_Info!$E$5:$E$110,$T2275)/T$11+INDEX(TDU_Info!$F$5:$F$110,$T2275))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MATCH(1,(TDU_Info!$C$5:$C$110=$T$6)*(TDU_Info!$B$5:$B$110&lt;=$B2276),0)</f>
        <v>85</v>
      </c>
      <c r="U2276" s="152">
        <f>100*(INDEX(TDU_Info!$E$5:$E$110,$T2276)/T$11+INDEX(TDU_Info!$F$5:$F$110,$T2276))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MATCH(1,(TDU_Info!$C$5:$C$110=$T$6)*(TDU_Info!$B$5:$B$110&lt;=$B2277),0)</f>
        <v>85</v>
      </c>
      <c r="U2277" s="152">
        <f>100*(INDEX(TDU_Info!$E$5:$E$110,$T2277)/T$11+INDEX(TDU_Info!$F$5:$F$110,$T2277))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MATCH(1,(TDU_Info!$C$5:$C$110=$T$6)*(TDU_Info!$B$5:$B$110&lt;=$B2278),0)</f>
        <v>85</v>
      </c>
      <c r="U2278" s="152">
        <f>100*(INDEX(TDU_Info!$E$5:$E$110,$T2278)/T$11+INDEX(TDU_Info!$F$5:$F$110,$T2278))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MATCH(1,(TDU_Info!$C$5:$C$110=$T$6)*(TDU_Info!$B$5:$B$110&lt;=$B2279),0)</f>
        <v>85</v>
      </c>
      <c r="U2279" s="152">
        <f>100*(INDEX(TDU_Info!$E$5:$E$110,$T2279)/T$11+INDEX(TDU_Info!$F$5:$F$110,$T2279))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MATCH(1,(TDU_Info!$C$5:$C$110=$T$6)*(TDU_Info!$B$5:$B$110&lt;=$B2280),0)</f>
        <v>85</v>
      </c>
      <c r="U2280" s="152">
        <f>100*(INDEX(TDU_Info!$E$5:$E$110,$T2280)/T$11+INDEX(TDU_Info!$F$5:$F$110,$T2280))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MATCH(1,(TDU_Info!$C$5:$C$110=$T$6)*(TDU_Info!$B$5:$B$110&lt;=$B2281),0)</f>
        <v>85</v>
      </c>
      <c r="U2281" s="152">
        <f>100*(INDEX(TDU_Info!$E$5:$E$110,$T2281)/T$11+INDEX(TDU_Info!$F$5:$F$110,$T2281))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MATCH(1,(TDU_Info!$C$5:$C$110=$T$6)*(TDU_Info!$B$5:$B$110&lt;=$B2282),0)</f>
        <v>85</v>
      </c>
      <c r="U2282" s="152">
        <f>100*(INDEX(TDU_Info!$E$5:$E$110,$T2282)/T$11+INDEX(TDU_Info!$F$5:$F$110,$T2282))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MATCH(1,(TDU_Info!$C$5:$C$110=$T$6)*(TDU_Info!$B$5:$B$110&lt;=$B2283),0)</f>
        <v>85</v>
      </c>
      <c r="U2283" s="152">
        <f>100*(INDEX(TDU_Info!$E$5:$E$110,$T2283)/T$11+INDEX(TDU_Info!$F$5:$F$110,$T2283))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MATCH(1,(TDU_Info!$C$5:$C$110=$T$6)*(TDU_Info!$B$5:$B$110&lt;=$B2284),0)</f>
        <v>85</v>
      </c>
      <c r="U2284" s="152">
        <f>100*(INDEX(TDU_Info!$E$5:$E$110,$T2284)/T$11+INDEX(TDU_Info!$F$5:$F$110,$T2284))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MATCH(1,(TDU_Info!$C$5:$C$110=$T$6)*(TDU_Info!$B$5:$B$110&lt;=$B2285),0)</f>
        <v>85</v>
      </c>
      <c r="U2285" s="152">
        <f>100*(INDEX(TDU_Info!$E$5:$E$110,$T2285)/T$11+INDEX(TDU_Info!$F$5:$F$110,$T2285))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MATCH(1,(TDU_Info!$C$5:$C$110=$T$6)*(TDU_Info!$B$5:$B$110&lt;=$B2286),0)</f>
        <v>85</v>
      </c>
      <c r="U2286" s="152">
        <f>100*(INDEX(TDU_Info!$E$5:$E$110,$T2286)/T$11+INDEX(TDU_Info!$F$5:$F$110,$T2286))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MATCH(1,(TDU_Info!$C$5:$C$110=$T$6)*(TDU_Info!$B$5:$B$110&lt;=$B2287),0)</f>
        <v>85</v>
      </c>
      <c r="U2287" s="152">
        <f>100*(INDEX(TDU_Info!$E$5:$E$110,$T2287)/T$11+INDEX(TDU_Info!$F$5:$F$110,$T2287))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MATCH(1,(TDU_Info!$C$5:$C$110=$T$6)*(TDU_Info!$B$5:$B$110&lt;=$B2288),0)</f>
        <v>85</v>
      </c>
      <c r="U2288" s="152">
        <f>100*(INDEX(TDU_Info!$E$5:$E$110,$T2288)/T$11+INDEX(TDU_Info!$F$5:$F$110,$T2288))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MATCH(1,(TDU_Info!$C$5:$C$110=$T$6)*(TDU_Info!$B$5:$B$110&lt;=$B2289),0)</f>
        <v>85</v>
      </c>
      <c r="U2289" s="152">
        <f>100*(INDEX(TDU_Info!$E$5:$E$110,$T2289)/T$11+INDEX(TDU_Info!$F$5:$F$110,$T2289))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MATCH(1,(TDU_Info!$C$5:$C$110=$T$6)*(TDU_Info!$B$5:$B$110&lt;=$B2290),0)</f>
        <v>85</v>
      </c>
      <c r="U2290" s="152">
        <f>100*(INDEX(TDU_Info!$E$5:$E$110,$T2290)/T$11+INDEX(TDU_Info!$F$5:$F$110,$T2290))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MATCH(1,(TDU_Info!$C$5:$C$110=$T$6)*(TDU_Info!$B$5:$B$110&lt;=$B2291),0)</f>
        <v>85</v>
      </c>
      <c r="U2291" s="152">
        <f>100*(INDEX(TDU_Info!$E$5:$E$110,$T2291)/T$11+INDEX(TDU_Info!$F$5:$F$110,$T2291))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MATCH(1,(TDU_Info!$C$5:$C$110=$T$6)*(TDU_Info!$B$5:$B$110&lt;=$B2292),0)</f>
        <v>85</v>
      </c>
      <c r="U2292" s="152">
        <f>100*(INDEX(TDU_Info!$E$5:$E$110,$T2292)/T$11+INDEX(TDU_Info!$F$5:$F$110,$T2292))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MATCH(1,(TDU_Info!$C$5:$C$110=$T$6)*(TDU_Info!$B$5:$B$110&lt;=$B2293),0)</f>
        <v>85</v>
      </c>
      <c r="U2293" s="152">
        <f>100*(INDEX(TDU_Info!$E$5:$E$110,$T2293)/T$11+INDEX(TDU_Info!$F$5:$F$110,$T2293))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MATCH(1,(TDU_Info!$C$5:$C$110=$T$6)*(TDU_Info!$B$5:$B$110&lt;=$B2294),0)</f>
        <v>85</v>
      </c>
      <c r="U2294" s="152">
        <f>100*(INDEX(TDU_Info!$E$5:$E$110,$T2294)/T$11+INDEX(TDU_Info!$F$5:$F$110,$T2294))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MATCH(1,(TDU_Info!$C$5:$C$110=$T$6)*(TDU_Info!$B$5:$B$110&lt;=$B2295),0)</f>
        <v>85</v>
      </c>
      <c r="U2295" s="152">
        <f>100*(INDEX(TDU_Info!$E$5:$E$110,$T2295)/T$11+INDEX(TDU_Info!$F$5:$F$110,$T2295))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MATCH(1,(TDU_Info!$C$5:$C$110=$T$6)*(TDU_Info!$B$5:$B$110&lt;=$B2296),0)</f>
        <v>85</v>
      </c>
      <c r="U2296" s="152">
        <f>100*(INDEX(TDU_Info!$E$5:$E$110,$T2296)/T$11+INDEX(TDU_Info!$F$5:$F$110,$T2296))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MATCH(1,(TDU_Info!$C$5:$C$110=$T$6)*(TDU_Info!$B$5:$B$110&lt;=$B2297),0)</f>
        <v>85</v>
      </c>
      <c r="U2297" s="152">
        <f>100*(INDEX(TDU_Info!$E$5:$E$110,$T2297)/T$11+INDEX(TDU_Info!$F$5:$F$110,$T2297))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MATCH(1,(TDU_Info!$C$5:$C$110=$T$6)*(TDU_Info!$B$5:$B$110&lt;=$B2298),0)</f>
        <v>85</v>
      </c>
      <c r="U2298" s="152">
        <f>100*(INDEX(TDU_Info!$E$5:$E$110,$T2298)/T$11+INDEX(TDU_Info!$F$5:$F$110,$T2298))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MATCH(1,(TDU_Info!$C$5:$C$110=$T$6)*(TDU_Info!$B$5:$B$110&lt;=$B2299),0)</f>
        <v>85</v>
      </c>
      <c r="U2299" s="152">
        <f>100*(INDEX(TDU_Info!$E$5:$E$110,$T2299)/T$11+INDEX(TDU_Info!$F$5:$F$110,$T2299))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MATCH(1,(TDU_Info!$C$5:$C$110=$T$6)*(TDU_Info!$B$5:$B$110&lt;=$B2300),0)</f>
        <v>85</v>
      </c>
      <c r="U2300" s="152">
        <f>100*(INDEX(TDU_Info!$E$5:$E$110,$T2300)/T$11+INDEX(TDU_Info!$F$5:$F$110,$T2300))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MATCH(1,(TDU_Info!$C$5:$C$110=$T$6)*(TDU_Info!$B$5:$B$110&lt;=$B2301),0)</f>
        <v>85</v>
      </c>
      <c r="U2301" s="152">
        <f>100*(INDEX(TDU_Info!$E$5:$E$110,$T2301)/T$11+INDEX(TDU_Info!$F$5:$F$110,$T2301))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MATCH(1,(TDU_Info!$C$5:$C$110=$T$6)*(TDU_Info!$B$5:$B$110&lt;=$B2302),0)</f>
        <v>85</v>
      </c>
      <c r="U2302" s="152">
        <f>100*(INDEX(TDU_Info!$E$5:$E$110,$T2302)/T$11+INDEX(TDU_Info!$F$5:$F$110,$T2302))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MATCH(1,(TDU_Info!$C$5:$C$110=$T$6)*(TDU_Info!$B$5:$B$110&lt;=$B2303),0)</f>
        <v>85</v>
      </c>
      <c r="U2303" s="152">
        <f>100*(INDEX(TDU_Info!$E$5:$E$110,$T2303)/T$11+INDEX(TDU_Info!$F$5:$F$110,$T2303))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MATCH(1,(TDU_Info!$C$5:$C$110=$T$6)*(TDU_Info!$B$5:$B$110&lt;=$B2304),0)</f>
        <v>85</v>
      </c>
      <c r="U2304" s="152">
        <f>100*(INDEX(TDU_Info!$E$5:$E$110,$T2304)/T$11+INDEX(TDU_Info!$F$5:$F$110,$T2304))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MATCH(1,(TDU_Info!$C$5:$C$110=$T$6)*(TDU_Info!$B$5:$B$110&lt;=$B2305),0)</f>
        <v>85</v>
      </c>
      <c r="U2305" s="152">
        <f>100*(INDEX(TDU_Info!$E$5:$E$110,$T2305)/T$11+INDEX(TDU_Info!$F$5:$F$110,$T2305))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MATCH(1,(TDU_Info!$C$5:$C$110=$T$6)*(TDU_Info!$B$5:$B$110&lt;=$B2306),0)</f>
        <v>85</v>
      </c>
      <c r="U2306" s="152">
        <f>100*(INDEX(TDU_Info!$E$5:$E$110,$T2306)/T$11+INDEX(TDU_Info!$F$5:$F$110,$T2306))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MATCH(1,(TDU_Info!$C$5:$C$110=$T$6)*(TDU_Info!$B$5:$B$110&lt;=$B2307),0)</f>
        <v>85</v>
      </c>
      <c r="U2307" s="152">
        <f>100*(INDEX(TDU_Info!$E$5:$E$110,$T2307)/T$11+INDEX(TDU_Info!$F$5:$F$110,$T2307))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MATCH(1,(TDU_Info!$C$5:$C$110=$T$6)*(TDU_Info!$B$5:$B$110&lt;=$B2308),0)</f>
        <v>85</v>
      </c>
      <c r="U2308" s="152">
        <f>100*(INDEX(TDU_Info!$E$5:$E$110,$T2308)/T$11+INDEX(TDU_Info!$F$5:$F$110,$T2308))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MATCH(1,(TDU_Info!$C$5:$C$110=$T$6)*(TDU_Info!$B$5:$B$110&lt;=$B2309),0)</f>
        <v>85</v>
      </c>
      <c r="U2309" s="152">
        <f>100*(INDEX(TDU_Info!$E$5:$E$110,$T2309)/T$11+INDEX(TDU_Info!$F$5:$F$110,$T2309))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MATCH(1,(TDU_Info!$C$5:$C$110=$T$6)*(TDU_Info!$B$5:$B$110&lt;=$B2310),0)</f>
        <v>85</v>
      </c>
      <c r="U2310" s="152">
        <f>100*(INDEX(TDU_Info!$E$5:$E$110,$T2310)/T$11+INDEX(TDU_Info!$F$5:$F$110,$T2310))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MATCH(1,(TDU_Info!$C$5:$C$110=$T$6)*(TDU_Info!$B$5:$B$110&lt;=$B2311),0)</f>
        <v>85</v>
      </c>
      <c r="U2311" s="152">
        <f>100*(INDEX(TDU_Info!$E$5:$E$110,$T2311)/T$11+INDEX(TDU_Info!$F$5:$F$110,$T2311))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MATCH(1,(TDU_Info!$C$5:$C$110=$T$6)*(TDU_Info!$B$5:$B$110&lt;=$B2312),0)</f>
        <v>85</v>
      </c>
      <c r="U2312" s="152">
        <f>100*(INDEX(TDU_Info!$E$5:$E$110,$T2312)/T$11+INDEX(TDU_Info!$F$5:$F$110,$T2312))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MATCH(1,(TDU_Info!$C$5:$C$110=$T$6)*(TDU_Info!$B$5:$B$110&lt;=$B2313),0)</f>
        <v>85</v>
      </c>
      <c r="U2313" s="152">
        <f>100*(INDEX(TDU_Info!$E$5:$E$110,$T2313)/T$11+INDEX(TDU_Info!$F$5:$F$110,$T2313))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MATCH(1,(TDU_Info!$C$5:$C$110=$T$6)*(TDU_Info!$B$5:$B$110&lt;=$B2314),0)</f>
        <v>85</v>
      </c>
      <c r="U2314" s="152">
        <f>100*(INDEX(TDU_Info!$E$5:$E$110,$T2314)/T$11+INDEX(TDU_Info!$F$5:$F$110,$T2314))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MATCH(1,(TDU_Info!$C$5:$C$110=$T$6)*(TDU_Info!$B$5:$B$110&lt;=$B2315),0)</f>
        <v>85</v>
      </c>
      <c r="U2315" s="152">
        <f>100*(INDEX(TDU_Info!$E$5:$E$110,$T2315)/T$11+INDEX(TDU_Info!$F$5:$F$110,$T2315))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MATCH(1,(TDU_Info!$C$5:$C$110=$T$6)*(TDU_Info!$B$5:$B$110&lt;=$B2316),0)</f>
        <v>85</v>
      </c>
      <c r="U2316" s="152">
        <f>100*(INDEX(TDU_Info!$E$5:$E$110,$T2316)/T$11+INDEX(TDU_Info!$F$5:$F$110,$T2316))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MATCH(1,(TDU_Info!$C$5:$C$110=$T$6)*(TDU_Info!$B$5:$B$110&lt;=$B2317),0)</f>
        <v>85</v>
      </c>
      <c r="U2317" s="152">
        <f>100*(INDEX(TDU_Info!$E$5:$E$110,$T2317)/T$11+INDEX(TDU_Info!$F$5:$F$110,$T2317))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MATCH(1,(TDU_Info!$C$5:$C$110=$T$6)*(TDU_Info!$B$5:$B$110&lt;=$B2318),0)</f>
        <v>85</v>
      </c>
      <c r="U2318" s="152">
        <f>100*(INDEX(TDU_Info!$E$5:$E$110,$T2318)/T$11+INDEX(TDU_Info!$F$5:$F$110,$T2318))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MATCH(1,(TDU_Info!$C$5:$C$110=$T$6)*(TDU_Info!$B$5:$B$110&lt;=$B2319),0)</f>
        <v>85</v>
      </c>
      <c r="U2319" s="152">
        <f>100*(INDEX(TDU_Info!$E$5:$E$110,$T2319)/T$11+INDEX(TDU_Info!$F$5:$F$110,$T2319))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MATCH(1,(TDU_Info!$C$5:$C$110=$T$6)*(TDU_Info!$B$5:$B$110&lt;=$B2320),0)</f>
        <v>85</v>
      </c>
      <c r="U2320" s="152">
        <f>100*(INDEX(TDU_Info!$E$5:$E$110,$T2320)/T$11+INDEX(TDU_Info!$F$5:$F$110,$T2320))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MATCH(1,(TDU_Info!$C$5:$C$110=$T$6)*(TDU_Info!$B$5:$B$110&lt;=$B2321),0)</f>
        <v>85</v>
      </c>
      <c r="U2321" s="152">
        <f>100*(INDEX(TDU_Info!$E$5:$E$110,$T2321)/T$11+INDEX(TDU_Info!$F$5:$F$110,$T2321))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MATCH(1,(TDU_Info!$C$5:$C$110=$T$6)*(TDU_Info!$B$5:$B$110&lt;=$B2322),0)</f>
        <v>85</v>
      </c>
      <c r="U2322" s="152">
        <f>100*(INDEX(TDU_Info!$E$5:$E$110,$T2322)/T$11+INDEX(TDU_Info!$F$5:$F$110,$T2322))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MATCH(1,(TDU_Info!$C$5:$C$110=$T$6)*(TDU_Info!$B$5:$B$110&lt;=$B2323),0)</f>
        <v>85</v>
      </c>
      <c r="U2323" s="152">
        <f>100*(INDEX(TDU_Info!$E$5:$E$110,$T2323)/T$11+INDEX(TDU_Info!$F$5:$F$110,$T2323))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MATCH(1,(TDU_Info!$C$5:$C$110=$T$6)*(TDU_Info!$B$5:$B$110&lt;=$B2324),0)</f>
        <v>85</v>
      </c>
      <c r="U2324" s="152">
        <f>100*(INDEX(TDU_Info!$E$5:$E$110,$T2324)/T$11+INDEX(TDU_Info!$F$5:$F$110,$T2324))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MATCH(1,(TDU_Info!$C$5:$C$110=$T$6)*(TDU_Info!$B$5:$B$110&lt;=$B2325),0)</f>
        <v>85</v>
      </c>
      <c r="U2325" s="152">
        <f>100*(INDEX(TDU_Info!$E$5:$E$110,$T2325)/T$11+INDEX(TDU_Info!$F$5:$F$110,$T2325))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MATCH(1,(TDU_Info!$C$5:$C$110=$T$6)*(TDU_Info!$B$5:$B$110&lt;=$B2326),0)</f>
        <v>85</v>
      </c>
      <c r="U2326" s="152">
        <f>100*(INDEX(TDU_Info!$E$5:$E$110,$T2326)/T$11+INDEX(TDU_Info!$F$5:$F$110,$T2326))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MATCH(1,(TDU_Info!$C$5:$C$110=$T$6)*(TDU_Info!$B$5:$B$110&lt;=$B2327),0)</f>
        <v>85</v>
      </c>
      <c r="U2327" s="152">
        <f>100*(INDEX(TDU_Info!$E$5:$E$110,$T2327)/T$11+INDEX(TDU_Info!$F$5:$F$110,$T2327))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MATCH(1,(TDU_Info!$C$5:$C$110=$T$6)*(TDU_Info!$B$5:$B$110&lt;=$B2328),0)</f>
        <v>84</v>
      </c>
      <c r="U2328" s="152">
        <f>100*(INDEX(TDU_Info!$E$5:$E$110,$T2328)/T$11+INDEX(TDU_Info!$F$5:$F$110,$T2328))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MATCH(1,(TDU_Info!$C$5:$C$110=$T$6)*(TDU_Info!$B$5:$B$110&lt;=$B2329),0)</f>
        <v>84</v>
      </c>
      <c r="U2329" s="152">
        <f>100*(INDEX(TDU_Info!$E$5:$E$110,$T2329)/T$11+INDEX(TDU_Info!$F$5:$F$110,$T2329))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MATCH(1,(TDU_Info!$C$5:$C$110=$T$6)*(TDU_Info!$B$5:$B$110&lt;=$B2330),0)</f>
        <v>84</v>
      </c>
      <c r="U2330" s="152">
        <f>100*(INDEX(TDU_Info!$E$5:$E$110,$T2330)/T$11+INDEX(TDU_Info!$F$5:$F$110,$T2330))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MATCH(1,(TDU_Info!$C$5:$C$110=$T$6)*(TDU_Info!$B$5:$B$110&lt;=$B2331),0)</f>
        <v>84</v>
      </c>
      <c r="U2331" s="152">
        <f>100*(INDEX(TDU_Info!$E$5:$E$110,$T2331)/T$11+INDEX(TDU_Info!$F$5:$F$110,$T2331))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MATCH(1,(TDU_Info!$C$5:$C$110=$T$6)*(TDU_Info!$B$5:$B$110&lt;=$B2332),0)</f>
        <v>84</v>
      </c>
      <c r="U2332" s="152">
        <f>100*(INDEX(TDU_Info!$E$5:$E$110,$T2332)/T$11+INDEX(TDU_Info!$F$5:$F$110,$T2332))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MATCH(1,(TDU_Info!$C$5:$C$110=$T$6)*(TDU_Info!$B$5:$B$110&lt;=$B2333),0)</f>
        <v>84</v>
      </c>
      <c r="U2333" s="152">
        <f>100*(INDEX(TDU_Info!$E$5:$E$110,$T2333)/T$11+INDEX(TDU_Info!$F$5:$F$110,$T2333))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MATCH(1,(TDU_Info!$C$5:$C$110=$T$6)*(TDU_Info!$B$5:$B$110&lt;=$B2334),0)</f>
        <v>84</v>
      </c>
      <c r="U2334" s="152">
        <f>100*(INDEX(TDU_Info!$E$5:$E$110,$T2334)/T$11+INDEX(TDU_Info!$F$5:$F$110,$T2334))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MATCH(1,(TDU_Info!$C$5:$C$110=$T$6)*(TDU_Info!$B$5:$B$110&lt;=$B2335),0)</f>
        <v>84</v>
      </c>
      <c r="U2335" s="152">
        <f>100*(INDEX(TDU_Info!$E$5:$E$110,$T2335)/T$11+INDEX(TDU_Info!$F$5:$F$110,$T2335))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MATCH(1,(TDU_Info!$C$5:$C$110=$T$6)*(TDU_Info!$B$5:$B$110&lt;=$B2336),0)</f>
        <v>84</v>
      </c>
      <c r="U2336" s="152">
        <f>100*(INDEX(TDU_Info!$E$5:$E$110,$T2336)/T$11+INDEX(TDU_Info!$F$5:$F$110,$T2336))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MATCH(1,(TDU_Info!$C$5:$C$110=$T$6)*(TDU_Info!$B$5:$B$110&lt;=$B2337),0)</f>
        <v>84</v>
      </c>
      <c r="U2337" s="152">
        <f>100*(INDEX(TDU_Info!$E$5:$E$110,$T2337)/T$11+INDEX(TDU_Info!$F$5:$F$110,$T2337))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MATCH(1,(TDU_Info!$C$5:$C$110=$T$6)*(TDU_Info!$B$5:$B$110&lt;=$B2338),0)</f>
        <v>84</v>
      </c>
      <c r="U2338" s="152">
        <f>100*(INDEX(TDU_Info!$E$5:$E$110,$T2338)/T$11+INDEX(TDU_Info!$F$5:$F$110,$T2338))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MATCH(1,(TDU_Info!$C$5:$C$110=$T$6)*(TDU_Info!$B$5:$B$110&lt;=$B2339),0)</f>
        <v>84</v>
      </c>
      <c r="U2339" s="152">
        <f>100*(INDEX(TDU_Info!$E$5:$E$110,$T2339)/T$11+INDEX(TDU_Info!$F$5:$F$110,$T2339))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MATCH(1,(TDU_Info!$C$5:$C$110=$T$6)*(TDU_Info!$B$5:$B$110&lt;=$B2340),0)</f>
        <v>84</v>
      </c>
      <c r="U2340" s="152">
        <f>100*(INDEX(TDU_Info!$E$5:$E$110,$T2340)/T$11+INDEX(TDU_Info!$F$5:$F$110,$T2340))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MATCH(1,(TDU_Info!$C$5:$C$110=$T$6)*(TDU_Info!$B$5:$B$110&lt;=$B2341),0)</f>
        <v>84</v>
      </c>
      <c r="U2341" s="152">
        <f>100*(INDEX(TDU_Info!$E$5:$E$110,$T2341)/T$11+INDEX(TDU_Info!$F$5:$F$110,$T2341))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MATCH(1,(TDU_Info!$C$5:$C$110=$T$6)*(TDU_Info!$B$5:$B$110&lt;=$B2342),0)</f>
        <v>84</v>
      </c>
      <c r="U2342" s="152">
        <f>100*(INDEX(TDU_Info!$E$5:$E$110,$T2342)/T$11+INDEX(TDU_Info!$F$5:$F$110,$T2342))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MATCH(1,(TDU_Info!$C$5:$C$110=$T$6)*(TDU_Info!$B$5:$B$110&lt;=$B2343),0)</f>
        <v>84</v>
      </c>
      <c r="U2343" s="152">
        <f>100*(INDEX(TDU_Info!$E$5:$E$110,$T2343)/T$11+INDEX(TDU_Info!$F$5:$F$110,$T2343))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MATCH(1,(TDU_Info!$C$5:$C$110=$T$6)*(TDU_Info!$B$5:$B$110&lt;=$B2344),0)</f>
        <v>84</v>
      </c>
      <c r="U2344" s="152">
        <f>100*(INDEX(TDU_Info!$E$5:$E$110,$T2344)/T$11+INDEX(TDU_Info!$F$5:$F$110,$T2344))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MATCH(1,(TDU_Info!$C$5:$C$110=$T$6)*(TDU_Info!$B$5:$B$110&lt;=$B2345),0)</f>
        <v>84</v>
      </c>
      <c r="U2345" s="152">
        <f>100*(INDEX(TDU_Info!$E$5:$E$110,$T2345)/T$11+INDEX(TDU_Info!$F$5:$F$110,$T2345))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MATCH(1,(TDU_Info!$C$5:$C$110=$T$6)*(TDU_Info!$B$5:$B$110&lt;=$B2346),0)</f>
        <v>84</v>
      </c>
      <c r="U2346" s="152">
        <f>100*(INDEX(TDU_Info!$E$5:$E$110,$T2346)/T$11+INDEX(TDU_Info!$F$5:$F$110,$T2346))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MATCH(1,(TDU_Info!$C$5:$C$110=$T$6)*(TDU_Info!$B$5:$B$110&lt;=$B2347),0)</f>
        <v>84</v>
      </c>
      <c r="U2347" s="152">
        <f>100*(INDEX(TDU_Info!$E$5:$E$110,$T2347)/T$11+INDEX(TDU_Info!$F$5:$F$110,$T2347))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MATCH(1,(TDU_Info!$C$5:$C$110=$T$6)*(TDU_Info!$B$5:$B$110&lt;=$B2348),0)</f>
        <v>84</v>
      </c>
      <c r="U2348" s="152">
        <f>100*(INDEX(TDU_Info!$E$5:$E$110,$T2348)/T$11+INDEX(TDU_Info!$F$5:$F$110,$T2348))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MATCH(1,(TDU_Info!$C$5:$C$110=$T$6)*(TDU_Info!$B$5:$B$110&lt;=$B2349),0)</f>
        <v>84</v>
      </c>
      <c r="U2349" s="152">
        <f>100*(INDEX(TDU_Info!$E$5:$E$110,$T2349)/T$11+INDEX(TDU_Info!$F$5:$F$110,$T2349))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MATCH(1,(TDU_Info!$C$5:$C$110=$T$6)*(TDU_Info!$B$5:$B$110&lt;=$B2350),0)</f>
        <v>84</v>
      </c>
      <c r="U2350" s="152">
        <f>100*(INDEX(TDU_Info!$E$5:$E$110,$T2350)/T$11+INDEX(TDU_Info!$F$5:$F$110,$T2350))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MATCH(1,(TDU_Info!$C$5:$C$110=$T$6)*(TDU_Info!$B$5:$B$110&lt;=$B2351),0)</f>
        <v>84</v>
      </c>
      <c r="U2351" s="152">
        <f>100*(INDEX(TDU_Info!$E$5:$E$110,$T2351)/T$11+INDEX(TDU_Info!$F$5:$F$110,$T2351))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MATCH(1,(TDU_Info!$C$5:$C$110=$T$6)*(TDU_Info!$B$5:$B$110&lt;=$B2352),0)</f>
        <v>84</v>
      </c>
      <c r="U2352" s="152">
        <f>100*(INDEX(TDU_Info!$E$5:$E$110,$T2352)/T$11+INDEX(TDU_Info!$F$5:$F$110,$T2352))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MATCH(1,(TDU_Info!$C$5:$C$110=$T$6)*(TDU_Info!$B$5:$B$110&lt;=$B2353),0)</f>
        <v>84</v>
      </c>
      <c r="U2353" s="152">
        <f>100*(INDEX(TDU_Info!$E$5:$E$110,$T2353)/T$11+INDEX(TDU_Info!$F$5:$F$110,$T2353))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MATCH(1,(TDU_Info!$C$5:$C$110=$T$6)*(TDU_Info!$B$5:$B$110&lt;=$B2354),0)</f>
        <v>84</v>
      </c>
      <c r="U2354" s="152">
        <f>100*(INDEX(TDU_Info!$E$5:$E$110,$T2354)/T$11+INDEX(TDU_Info!$F$5:$F$110,$T2354))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MATCH(1,(TDU_Info!$C$5:$C$110=$T$6)*(TDU_Info!$B$5:$B$110&lt;=$B2355),0)</f>
        <v>84</v>
      </c>
      <c r="U2355" s="152">
        <f>100*(INDEX(TDU_Info!$E$5:$E$110,$T2355)/T$11+INDEX(TDU_Info!$F$5:$F$110,$T2355))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MATCH(1,(TDU_Info!$C$5:$C$110=$T$6)*(TDU_Info!$B$5:$B$110&lt;=$B2356),0)</f>
        <v>84</v>
      </c>
      <c r="U2356" s="152">
        <f>100*(INDEX(TDU_Info!$E$5:$E$110,$T2356)/T$11+INDEX(TDU_Info!$F$5:$F$110,$T2356))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MATCH(1,(TDU_Info!$C$5:$C$110=$T$6)*(TDU_Info!$B$5:$B$110&lt;=$B2357),0)</f>
        <v>84</v>
      </c>
      <c r="U2357" s="152">
        <f>100*(INDEX(TDU_Info!$E$5:$E$110,$T2357)/T$11+INDEX(TDU_Info!$F$5:$F$110,$T2357))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MATCH(1,(TDU_Info!$C$5:$C$110=$T$6)*(TDU_Info!$B$5:$B$110&lt;=$B2358),0)</f>
        <v>84</v>
      </c>
      <c r="U2358" s="152">
        <f>100*(INDEX(TDU_Info!$E$5:$E$110,$T2358)/T$11+INDEX(TDU_Info!$F$5:$F$110,$T2358))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MATCH(1,(TDU_Info!$C$5:$C$110=$T$6)*(TDU_Info!$B$5:$B$110&lt;=$B2359),0)</f>
        <v>84</v>
      </c>
      <c r="U2359" s="152">
        <f>100*(INDEX(TDU_Info!$E$5:$E$110,$T2359)/T$11+INDEX(TDU_Info!$F$5:$F$110,$T2359))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MATCH(1,(TDU_Info!$C$5:$C$110=$T$6)*(TDU_Info!$B$5:$B$110&lt;=$B2360),0)</f>
        <v>84</v>
      </c>
      <c r="U2360" s="152">
        <f>100*(INDEX(TDU_Info!$E$5:$E$110,$T2360)/T$11+INDEX(TDU_Info!$F$5:$F$110,$T2360))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MATCH(1,(TDU_Info!$C$5:$C$110=$T$6)*(TDU_Info!$B$5:$B$110&lt;=$B2361),0)</f>
        <v>84</v>
      </c>
      <c r="U2361" s="152">
        <f>100*(INDEX(TDU_Info!$E$5:$E$110,$T2361)/T$11+INDEX(TDU_Info!$F$5:$F$110,$T2361))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MATCH(1,(TDU_Info!$C$5:$C$110=$T$6)*(TDU_Info!$B$5:$B$110&lt;=$B2362),0)</f>
        <v>84</v>
      </c>
      <c r="U2362" s="152">
        <f>100*(INDEX(TDU_Info!$E$5:$E$110,$T2362)/T$11+INDEX(TDU_Info!$F$5:$F$110,$T2362))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MATCH(1,(TDU_Info!$C$5:$C$110=$T$6)*(TDU_Info!$B$5:$B$110&lt;=$B2363),0)</f>
        <v>84</v>
      </c>
      <c r="U2363" s="152">
        <f>100*(INDEX(TDU_Info!$E$5:$E$110,$T2363)/T$11+INDEX(TDU_Info!$F$5:$F$110,$T2363))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MATCH(1,(TDU_Info!$C$5:$C$110=$T$6)*(TDU_Info!$B$5:$B$110&lt;=$B2364),0)</f>
        <v>84</v>
      </c>
      <c r="U2364" s="152">
        <f>100*(INDEX(TDU_Info!$E$5:$E$110,$T2364)/T$11+INDEX(TDU_Info!$F$5:$F$110,$T2364))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MATCH(1,(TDU_Info!$C$5:$C$110=$T$6)*(TDU_Info!$B$5:$B$110&lt;=$B2365),0)</f>
        <v>84</v>
      </c>
      <c r="U2365" s="152">
        <f>100*(INDEX(TDU_Info!$E$5:$E$110,$T2365)/T$11+INDEX(TDU_Info!$F$5:$F$110,$T2365))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MATCH(1,(TDU_Info!$C$5:$C$110=$T$6)*(TDU_Info!$B$5:$B$110&lt;=$B2366),0)</f>
        <v>84</v>
      </c>
      <c r="U2366" s="152">
        <f>100*(INDEX(TDU_Info!$E$5:$E$110,$T2366)/T$11+INDEX(TDU_Info!$F$5:$F$110,$T2366))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MATCH(1,(TDU_Info!$C$5:$C$110=$T$6)*(TDU_Info!$B$5:$B$110&lt;=$B2367),0)</f>
        <v>84</v>
      </c>
      <c r="U2367" s="152">
        <f>100*(INDEX(TDU_Info!$E$5:$E$110,$T2367)/T$11+INDEX(TDU_Info!$F$5:$F$110,$T2367))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MATCH(1,(TDU_Info!$C$5:$C$110=$T$6)*(TDU_Info!$B$5:$B$110&lt;=$B2368),0)</f>
        <v>84</v>
      </c>
      <c r="U2368" s="152">
        <f>100*(INDEX(TDU_Info!$E$5:$E$110,$T2368)/T$11+INDEX(TDU_Info!$F$5:$F$110,$T2368))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MATCH(1,(TDU_Info!$C$5:$C$110=$T$6)*(TDU_Info!$B$5:$B$110&lt;=$B2369),0)</f>
        <v>84</v>
      </c>
      <c r="U2369" s="152">
        <f>100*(INDEX(TDU_Info!$E$5:$E$110,$T2369)/T$11+INDEX(TDU_Info!$F$5:$F$110,$T2369))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MATCH(1,(TDU_Info!$C$5:$C$110=$T$6)*(TDU_Info!$B$5:$B$110&lt;=$B2370),0)</f>
        <v>84</v>
      </c>
      <c r="U2370" s="152">
        <f>100*(INDEX(TDU_Info!$E$5:$E$110,$T2370)/T$11+INDEX(TDU_Info!$F$5:$F$110,$T2370))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MATCH(1,(TDU_Info!$C$5:$C$110=$T$6)*(TDU_Info!$B$5:$B$110&lt;=$B2371),0)</f>
        <v>84</v>
      </c>
      <c r="U2371" s="152">
        <f>100*(INDEX(TDU_Info!$E$5:$E$110,$T2371)/T$11+INDEX(TDU_Info!$F$5:$F$110,$T2371))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MATCH(1,(TDU_Info!$C$5:$C$110=$T$6)*(TDU_Info!$B$5:$B$110&lt;=$B2372),0)</f>
        <v>84</v>
      </c>
      <c r="U2372" s="152">
        <f>100*(INDEX(TDU_Info!$E$5:$E$110,$T2372)/T$11+INDEX(TDU_Info!$F$5:$F$110,$T2372))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MATCH(1,(TDU_Info!$C$5:$C$110=$T$6)*(TDU_Info!$B$5:$B$110&lt;=$B2373),0)</f>
        <v>84</v>
      </c>
      <c r="U2373" s="152">
        <f>100*(INDEX(TDU_Info!$E$5:$E$110,$T2373)/T$11+INDEX(TDU_Info!$F$5:$F$110,$T2373))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MATCH(1,(TDU_Info!$C$5:$C$110=$T$6)*(TDU_Info!$B$5:$B$110&lt;=$B2374),0)</f>
        <v>84</v>
      </c>
      <c r="U2374" s="152">
        <f>100*(INDEX(TDU_Info!$E$5:$E$110,$T2374)/T$11+INDEX(TDU_Info!$F$5:$F$110,$T2374))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MATCH(1,(TDU_Info!$C$5:$C$110=$T$6)*(TDU_Info!$B$5:$B$110&lt;=$B2375),0)</f>
        <v>84</v>
      </c>
      <c r="U2375" s="152">
        <f>100*(INDEX(TDU_Info!$E$5:$E$110,$T2375)/T$11+INDEX(TDU_Info!$F$5:$F$110,$T2375))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MATCH(1,(TDU_Info!$C$5:$C$110=$T$6)*(TDU_Info!$B$5:$B$110&lt;=$B2376),0)</f>
        <v>84</v>
      </c>
      <c r="U2376" s="152">
        <f>100*(INDEX(TDU_Info!$E$5:$E$110,$T2376)/T$11+INDEX(TDU_Info!$F$5:$F$110,$T2376))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MATCH(1,(TDU_Info!$C$5:$C$110=$T$6)*(TDU_Info!$B$5:$B$110&lt;=$B2377),0)</f>
        <v>84</v>
      </c>
      <c r="U2377" s="152">
        <f>100*(INDEX(TDU_Info!$E$5:$E$110,$T2377)/T$11+INDEX(TDU_Info!$F$5:$F$110,$T2377))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MATCH(1,(TDU_Info!$C$5:$C$110=$T$6)*(TDU_Info!$B$5:$B$110&lt;=$B2378),0)</f>
        <v>84</v>
      </c>
      <c r="U2378" s="152">
        <f>100*(INDEX(TDU_Info!$E$5:$E$110,$T2378)/T$11+INDEX(TDU_Info!$F$5:$F$110,$T2378))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MATCH(1,(TDU_Info!$C$5:$C$110=$T$6)*(TDU_Info!$B$5:$B$110&lt;=$B2379),0)</f>
        <v>84</v>
      </c>
      <c r="U2379" s="152">
        <f>100*(INDEX(TDU_Info!$E$5:$E$110,$T2379)/T$11+INDEX(TDU_Info!$F$5:$F$110,$T2379))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MATCH(1,(TDU_Info!$C$5:$C$110=$T$6)*(TDU_Info!$B$5:$B$110&lt;=$B2380),0)</f>
        <v>84</v>
      </c>
      <c r="U2380" s="152">
        <f>100*(INDEX(TDU_Info!$E$5:$E$110,$T2380)/T$11+INDEX(TDU_Info!$F$5:$F$110,$T2380))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MATCH(1,(TDU_Info!$C$5:$C$110=$T$6)*(TDU_Info!$B$5:$B$110&lt;=$B2381),0)</f>
        <v>84</v>
      </c>
      <c r="U2381" s="152">
        <f>100*(INDEX(TDU_Info!$E$5:$E$110,$T2381)/T$11+INDEX(TDU_Info!$F$5:$F$110,$T2381))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MATCH(1,(TDU_Info!$C$5:$C$110=$T$6)*(TDU_Info!$B$5:$B$110&lt;=$B2382),0)</f>
        <v>84</v>
      </c>
      <c r="U2382" s="152">
        <f>100*(INDEX(TDU_Info!$E$5:$E$110,$T2382)/T$11+INDEX(TDU_Info!$F$5:$F$110,$T2382))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MATCH(1,(TDU_Info!$C$5:$C$110=$T$6)*(TDU_Info!$B$5:$B$110&lt;=$B2383),0)</f>
        <v>84</v>
      </c>
      <c r="U2383" s="152">
        <f>100*(INDEX(TDU_Info!$E$5:$E$110,$T2383)/T$11+INDEX(TDU_Info!$F$5:$F$110,$T2383))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MATCH(1,(TDU_Info!$C$5:$C$110=$T$6)*(TDU_Info!$B$5:$B$110&lt;=$B2384),0)</f>
        <v>84</v>
      </c>
      <c r="U2384" s="152">
        <f>100*(INDEX(TDU_Info!$E$5:$E$110,$T2384)/T$11+INDEX(TDU_Info!$F$5:$F$110,$T2384))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MATCH(1,(TDU_Info!$C$5:$C$110=$T$6)*(TDU_Info!$B$5:$B$110&lt;=$B2385),0)</f>
        <v>84</v>
      </c>
      <c r="U2385" s="152">
        <f>100*(INDEX(TDU_Info!$E$5:$E$110,$T2385)/T$11+INDEX(TDU_Info!$F$5:$F$110,$T2385))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MATCH(1,(TDU_Info!$C$5:$C$110=$T$6)*(TDU_Info!$B$5:$B$110&lt;=$B2386),0)</f>
        <v>84</v>
      </c>
      <c r="U2386" s="152">
        <f>100*(INDEX(TDU_Info!$E$5:$E$110,$T2386)/T$11+INDEX(TDU_Info!$F$5:$F$110,$T2386))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MATCH(1,(TDU_Info!$C$5:$C$110=$T$6)*(TDU_Info!$B$5:$B$110&lt;=$B2387),0)</f>
        <v>84</v>
      </c>
      <c r="U2387" s="152">
        <f>100*(INDEX(TDU_Info!$E$5:$E$110,$T2387)/T$11+INDEX(TDU_Info!$F$5:$F$110,$T2387))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MATCH(1,(TDU_Info!$C$5:$C$110=$T$6)*(TDU_Info!$B$5:$B$110&lt;=$B2388),0)</f>
        <v>84</v>
      </c>
      <c r="U2388" s="152">
        <f>100*(INDEX(TDU_Info!$E$5:$E$110,$T2388)/T$11+INDEX(TDU_Info!$F$5:$F$110,$T2388))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MATCH(1,(TDU_Info!$C$5:$C$110=$T$6)*(TDU_Info!$B$5:$B$110&lt;=$B2389),0)</f>
        <v>84</v>
      </c>
      <c r="U2389" s="152">
        <f>100*(INDEX(TDU_Info!$E$5:$E$110,$T2389)/T$11+INDEX(TDU_Info!$F$5:$F$110,$T2389))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MATCH(1,(TDU_Info!$C$5:$C$110=$T$6)*(TDU_Info!$B$5:$B$110&lt;=$B2390),0)</f>
        <v>84</v>
      </c>
      <c r="U2390" s="152">
        <f>100*(INDEX(TDU_Info!$E$5:$E$110,$T2390)/T$11+INDEX(TDU_Info!$F$5:$F$110,$T2390))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MATCH(1,(TDU_Info!$C$5:$C$110=$T$6)*(TDU_Info!$B$5:$B$110&lt;=$B2391),0)</f>
        <v>84</v>
      </c>
      <c r="U2391" s="152">
        <f>100*(INDEX(TDU_Info!$E$5:$E$110,$T2391)/T$11+INDEX(TDU_Info!$F$5:$F$110,$T2391))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MATCH(1,(TDU_Info!$C$5:$C$110=$T$6)*(TDU_Info!$B$5:$B$110&lt;=$B2392),0)</f>
        <v>84</v>
      </c>
      <c r="U2392" s="152">
        <f>100*(INDEX(TDU_Info!$E$5:$E$110,$T2392)/T$11+INDEX(TDU_Info!$F$5:$F$110,$T2392))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MATCH(1,(TDU_Info!$C$5:$C$110=$T$6)*(TDU_Info!$B$5:$B$110&lt;=$B2393),0)</f>
        <v>84</v>
      </c>
      <c r="U2393" s="152">
        <f>100*(INDEX(TDU_Info!$E$5:$E$110,$T2393)/T$11+INDEX(TDU_Info!$F$5:$F$110,$T2393))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MATCH(1,(TDU_Info!$C$5:$C$110=$T$6)*(TDU_Info!$B$5:$B$110&lt;=$B2394),0)</f>
        <v>84</v>
      </c>
      <c r="U2394" s="152">
        <f>100*(INDEX(TDU_Info!$E$5:$E$110,$T2394)/T$11+INDEX(TDU_Info!$F$5:$F$110,$T2394))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MATCH(1,(TDU_Info!$C$5:$C$110=$T$6)*(TDU_Info!$B$5:$B$110&lt;=$B2395),0)</f>
        <v>84</v>
      </c>
      <c r="U2395" s="152">
        <f>100*(INDEX(TDU_Info!$E$5:$E$110,$T2395)/T$11+INDEX(TDU_Info!$F$5:$F$110,$T2395))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MATCH(1,(TDU_Info!$C$5:$C$110=$T$6)*(TDU_Info!$B$5:$B$110&lt;=$B2396),0)</f>
        <v>84</v>
      </c>
      <c r="U2396" s="152">
        <f>100*(INDEX(TDU_Info!$E$5:$E$110,$T2396)/T$11+INDEX(TDU_Info!$F$5:$F$110,$T2396))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MATCH(1,(TDU_Info!$C$5:$C$110=$T$6)*(TDU_Info!$B$5:$B$110&lt;=$B2397),0)</f>
        <v>84</v>
      </c>
      <c r="U2397" s="152">
        <f>100*(INDEX(TDU_Info!$E$5:$E$110,$T2397)/T$11+INDEX(TDU_Info!$F$5:$F$110,$T2397))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MATCH(1,(TDU_Info!$C$5:$C$110=$T$6)*(TDU_Info!$B$5:$B$110&lt;=$B2398),0)</f>
        <v>84</v>
      </c>
      <c r="U2398" s="152">
        <f>100*(INDEX(TDU_Info!$E$5:$E$110,$T2398)/T$11+INDEX(TDU_Info!$F$5:$F$110,$T2398))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MATCH(1,(TDU_Info!$C$5:$C$110=$T$6)*(TDU_Info!$B$5:$B$110&lt;=$B2399),0)</f>
        <v>84</v>
      </c>
      <c r="U2399" s="152">
        <f>100*(INDEX(TDU_Info!$E$5:$E$110,$T2399)/T$11+INDEX(TDU_Info!$F$5:$F$110,$T2399))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MATCH(1,(TDU_Info!$C$5:$C$110=$T$6)*(TDU_Info!$B$5:$B$110&lt;=$B2400),0)</f>
        <v>84</v>
      </c>
      <c r="U2400" s="152">
        <f>100*(INDEX(TDU_Info!$E$5:$E$110,$T2400)/T$11+INDEX(TDU_Info!$F$5:$F$110,$T2400))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MATCH(1,(TDU_Info!$C$5:$C$110=$T$6)*(TDU_Info!$B$5:$B$110&lt;=$B2401),0)</f>
        <v>84</v>
      </c>
      <c r="U2401" s="152">
        <f>100*(INDEX(TDU_Info!$E$5:$E$110,$T2401)/T$11+INDEX(TDU_Info!$F$5:$F$110,$T2401))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MATCH(1,(TDU_Info!$C$5:$C$110=$T$6)*(TDU_Info!$B$5:$B$110&lt;=$B2402),0)</f>
        <v>84</v>
      </c>
      <c r="U2402" s="152">
        <f>100*(INDEX(TDU_Info!$E$5:$E$110,$T2402)/T$11+INDEX(TDU_Info!$F$5:$F$110,$T2402))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MATCH(1,(TDU_Info!$C$5:$C$110=$T$6)*(TDU_Info!$B$5:$B$110&lt;=$B2403),0)</f>
        <v>84</v>
      </c>
      <c r="U2403" s="152">
        <f>100*(INDEX(TDU_Info!$E$5:$E$110,$T2403)/T$11+INDEX(TDU_Info!$F$5:$F$110,$T2403))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MATCH(1,(TDU_Info!$C$5:$C$110=$T$6)*(TDU_Info!$B$5:$B$110&lt;=$B2404),0)</f>
        <v>84</v>
      </c>
      <c r="U2404" s="152">
        <f>100*(INDEX(TDU_Info!$E$5:$E$110,$T2404)/T$11+INDEX(TDU_Info!$F$5:$F$110,$T2404))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MATCH(1,(TDU_Info!$C$5:$C$110=$T$6)*(TDU_Info!$B$5:$B$110&lt;=$B2405),0)</f>
        <v>84</v>
      </c>
      <c r="U2405" s="152">
        <f>100*(INDEX(TDU_Info!$E$5:$E$110,$T2405)/T$11+INDEX(TDU_Info!$F$5:$F$110,$T2405))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MATCH(1,(TDU_Info!$C$5:$C$110=$T$6)*(TDU_Info!$B$5:$B$110&lt;=$B2406),0)</f>
        <v>84</v>
      </c>
      <c r="U2406" s="152">
        <f>100*(INDEX(TDU_Info!$E$5:$E$110,$T2406)/T$11+INDEX(TDU_Info!$F$5:$F$110,$T2406))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MATCH(1,(TDU_Info!$C$5:$C$110=$T$6)*(TDU_Info!$B$5:$B$110&lt;=$B2407),0)</f>
        <v>84</v>
      </c>
      <c r="U2407" s="152">
        <f>100*(INDEX(TDU_Info!$E$5:$E$110,$T2407)/T$11+INDEX(TDU_Info!$F$5:$F$110,$T2407))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MATCH(1,(TDU_Info!$C$5:$C$110=$T$6)*(TDU_Info!$B$5:$B$110&lt;=$B2408),0)</f>
        <v>84</v>
      </c>
      <c r="U2408" s="152">
        <f>100*(INDEX(TDU_Info!$E$5:$E$110,$T2408)/T$11+INDEX(TDU_Info!$F$5:$F$110,$T2408))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MATCH(1,(TDU_Info!$C$5:$C$110=$T$6)*(TDU_Info!$B$5:$B$110&lt;=$B2409),0)</f>
        <v>84</v>
      </c>
      <c r="U2409" s="152">
        <f>100*(INDEX(TDU_Info!$E$5:$E$110,$T2409)/T$11+INDEX(TDU_Info!$F$5:$F$110,$T2409))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MATCH(1,(TDU_Info!$C$5:$C$110=$T$6)*(TDU_Info!$B$5:$B$110&lt;=$B2410),0)</f>
        <v>84</v>
      </c>
      <c r="U2410" s="152">
        <f>100*(INDEX(TDU_Info!$E$5:$E$110,$T2410)/T$11+INDEX(TDU_Info!$F$5:$F$110,$T2410))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MATCH(1,(TDU_Info!$C$5:$C$110=$T$6)*(TDU_Info!$B$5:$B$110&lt;=$B2411),0)</f>
        <v>84</v>
      </c>
      <c r="U2411" s="152">
        <f>100*(INDEX(TDU_Info!$E$5:$E$110,$T2411)/T$11+INDEX(TDU_Info!$F$5:$F$110,$T2411))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MATCH(1,(TDU_Info!$C$5:$C$110=$T$6)*(TDU_Info!$B$5:$B$110&lt;=$B2412),0)</f>
        <v>84</v>
      </c>
      <c r="U2412" s="152">
        <f>100*(INDEX(TDU_Info!$E$5:$E$110,$T2412)/T$11+INDEX(TDU_Info!$F$5:$F$110,$T2412))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MATCH(1,(TDU_Info!$C$5:$C$110=$T$6)*(TDU_Info!$B$5:$B$110&lt;=$B2413),0)</f>
        <v>84</v>
      </c>
      <c r="U2413" s="152">
        <f>100*(INDEX(TDU_Info!$E$5:$E$110,$T2413)/T$11+INDEX(TDU_Info!$F$5:$F$110,$T2413))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MATCH(1,(TDU_Info!$C$5:$C$110=$T$6)*(TDU_Info!$B$5:$B$110&lt;=$B2414),0)</f>
        <v>84</v>
      </c>
      <c r="U2414" s="152">
        <f>100*(INDEX(TDU_Info!$E$5:$E$110,$T2414)/T$11+INDEX(TDU_Info!$F$5:$F$110,$T2414))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MATCH(1,(TDU_Info!$C$5:$C$110=$T$6)*(TDU_Info!$B$5:$B$110&lt;=$B2415),0)</f>
        <v>84</v>
      </c>
      <c r="U2415" s="152">
        <f>100*(INDEX(TDU_Info!$E$5:$E$110,$T2415)/T$11+INDEX(TDU_Info!$F$5:$F$110,$T2415))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MATCH(1,(TDU_Info!$C$5:$C$110=$T$6)*(TDU_Info!$B$5:$B$110&lt;=$B2416),0)</f>
        <v>84</v>
      </c>
      <c r="U2416" s="152">
        <f>100*(INDEX(TDU_Info!$E$5:$E$110,$T2416)/T$11+INDEX(TDU_Info!$F$5:$F$110,$T2416))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MATCH(1,(TDU_Info!$C$5:$C$110=$T$6)*(TDU_Info!$B$5:$B$110&lt;=$B2417),0)</f>
        <v>84</v>
      </c>
      <c r="U2417" s="152">
        <f>100*(INDEX(TDU_Info!$E$5:$E$110,$T2417)/T$11+INDEX(TDU_Info!$F$5:$F$110,$T2417))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MATCH(1,(TDU_Info!$C$5:$C$110=$T$6)*(TDU_Info!$B$5:$B$110&lt;=$B2418),0)</f>
        <v>84</v>
      </c>
      <c r="U2418" s="152">
        <f>100*(INDEX(TDU_Info!$E$5:$E$110,$T2418)/T$11+INDEX(TDU_Info!$F$5:$F$110,$T2418))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MATCH(1,(TDU_Info!$C$5:$C$110=$T$6)*(TDU_Info!$B$5:$B$110&lt;=$B2419),0)</f>
        <v>84</v>
      </c>
      <c r="U2419" s="152">
        <f>100*(INDEX(TDU_Info!$E$5:$E$110,$T2419)/T$11+INDEX(TDU_Info!$F$5:$F$110,$T2419))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MATCH(1,(TDU_Info!$C$5:$C$110=$T$6)*(TDU_Info!$B$5:$B$110&lt;=$B2420),0)</f>
        <v>84</v>
      </c>
      <c r="U2420" s="152">
        <f>100*(INDEX(TDU_Info!$E$5:$E$110,$T2420)/T$11+INDEX(TDU_Info!$F$5:$F$110,$T2420))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MATCH(1,(TDU_Info!$C$5:$C$110=$T$6)*(TDU_Info!$B$5:$B$110&lt;=$B2421),0)</f>
        <v>84</v>
      </c>
      <c r="U2421" s="152">
        <f>100*(INDEX(TDU_Info!$E$5:$E$110,$T2421)/T$11+INDEX(TDU_Info!$F$5:$F$110,$T2421))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MATCH(1,(TDU_Info!$C$5:$C$110=$T$6)*(TDU_Info!$B$5:$B$110&lt;=$B2422),0)</f>
        <v>84</v>
      </c>
      <c r="U2422" s="152">
        <f>100*(INDEX(TDU_Info!$E$5:$E$110,$T2422)/T$11+INDEX(TDU_Info!$F$5:$F$110,$T2422))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MATCH(1,(TDU_Info!$C$5:$C$110=$T$6)*(TDU_Info!$B$5:$B$110&lt;=$B2423),0)</f>
        <v>84</v>
      </c>
      <c r="U2423" s="152">
        <f>100*(INDEX(TDU_Info!$E$5:$E$110,$T2423)/T$11+INDEX(TDU_Info!$F$5:$F$110,$T2423))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MATCH(1,(TDU_Info!$C$5:$C$110=$T$6)*(TDU_Info!$B$5:$B$110&lt;=$B2424),0)</f>
        <v>84</v>
      </c>
      <c r="U2424" s="152">
        <f>100*(INDEX(TDU_Info!$E$5:$E$110,$T2424)/T$11+INDEX(TDU_Info!$F$5:$F$110,$T2424))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MATCH(1,(TDU_Info!$C$5:$C$110=$T$6)*(TDU_Info!$B$5:$B$110&lt;=$B2425),0)</f>
        <v>84</v>
      </c>
      <c r="U2425" s="152">
        <f>100*(INDEX(TDU_Info!$E$5:$E$110,$T2425)/T$11+INDEX(TDU_Info!$F$5:$F$110,$T2425))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MATCH(1,(TDU_Info!$C$5:$C$110=$T$6)*(TDU_Info!$B$5:$B$110&lt;=$B2426),0)</f>
        <v>84</v>
      </c>
      <c r="U2426" s="152">
        <f>100*(INDEX(TDU_Info!$E$5:$E$110,$T2426)/T$11+INDEX(TDU_Info!$F$5:$F$110,$T2426))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MATCH(1,(TDU_Info!$C$5:$C$110=$T$6)*(TDU_Info!$B$5:$B$110&lt;=$B2427),0)</f>
        <v>84</v>
      </c>
      <c r="U2427" s="152">
        <f>100*(INDEX(TDU_Info!$E$5:$E$110,$T2427)/T$11+INDEX(TDU_Info!$F$5:$F$110,$T2427))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MATCH(1,(TDU_Info!$C$5:$C$110=$T$6)*(TDU_Info!$B$5:$B$110&lt;=$B2428),0)</f>
        <v>84</v>
      </c>
      <c r="U2428" s="152">
        <f>100*(INDEX(TDU_Info!$E$5:$E$110,$T2428)/T$11+INDEX(TDU_Info!$F$5:$F$110,$T2428))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MATCH(1,(TDU_Info!$C$5:$C$110=$T$6)*(TDU_Info!$B$5:$B$110&lt;=$B2429),0)</f>
        <v>84</v>
      </c>
      <c r="U2429" s="152">
        <f>100*(INDEX(TDU_Info!$E$5:$E$110,$T2429)/T$11+INDEX(TDU_Info!$F$5:$F$110,$T2429))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MATCH(1,(TDU_Info!$C$5:$C$110=$T$6)*(TDU_Info!$B$5:$B$110&lt;=$B2430),0)</f>
        <v>84</v>
      </c>
      <c r="U2430" s="152">
        <f>100*(INDEX(TDU_Info!$E$5:$E$110,$T2430)/T$11+INDEX(TDU_Info!$F$5:$F$110,$T2430))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MATCH(1,(TDU_Info!$C$5:$C$110=$T$6)*(TDU_Info!$B$5:$B$110&lt;=$B2431),0)</f>
        <v>84</v>
      </c>
      <c r="U2431" s="152">
        <f>100*(INDEX(TDU_Info!$E$5:$E$110,$T2431)/T$11+INDEX(TDU_Info!$F$5:$F$110,$T2431))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MATCH(1,(TDU_Info!$C$5:$C$110=$T$6)*(TDU_Info!$B$5:$B$110&lt;=$B2432),0)</f>
        <v>84</v>
      </c>
      <c r="U2432" s="152">
        <f>100*(INDEX(TDU_Info!$E$5:$E$110,$T2432)/T$11+INDEX(TDU_Info!$F$5:$F$110,$T2432))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MATCH(1,(TDU_Info!$C$5:$C$110=$T$6)*(TDU_Info!$B$5:$B$110&lt;=$B2433),0)</f>
        <v>84</v>
      </c>
      <c r="U2433" s="152">
        <f>100*(INDEX(TDU_Info!$E$5:$E$110,$T2433)/T$11+INDEX(TDU_Info!$F$5:$F$110,$T2433))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MATCH(1,(TDU_Info!$C$5:$C$110=$T$6)*(TDU_Info!$B$5:$B$110&lt;=$B2434),0)</f>
        <v>84</v>
      </c>
      <c r="U2434" s="152">
        <f>100*(INDEX(TDU_Info!$E$5:$E$110,$T2434)/T$11+INDEX(TDU_Info!$F$5:$F$110,$T2434))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MATCH(1,(TDU_Info!$C$5:$C$110=$T$6)*(TDU_Info!$B$5:$B$110&lt;=$B2435),0)</f>
        <v>84</v>
      </c>
      <c r="U2435" s="152">
        <f>100*(INDEX(TDU_Info!$E$5:$E$110,$T2435)/T$11+INDEX(TDU_Info!$F$5:$F$110,$T2435))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MATCH(1,(TDU_Info!$C$5:$C$110=$T$6)*(TDU_Info!$B$5:$B$110&lt;=$B2436),0)</f>
        <v>84</v>
      </c>
      <c r="U2436" s="152">
        <f>100*(INDEX(TDU_Info!$E$5:$E$110,$T2436)/T$11+INDEX(TDU_Info!$F$5:$F$110,$T2436))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MATCH(1,(TDU_Info!$C$5:$C$110=$T$6)*(TDU_Info!$B$5:$B$110&lt;=$B2437),0)</f>
        <v>84</v>
      </c>
      <c r="U2437" s="152">
        <f>100*(INDEX(TDU_Info!$E$5:$E$110,$T2437)/T$11+INDEX(TDU_Info!$F$5:$F$110,$T2437))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MATCH(1,(TDU_Info!$C$5:$C$110=$T$6)*(TDU_Info!$B$5:$B$110&lt;=$B2438),0)</f>
        <v>84</v>
      </c>
      <c r="U2438" s="152">
        <f>100*(INDEX(TDU_Info!$E$5:$E$110,$T2438)/T$11+INDEX(TDU_Info!$F$5:$F$110,$T2438))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MATCH(1,(TDU_Info!$C$5:$C$110=$T$6)*(TDU_Info!$B$5:$B$110&lt;=$B2439),0)</f>
        <v>84</v>
      </c>
      <c r="U2439" s="152">
        <f>100*(INDEX(TDU_Info!$E$5:$E$110,$T2439)/T$11+INDEX(TDU_Info!$F$5:$F$110,$T2439))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MATCH(1,(TDU_Info!$C$5:$C$110=$T$6)*(TDU_Info!$B$5:$B$110&lt;=$B2440),0)</f>
        <v>84</v>
      </c>
      <c r="U2440" s="152">
        <f>100*(INDEX(TDU_Info!$E$5:$E$110,$T2440)/T$11+INDEX(TDU_Info!$F$5:$F$110,$T2440))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MATCH(1,(TDU_Info!$C$5:$C$110=$T$6)*(TDU_Info!$B$5:$B$110&lt;=$B2441),0)</f>
        <v>84</v>
      </c>
      <c r="U2441" s="152">
        <f>100*(INDEX(TDU_Info!$E$5:$E$110,$T2441)/T$11+INDEX(TDU_Info!$F$5:$F$110,$T2441))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MATCH(1,(TDU_Info!$C$5:$C$110=$T$6)*(TDU_Info!$B$5:$B$110&lt;=$B2442),0)</f>
        <v>84</v>
      </c>
      <c r="U2442" s="152">
        <f>100*(INDEX(TDU_Info!$E$5:$E$110,$T2442)/T$11+INDEX(TDU_Info!$F$5:$F$110,$T2442))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MATCH(1,(TDU_Info!$C$5:$C$110=$T$6)*(TDU_Info!$B$5:$B$110&lt;=$B2443),0)</f>
        <v>84</v>
      </c>
      <c r="U2443" s="152">
        <f>100*(INDEX(TDU_Info!$E$5:$E$110,$T2443)/T$11+INDEX(TDU_Info!$F$5:$F$110,$T2443))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MATCH(1,(TDU_Info!$C$5:$C$110=$T$6)*(TDU_Info!$B$5:$B$110&lt;=$B2444),0)</f>
        <v>84</v>
      </c>
      <c r="U2444" s="152">
        <f>100*(INDEX(TDU_Info!$E$5:$E$110,$T2444)/T$11+INDEX(TDU_Info!$F$5:$F$110,$T2444))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MATCH(1,(TDU_Info!$C$5:$C$110=$T$6)*(TDU_Info!$B$5:$B$110&lt;=$B2445),0)</f>
        <v>84</v>
      </c>
      <c r="U2445" s="152">
        <f>100*(INDEX(TDU_Info!$E$5:$E$110,$T2445)/T$11+INDEX(TDU_Info!$F$5:$F$110,$T2445))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MATCH(1,(TDU_Info!$C$5:$C$110=$T$6)*(TDU_Info!$B$5:$B$110&lt;=$B2446),0)</f>
        <v>84</v>
      </c>
      <c r="U2446" s="152">
        <f>100*(INDEX(TDU_Info!$E$5:$E$110,$T2446)/T$11+INDEX(TDU_Info!$F$5:$F$110,$T2446))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MATCH(1,(TDU_Info!$C$5:$C$110=$T$6)*(TDU_Info!$B$5:$B$110&lt;=$B2447),0)</f>
        <v>84</v>
      </c>
      <c r="U2447" s="152">
        <f>100*(INDEX(TDU_Info!$E$5:$E$110,$T2447)/T$11+INDEX(TDU_Info!$F$5:$F$110,$T2447))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MATCH(1,(TDU_Info!$C$5:$C$110=$T$6)*(TDU_Info!$B$5:$B$110&lt;=$B2448),0)</f>
        <v>84</v>
      </c>
      <c r="U2448" s="152">
        <f>100*(INDEX(TDU_Info!$E$5:$E$110,$T2448)/T$11+INDEX(TDU_Info!$F$5:$F$110,$T2448))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MATCH(1,(TDU_Info!$C$5:$C$110=$T$6)*(TDU_Info!$B$5:$B$110&lt;=$B2449),0)</f>
        <v>84</v>
      </c>
      <c r="U2449" s="152">
        <f>100*(INDEX(TDU_Info!$E$5:$E$110,$T2449)/T$11+INDEX(TDU_Info!$F$5:$F$110,$T2449))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MATCH(1,(TDU_Info!$C$5:$C$110=$T$6)*(TDU_Info!$B$5:$B$110&lt;=$B2450),0)</f>
        <v>84</v>
      </c>
      <c r="U2450" s="152">
        <f>100*(INDEX(TDU_Info!$E$5:$E$110,$T2450)/T$11+INDEX(TDU_Info!$F$5:$F$110,$T2450))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MATCH(1,(TDU_Info!$C$5:$C$110=$T$6)*(TDU_Info!$B$5:$B$110&lt;=$B2451),0)</f>
        <v>83</v>
      </c>
      <c r="U2451" s="152">
        <f>100*(INDEX(TDU_Info!$E$5:$E$110,$T2451)/T$11+INDEX(TDU_Info!$F$5:$F$110,$T2451))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MATCH(1,(TDU_Info!$C$5:$C$110=$T$6)*(TDU_Info!$B$5:$B$110&lt;=$B2452),0)</f>
        <v>83</v>
      </c>
      <c r="U2452" s="152">
        <f>100*(INDEX(TDU_Info!$E$5:$E$110,$T2452)/T$11+INDEX(TDU_Info!$F$5:$F$110,$T2452))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MATCH(1,(TDU_Info!$C$5:$C$110=$T$6)*(TDU_Info!$B$5:$B$110&lt;=$B2453),0)</f>
        <v>83</v>
      </c>
      <c r="U2453" s="152">
        <f>100*(INDEX(TDU_Info!$E$5:$E$110,$T2453)/T$11+INDEX(TDU_Info!$F$5:$F$110,$T2453))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MATCH(1,(TDU_Info!$C$5:$C$110=$T$6)*(TDU_Info!$B$5:$B$110&lt;=$B2454),0)</f>
        <v>83</v>
      </c>
      <c r="U2454" s="152">
        <f>100*(INDEX(TDU_Info!$E$5:$E$110,$T2454)/T$11+INDEX(TDU_Info!$F$5:$F$110,$T2454))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MATCH(1,(TDU_Info!$C$5:$C$110=$T$6)*(TDU_Info!$B$5:$B$110&lt;=$B2455),0)</f>
        <v>83</v>
      </c>
      <c r="U2455" s="152">
        <f>100*(INDEX(TDU_Info!$E$5:$E$110,$T2455)/T$11+INDEX(TDU_Info!$F$5:$F$110,$T2455))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MATCH(1,(TDU_Info!$C$5:$C$110=$T$6)*(TDU_Info!$B$5:$B$110&lt;=$B2456),0)</f>
        <v>83</v>
      </c>
      <c r="U2456" s="152">
        <f>100*(INDEX(TDU_Info!$E$5:$E$110,$T2456)/T$11+INDEX(TDU_Info!$F$5:$F$110,$T2456))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MATCH(1,(TDU_Info!$C$5:$C$110=$T$6)*(TDU_Info!$B$5:$B$110&lt;=$B2457),0)</f>
        <v>83</v>
      </c>
      <c r="U2457" s="152">
        <f>100*(INDEX(TDU_Info!$E$5:$E$110,$T2457)/T$11+INDEX(TDU_Info!$F$5:$F$110,$T2457))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MATCH(1,(TDU_Info!$C$5:$C$110=$T$6)*(TDU_Info!$B$5:$B$110&lt;=$B2458),0)</f>
        <v>83</v>
      </c>
      <c r="U2458" s="152">
        <f>100*(INDEX(TDU_Info!$E$5:$E$110,$T2458)/T$11+INDEX(TDU_Info!$F$5:$F$110,$T2458))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MATCH(1,(TDU_Info!$C$5:$C$110=$T$6)*(TDU_Info!$B$5:$B$110&lt;=$B2459),0)</f>
        <v>83</v>
      </c>
      <c r="U2459" s="152">
        <f>100*(INDEX(TDU_Info!$E$5:$E$110,$T2459)/T$11+INDEX(TDU_Info!$F$5:$F$110,$T2459))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MATCH(1,(TDU_Info!$C$5:$C$110=$T$6)*(TDU_Info!$B$5:$B$110&lt;=$B2460),0)</f>
        <v>83</v>
      </c>
      <c r="U2460" s="152">
        <f>100*(INDEX(TDU_Info!$E$5:$E$110,$T2460)/T$11+INDEX(TDU_Info!$F$5:$F$110,$T2460))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MATCH(1,(TDU_Info!$C$5:$C$110=$T$6)*(TDU_Info!$B$5:$B$110&lt;=$B2461),0)</f>
        <v>83</v>
      </c>
      <c r="U2461" s="152">
        <f>100*(INDEX(TDU_Info!$E$5:$E$110,$T2461)/T$11+INDEX(TDU_Info!$F$5:$F$110,$T2461))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MATCH(1,(TDU_Info!$C$5:$C$110=$T$6)*(TDU_Info!$B$5:$B$110&lt;=$B2462),0)</f>
        <v>83</v>
      </c>
      <c r="U2462" s="152">
        <f>100*(INDEX(TDU_Info!$E$5:$E$110,$T2462)/T$11+INDEX(TDU_Info!$F$5:$F$110,$T2462))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MATCH(1,(TDU_Info!$C$5:$C$110=$T$6)*(TDU_Info!$B$5:$B$110&lt;=$B2463),0)</f>
        <v>83</v>
      </c>
      <c r="U2463" s="152">
        <f>100*(INDEX(TDU_Info!$E$5:$E$110,$T2463)/T$11+INDEX(TDU_Info!$F$5:$F$110,$T2463))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MATCH(1,(TDU_Info!$C$5:$C$110=$T$6)*(TDU_Info!$B$5:$B$110&lt;=$B2464),0)</f>
        <v>83</v>
      </c>
      <c r="U2464" s="152">
        <f>100*(INDEX(TDU_Info!$E$5:$E$110,$T2464)/T$11+INDEX(TDU_Info!$F$5:$F$110,$T2464))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MATCH(1,(TDU_Info!$C$5:$C$110=$T$6)*(TDU_Info!$B$5:$B$110&lt;=$B2465),0)</f>
        <v>83</v>
      </c>
      <c r="U2465" s="152">
        <f>100*(INDEX(TDU_Info!$E$5:$E$110,$T2465)/T$11+INDEX(TDU_Info!$F$5:$F$110,$T2465))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MATCH(1,(TDU_Info!$C$5:$C$110=$T$6)*(TDU_Info!$B$5:$B$110&lt;=$B2466),0)</f>
        <v>83</v>
      </c>
      <c r="U2466" s="152">
        <f>100*(INDEX(TDU_Info!$E$5:$E$110,$T2466)/T$11+INDEX(TDU_Info!$F$5:$F$110,$T2466))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MATCH(1,(TDU_Info!$C$5:$C$110=$T$6)*(TDU_Info!$B$5:$B$110&lt;=$B2467),0)</f>
        <v>83</v>
      </c>
      <c r="U2467" s="152">
        <f>100*(INDEX(TDU_Info!$E$5:$E$110,$T2467)/T$11+INDEX(TDU_Info!$F$5:$F$110,$T2467))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MATCH(1,(TDU_Info!$C$5:$C$110=$T$6)*(TDU_Info!$B$5:$B$110&lt;=$B2468),0)</f>
        <v>83</v>
      </c>
      <c r="U2468" s="152">
        <f>100*(INDEX(TDU_Info!$E$5:$E$110,$T2468)/T$11+INDEX(TDU_Info!$F$5:$F$110,$T2468))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MATCH(1,(TDU_Info!$C$5:$C$110=$T$6)*(TDU_Info!$B$5:$B$110&lt;=$B2469),0)</f>
        <v>83</v>
      </c>
      <c r="U2469" s="152">
        <f>100*(INDEX(TDU_Info!$E$5:$E$110,$T2469)/T$11+INDEX(TDU_Info!$F$5:$F$110,$T2469))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MATCH(1,(TDU_Info!$C$5:$C$110=$T$6)*(TDU_Info!$B$5:$B$110&lt;=$B2470),0)</f>
        <v>83</v>
      </c>
      <c r="U2470" s="152">
        <f>100*(INDEX(TDU_Info!$E$5:$E$110,$T2470)/T$11+INDEX(TDU_Info!$F$5:$F$110,$T2470))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MATCH(1,(TDU_Info!$C$5:$C$110=$T$6)*(TDU_Info!$B$5:$B$110&lt;=$B2471),0)</f>
        <v>83</v>
      </c>
      <c r="U2471" s="152">
        <f>100*(INDEX(TDU_Info!$E$5:$E$110,$T2471)/T$11+INDEX(TDU_Info!$F$5:$F$110,$T2471))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MATCH(1,(TDU_Info!$C$5:$C$110=$T$6)*(TDU_Info!$B$5:$B$110&lt;=$B2472),0)</f>
        <v>83</v>
      </c>
      <c r="U2472" s="152">
        <f>100*(INDEX(TDU_Info!$E$5:$E$110,$T2472)/T$11+INDEX(TDU_Info!$F$5:$F$110,$T2472))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MATCH(1,(TDU_Info!$C$5:$C$110=$T$6)*(TDU_Info!$B$5:$B$110&lt;=$B2473),0)</f>
        <v>83</v>
      </c>
      <c r="U2473" s="152">
        <f>100*(INDEX(TDU_Info!$E$5:$E$110,$T2473)/T$11+INDEX(TDU_Info!$F$5:$F$110,$T2473))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MATCH(1,(TDU_Info!$C$5:$C$110=$T$6)*(TDU_Info!$B$5:$B$110&lt;=$B2474),0)</f>
        <v>83</v>
      </c>
      <c r="U2474" s="152">
        <f>100*(INDEX(TDU_Info!$E$5:$E$110,$T2474)/T$11+INDEX(TDU_Info!$F$5:$F$110,$T2474))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MATCH(1,(TDU_Info!$C$5:$C$110=$T$6)*(TDU_Info!$B$5:$B$110&lt;=$B2475),0)</f>
        <v>83</v>
      </c>
      <c r="U2475" s="152">
        <f>100*(INDEX(TDU_Info!$E$5:$E$110,$T2475)/T$11+INDEX(TDU_Info!$F$5:$F$110,$T2475))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MATCH(1,(TDU_Info!$C$5:$C$110=$T$6)*(TDU_Info!$B$5:$B$110&lt;=$B2476),0)</f>
        <v>83</v>
      </c>
      <c r="U2476" s="152">
        <f>100*(INDEX(TDU_Info!$E$5:$E$110,$T2476)/T$11+INDEX(TDU_Info!$F$5:$F$110,$T2476))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MATCH(1,(TDU_Info!$C$5:$C$110=$T$6)*(TDU_Info!$B$5:$B$110&lt;=$B2477),0)</f>
        <v>83</v>
      </c>
      <c r="U2477" s="152">
        <f>100*(INDEX(TDU_Info!$E$5:$E$110,$T2477)/T$11+INDEX(TDU_Info!$F$5:$F$110,$T2477))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MATCH(1,(TDU_Info!$C$5:$C$110=$T$6)*(TDU_Info!$B$5:$B$110&lt;=$B2478),0)</f>
        <v>83</v>
      </c>
      <c r="U2478" s="152">
        <f>100*(INDEX(TDU_Info!$E$5:$E$110,$T2478)/T$11+INDEX(TDU_Info!$F$5:$F$110,$T2478))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MATCH(1,(TDU_Info!$C$5:$C$110=$T$6)*(TDU_Info!$B$5:$B$110&lt;=$B2479),0)</f>
        <v>83</v>
      </c>
      <c r="U2479" s="152">
        <f>100*(INDEX(TDU_Info!$E$5:$E$110,$T2479)/T$11+INDEX(TDU_Info!$F$5:$F$110,$T2479))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MATCH(1,(TDU_Info!$C$5:$C$110=$T$6)*(TDU_Info!$B$5:$B$110&lt;=$B2480),0)</f>
        <v>83</v>
      </c>
      <c r="U2480" s="152">
        <f>100*(INDEX(TDU_Info!$E$5:$E$110,$T2480)/T$11+INDEX(TDU_Info!$F$5:$F$110,$T2480))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MATCH(1,(TDU_Info!$C$5:$C$110=$T$6)*(TDU_Info!$B$5:$B$110&lt;=$B2481),0)</f>
        <v>83</v>
      </c>
      <c r="U2481" s="152">
        <f>100*(INDEX(TDU_Info!$E$5:$E$110,$T2481)/T$11+INDEX(TDU_Info!$F$5:$F$110,$T2481))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MATCH(1,(TDU_Info!$C$5:$C$110=$T$6)*(TDU_Info!$B$5:$B$110&lt;=$B2482),0)</f>
        <v>83</v>
      </c>
      <c r="U2482" s="152">
        <f>100*(INDEX(TDU_Info!$E$5:$E$110,$T2482)/T$11+INDEX(TDU_Info!$F$5:$F$110,$T2482))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MATCH(1,(TDU_Info!$C$5:$C$110=$T$6)*(TDU_Info!$B$5:$B$110&lt;=$B2483),0)</f>
        <v>83</v>
      </c>
      <c r="U2483" s="152">
        <f>100*(INDEX(TDU_Info!$E$5:$E$110,$T2483)/T$11+INDEX(TDU_Info!$F$5:$F$110,$T2483))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MATCH(1,(TDU_Info!$C$5:$C$110=$T$6)*(TDU_Info!$B$5:$B$110&lt;=$B2484),0)</f>
        <v>83</v>
      </c>
      <c r="U2484" s="152">
        <f>100*(INDEX(TDU_Info!$E$5:$E$110,$T2484)/T$11+INDEX(TDU_Info!$F$5:$F$110,$T2484))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MATCH(1,(TDU_Info!$C$5:$C$110=$T$6)*(TDU_Info!$B$5:$B$110&lt;=$B2485),0)</f>
        <v>83</v>
      </c>
      <c r="U2485" s="152">
        <f>100*(INDEX(TDU_Info!$E$5:$E$110,$T2485)/T$11+INDEX(TDU_Info!$F$5:$F$110,$T2485))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MATCH(1,(TDU_Info!$C$5:$C$110=$T$6)*(TDU_Info!$B$5:$B$110&lt;=$B2486),0)</f>
        <v>83</v>
      </c>
      <c r="U2486" s="152">
        <f>100*(INDEX(TDU_Info!$E$5:$E$110,$T2486)/T$11+INDEX(TDU_Info!$F$5:$F$110,$T2486))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MATCH(1,(TDU_Info!$C$5:$C$110=$T$6)*(TDU_Info!$B$5:$B$110&lt;=$B2487),0)</f>
        <v>83</v>
      </c>
      <c r="U2487" s="152">
        <f>100*(INDEX(TDU_Info!$E$5:$E$110,$T2487)/T$11+INDEX(TDU_Info!$F$5:$F$110,$T2487))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MATCH(1,(TDU_Info!$C$5:$C$110=$T$6)*(TDU_Info!$B$5:$B$110&lt;=$B2488),0)</f>
        <v>83</v>
      </c>
      <c r="U2488" s="152">
        <f>100*(INDEX(TDU_Info!$E$5:$E$110,$T2488)/T$11+INDEX(TDU_Info!$F$5:$F$110,$T2488))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MATCH(1,(TDU_Info!$C$5:$C$110=$T$6)*(TDU_Info!$B$5:$B$110&lt;=$B2489),0)</f>
        <v>83</v>
      </c>
      <c r="U2489" s="152">
        <f>100*(INDEX(TDU_Info!$E$5:$E$110,$T2489)/T$11+INDEX(TDU_Info!$F$5:$F$110,$T2489))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MATCH(1,(TDU_Info!$C$5:$C$110=$T$6)*(TDU_Info!$B$5:$B$110&lt;=$B2490),0)</f>
        <v>83</v>
      </c>
      <c r="U2490" s="152">
        <f>100*(INDEX(TDU_Info!$E$5:$E$110,$T2490)/T$11+INDEX(TDU_Info!$F$5:$F$110,$T2490))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MATCH(1,(TDU_Info!$C$5:$C$110=$T$6)*(TDU_Info!$B$5:$B$110&lt;=$B2491),0)</f>
        <v>83</v>
      </c>
      <c r="U2491" s="152">
        <f>100*(INDEX(TDU_Info!$E$5:$E$110,$T2491)/T$11+INDEX(TDU_Info!$F$5:$F$110,$T2491))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MATCH(1,(TDU_Info!$C$5:$C$110=$T$6)*(TDU_Info!$B$5:$B$110&lt;=$B2492),0)</f>
        <v>83</v>
      </c>
      <c r="U2492" s="152">
        <f>100*(INDEX(TDU_Info!$E$5:$E$110,$T2492)/T$11+INDEX(TDU_Info!$F$5:$F$110,$T2492))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MATCH(1,(TDU_Info!$C$5:$C$110=$T$6)*(TDU_Info!$B$5:$B$110&lt;=$B2493),0)</f>
        <v>83</v>
      </c>
      <c r="U2493" s="152">
        <f>100*(INDEX(TDU_Info!$E$5:$E$110,$T2493)/T$11+INDEX(TDU_Info!$F$5:$F$110,$T2493))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MATCH(1,(TDU_Info!$C$5:$C$110=$T$6)*(TDU_Info!$B$5:$B$110&lt;=$B2494),0)</f>
        <v>83</v>
      </c>
      <c r="U2494" s="152">
        <f>100*(INDEX(TDU_Info!$E$5:$E$110,$T2494)/T$11+INDEX(TDU_Info!$F$5:$F$110,$T2494))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MATCH(1,(TDU_Info!$C$5:$C$110=$T$6)*(TDU_Info!$B$5:$B$110&lt;=$B2495),0)</f>
        <v>83</v>
      </c>
      <c r="U2495" s="152">
        <f>100*(INDEX(TDU_Info!$E$5:$E$110,$T2495)/T$11+INDEX(TDU_Info!$F$5:$F$110,$T2495))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MATCH(1,(TDU_Info!$C$5:$C$110=$T$6)*(TDU_Info!$B$5:$B$110&lt;=$B2496),0)</f>
        <v>83</v>
      </c>
      <c r="U2496" s="152">
        <f>100*(INDEX(TDU_Info!$E$5:$E$110,$T2496)/T$11+INDEX(TDU_Info!$F$5:$F$110,$T2496))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MATCH(1,(TDU_Info!$C$5:$C$110=$T$6)*(TDU_Info!$B$5:$B$110&lt;=$B2497),0)</f>
        <v>83</v>
      </c>
      <c r="U2497" s="152">
        <f>100*(INDEX(TDU_Info!$E$5:$E$110,$T2497)/T$11+INDEX(TDU_Info!$F$5:$F$110,$T2497))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MATCH(1,(TDU_Info!$C$5:$C$110=$T$6)*(TDU_Info!$B$5:$B$110&lt;=$B2498),0)</f>
        <v>83</v>
      </c>
      <c r="U2498" s="152">
        <f>100*(INDEX(TDU_Info!$E$5:$E$110,$T2498)/T$11+INDEX(TDU_Info!$F$5:$F$110,$T2498))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MATCH(1,(TDU_Info!$C$5:$C$110=$T$6)*(TDU_Info!$B$5:$B$110&lt;=$B2499),0)</f>
        <v>83</v>
      </c>
      <c r="U2499" s="152">
        <f>100*(INDEX(TDU_Info!$E$5:$E$110,$T2499)/T$11+INDEX(TDU_Info!$F$5:$F$110,$T2499))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MATCH(1,(TDU_Info!$C$5:$C$110=$T$6)*(TDU_Info!$B$5:$B$110&lt;=$B2500),0)</f>
        <v>83</v>
      </c>
      <c r="U2500" s="152">
        <f>100*(INDEX(TDU_Info!$E$5:$E$110,$T2500)/T$11+INDEX(TDU_Info!$F$5:$F$110,$T2500))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MATCH(1,(TDU_Info!$C$5:$C$110=$T$6)*(TDU_Info!$B$5:$B$110&lt;=$B2501),0)</f>
        <v>83</v>
      </c>
      <c r="U2501" s="152">
        <f>100*(INDEX(TDU_Info!$E$5:$E$110,$T2501)/T$11+INDEX(TDU_Info!$F$5:$F$110,$T2501))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MATCH(1,(TDU_Info!$C$5:$C$110=$T$6)*(TDU_Info!$B$5:$B$110&lt;=$B2502),0)</f>
        <v>83</v>
      </c>
      <c r="U2502" s="152">
        <f>100*(INDEX(TDU_Info!$E$5:$E$110,$T2502)/T$11+INDEX(TDU_Info!$F$5:$F$110,$T2502))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MATCH(1,(TDU_Info!$C$5:$C$110=$T$6)*(TDU_Info!$B$5:$B$110&lt;=$B2503),0)</f>
        <v>83</v>
      </c>
      <c r="U2503" s="152">
        <f>100*(INDEX(TDU_Info!$E$5:$E$110,$T2503)/T$11+INDEX(TDU_Info!$F$5:$F$110,$T2503))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MATCH(1,(TDU_Info!$C$5:$C$110=$T$6)*(TDU_Info!$B$5:$B$110&lt;=$B2504),0)</f>
        <v>83</v>
      </c>
      <c r="U2504" s="152">
        <f>100*(INDEX(TDU_Info!$E$5:$E$110,$T2504)/T$11+INDEX(TDU_Info!$F$5:$F$110,$T2504))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MATCH(1,(TDU_Info!$C$5:$C$110=$T$6)*(TDU_Info!$B$5:$B$110&lt;=$B2505),0)</f>
        <v>83</v>
      </c>
      <c r="U2505" s="152">
        <f>100*(INDEX(TDU_Info!$E$5:$E$110,$T2505)/T$11+INDEX(TDU_Info!$F$5:$F$110,$T2505))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MATCH(1,(TDU_Info!$C$5:$C$110=$T$6)*(TDU_Info!$B$5:$B$110&lt;=$B2506),0)</f>
        <v>83</v>
      </c>
      <c r="U2506" s="152">
        <f>100*(INDEX(TDU_Info!$E$5:$E$110,$T2506)/T$11+INDEX(TDU_Info!$F$5:$F$110,$T2506))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MATCH(1,(TDU_Info!$C$5:$C$110=$T$6)*(TDU_Info!$B$5:$B$110&lt;=$B2507),0)</f>
        <v>83</v>
      </c>
      <c r="U2507" s="152">
        <f>100*(INDEX(TDU_Info!$E$5:$E$110,$T2507)/T$11+INDEX(TDU_Info!$F$5:$F$110,$T2507))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MATCH(1,(TDU_Info!$C$5:$C$110=$T$6)*(TDU_Info!$B$5:$B$110&lt;=$B2508),0)</f>
        <v>83</v>
      </c>
      <c r="U2508" s="152">
        <f>100*(INDEX(TDU_Info!$E$5:$E$110,$T2508)/T$11+INDEX(TDU_Info!$F$5:$F$110,$T2508))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MATCH(1,(TDU_Info!$C$5:$C$110=$T$6)*(TDU_Info!$B$5:$B$110&lt;=$B2509),0)</f>
        <v>83</v>
      </c>
      <c r="U2509" s="152">
        <f>100*(INDEX(TDU_Info!$E$5:$E$110,$T2509)/T$11+INDEX(TDU_Info!$F$5:$F$110,$T2509))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MATCH(1,(TDU_Info!$C$5:$C$110=$T$6)*(TDU_Info!$B$5:$B$110&lt;=$B2510),0)</f>
        <v>83</v>
      </c>
      <c r="U2510" s="152">
        <f>100*(INDEX(TDU_Info!$E$5:$E$110,$T2510)/T$11+INDEX(TDU_Info!$F$5:$F$110,$T2510))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MATCH(1,(TDU_Info!$C$5:$C$110=$T$6)*(TDU_Info!$B$5:$B$110&lt;=$B2511),0)</f>
        <v>83</v>
      </c>
      <c r="U2511" s="152">
        <f>100*(INDEX(TDU_Info!$E$5:$E$110,$T2511)/T$11+INDEX(TDU_Info!$F$5:$F$110,$T2511))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MATCH(1,(TDU_Info!$C$5:$C$110=$T$6)*(TDU_Info!$B$5:$B$110&lt;=$B2512),0)</f>
        <v>83</v>
      </c>
      <c r="U2512" s="152">
        <f>100*(INDEX(TDU_Info!$E$5:$E$110,$T2512)/T$11+INDEX(TDU_Info!$F$5:$F$110,$T2512))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MATCH(1,(TDU_Info!$C$5:$C$110=$T$6)*(TDU_Info!$B$5:$B$110&lt;=$B2513),0)</f>
        <v>83</v>
      </c>
      <c r="U2513" s="152">
        <f>100*(INDEX(TDU_Info!$E$5:$E$110,$T2513)/T$11+INDEX(TDU_Info!$F$5:$F$110,$T2513))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MATCH(1,(TDU_Info!$C$5:$C$110=$T$6)*(TDU_Info!$B$5:$B$110&lt;=$B2514),0)</f>
        <v>83</v>
      </c>
      <c r="U2514" s="152">
        <f>100*(INDEX(TDU_Info!$E$5:$E$110,$T2514)/T$11+INDEX(TDU_Info!$F$5:$F$110,$T2514))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MATCH(1,(TDU_Info!$C$5:$C$110=$T$6)*(TDU_Info!$B$5:$B$110&lt;=$B2515),0)</f>
        <v>83</v>
      </c>
      <c r="U2515" s="152">
        <f>100*(INDEX(TDU_Info!$E$5:$E$110,$T2515)/T$11+INDEX(TDU_Info!$F$5:$F$110,$T2515))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MATCH(1,(TDU_Info!$C$5:$C$110=$T$6)*(TDU_Info!$B$5:$B$110&lt;=$B2516),0)</f>
        <v>83</v>
      </c>
      <c r="U2516" s="152">
        <f>100*(INDEX(TDU_Info!$E$5:$E$110,$T2516)/T$11+INDEX(TDU_Info!$F$5:$F$110,$T2516))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MATCH(1,(TDU_Info!$C$5:$C$110=$T$6)*(TDU_Info!$B$5:$B$110&lt;=$B2517),0)</f>
        <v>83</v>
      </c>
      <c r="U2517" s="152">
        <f>100*(INDEX(TDU_Info!$E$5:$E$110,$T2517)/T$11+INDEX(TDU_Info!$F$5:$F$110,$T2517))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MATCH(1,(TDU_Info!$C$5:$C$110=$T$6)*(TDU_Info!$B$5:$B$110&lt;=$B2518),0)</f>
        <v>83</v>
      </c>
      <c r="U2518" s="152">
        <f>100*(INDEX(TDU_Info!$E$5:$E$110,$T2518)/T$11+INDEX(TDU_Info!$F$5:$F$110,$T2518))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MATCH(1,(TDU_Info!$C$5:$C$110=$T$6)*(TDU_Info!$B$5:$B$110&lt;=$B2519),0)</f>
        <v>83</v>
      </c>
      <c r="U2519" s="152">
        <f>100*(INDEX(TDU_Info!$E$5:$E$110,$T2519)/T$11+INDEX(TDU_Info!$F$5:$F$110,$T2519))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MATCH(1,(TDU_Info!$C$5:$C$110=$T$6)*(TDU_Info!$B$5:$B$110&lt;=$B2520),0)</f>
        <v>83</v>
      </c>
      <c r="U2520" s="152">
        <f>100*(INDEX(TDU_Info!$E$5:$E$110,$T2520)/T$11+INDEX(TDU_Info!$F$5:$F$110,$T2520))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MATCH(1,(TDU_Info!$C$5:$C$110=$T$6)*(TDU_Info!$B$5:$B$110&lt;=$B2521),0)</f>
        <v>83</v>
      </c>
      <c r="U2521" s="152">
        <f>100*(INDEX(TDU_Info!$E$5:$E$110,$T2521)/T$11+INDEX(TDU_Info!$F$5:$F$110,$T2521))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MATCH(1,(TDU_Info!$C$5:$C$110=$T$6)*(TDU_Info!$B$5:$B$110&lt;=$B2522),0)</f>
        <v>83</v>
      </c>
      <c r="U2522" s="152">
        <f>100*(INDEX(TDU_Info!$E$5:$E$110,$T2522)/T$11+INDEX(TDU_Info!$F$5:$F$110,$T2522))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MATCH(1,(TDU_Info!$C$5:$C$110=$T$6)*(TDU_Info!$B$5:$B$110&lt;=$B2523),0)</f>
        <v>83</v>
      </c>
      <c r="U2523" s="152">
        <f>100*(INDEX(TDU_Info!$E$5:$E$110,$T2523)/T$11+INDEX(TDU_Info!$F$5:$F$110,$T2523))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MATCH(1,(TDU_Info!$C$5:$C$110=$T$6)*(TDU_Info!$B$5:$B$110&lt;=$B2524),0)</f>
        <v>83</v>
      </c>
      <c r="U2524" s="152">
        <f>100*(INDEX(TDU_Info!$E$5:$E$110,$T2524)/T$11+INDEX(TDU_Info!$F$5:$F$110,$T2524))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MATCH(1,(TDU_Info!$C$5:$C$110=$T$6)*(TDU_Info!$B$5:$B$110&lt;=$B2525),0)</f>
        <v>83</v>
      </c>
      <c r="U2525" s="152">
        <f>100*(INDEX(TDU_Info!$E$5:$E$110,$T2525)/T$11+INDEX(TDU_Info!$F$5:$F$110,$T2525))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MATCH(1,(TDU_Info!$C$5:$C$110=$T$6)*(TDU_Info!$B$5:$B$110&lt;=$B2526),0)</f>
        <v>83</v>
      </c>
      <c r="U2526" s="152">
        <f>100*(INDEX(TDU_Info!$E$5:$E$110,$T2526)/T$11+INDEX(TDU_Info!$F$5:$F$110,$T2526))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MATCH(1,(TDU_Info!$C$5:$C$110=$T$6)*(TDU_Info!$B$5:$B$110&lt;=$B2527),0)</f>
        <v>83</v>
      </c>
      <c r="U2527" s="152">
        <f>100*(INDEX(TDU_Info!$E$5:$E$110,$T2527)/T$11+INDEX(TDU_Info!$F$5:$F$110,$T2527))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MATCH(1,(TDU_Info!$C$5:$C$110=$T$6)*(TDU_Info!$B$5:$B$110&lt;=$B2528),0)</f>
        <v>83</v>
      </c>
      <c r="U2528" s="152">
        <f>100*(INDEX(TDU_Info!$E$5:$E$110,$T2528)/T$11+INDEX(TDU_Info!$F$5:$F$110,$T2528))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MATCH(1,(TDU_Info!$C$5:$C$110=$T$6)*(TDU_Info!$B$5:$B$110&lt;=$B2529),0)</f>
        <v>83</v>
      </c>
      <c r="U2529" s="152">
        <f>100*(INDEX(TDU_Info!$E$5:$E$110,$T2529)/T$11+INDEX(TDU_Info!$F$5:$F$110,$T2529))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MATCH(1,(TDU_Info!$C$5:$C$110=$T$6)*(TDU_Info!$B$5:$B$110&lt;=$B2530),0)</f>
        <v>83</v>
      </c>
      <c r="U2530" s="152">
        <f>100*(INDEX(TDU_Info!$E$5:$E$110,$T2530)/T$11+INDEX(TDU_Info!$F$5:$F$110,$T2530))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MATCH(1,(TDU_Info!$C$5:$C$110=$T$6)*(TDU_Info!$B$5:$B$110&lt;=$B2531),0)</f>
        <v>83</v>
      </c>
      <c r="U2531" s="152">
        <f>100*(INDEX(TDU_Info!$E$5:$E$110,$T2531)/T$11+INDEX(TDU_Info!$F$5:$F$110,$T2531))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MATCH(1,(TDU_Info!$C$5:$C$110=$T$6)*(TDU_Info!$B$5:$B$110&lt;=$B2532),0)</f>
        <v>83</v>
      </c>
      <c r="U2532" s="152">
        <f>100*(INDEX(TDU_Info!$E$5:$E$110,$T2532)/T$11+INDEX(TDU_Info!$F$5:$F$110,$T2532))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MATCH(1,(TDU_Info!$C$5:$C$110=$T$6)*(TDU_Info!$B$5:$B$110&lt;=$B2533),0)</f>
        <v>83</v>
      </c>
      <c r="U2533" s="152">
        <f>100*(INDEX(TDU_Info!$E$5:$E$110,$T2533)/T$11+INDEX(TDU_Info!$F$5:$F$110,$T2533))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MATCH(1,(TDU_Info!$C$5:$C$110=$T$6)*(TDU_Info!$B$5:$B$110&lt;=$B2534),0)</f>
        <v>83</v>
      </c>
      <c r="U2534" s="152">
        <f>100*(INDEX(TDU_Info!$E$5:$E$110,$T2534)/T$11+INDEX(TDU_Info!$F$5:$F$110,$T2534))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MATCH(1,(TDU_Info!$C$5:$C$110=$T$6)*(TDU_Info!$B$5:$B$110&lt;=$B2535),0)</f>
        <v>83</v>
      </c>
      <c r="U2535" s="152">
        <f>100*(INDEX(TDU_Info!$E$5:$E$110,$T2535)/T$11+INDEX(TDU_Info!$F$5:$F$110,$T2535))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MATCH(1,(TDU_Info!$C$5:$C$110=$T$6)*(TDU_Info!$B$5:$B$110&lt;=$B2536),0)</f>
        <v>83</v>
      </c>
      <c r="U2536" s="152">
        <f>100*(INDEX(TDU_Info!$E$5:$E$110,$T2536)/T$11+INDEX(TDU_Info!$F$5:$F$110,$T2536))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MATCH(1,(TDU_Info!$C$5:$C$110=$T$6)*(TDU_Info!$B$5:$B$110&lt;=$B2537),0)</f>
        <v>83</v>
      </c>
      <c r="U2537" s="152">
        <f>100*(INDEX(TDU_Info!$E$5:$E$110,$T2537)/T$11+INDEX(TDU_Info!$F$5:$F$110,$T2537))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MATCH(1,(TDU_Info!$C$5:$C$110=$T$6)*(TDU_Info!$B$5:$B$110&lt;=$B2538),0)</f>
        <v>83</v>
      </c>
      <c r="U2538" s="152">
        <f>100*(INDEX(TDU_Info!$E$5:$E$110,$T2538)/T$11+INDEX(TDU_Info!$F$5:$F$110,$T2538))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MATCH(1,(TDU_Info!$C$5:$C$110=$T$6)*(TDU_Info!$B$5:$B$110&lt;=$B2539),0)</f>
        <v>83</v>
      </c>
      <c r="U2539" s="152">
        <f>100*(INDEX(TDU_Info!$E$5:$E$110,$T2539)/T$11+INDEX(TDU_Info!$F$5:$F$110,$T2539))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MATCH(1,(TDU_Info!$C$5:$C$110=$T$6)*(TDU_Info!$B$5:$B$110&lt;=$B2540),0)</f>
        <v>83</v>
      </c>
      <c r="U2540" s="152">
        <f>100*(INDEX(TDU_Info!$E$5:$E$110,$T2540)/T$11+INDEX(TDU_Info!$F$5:$F$110,$T2540))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MATCH(1,(TDU_Info!$C$5:$C$110=$T$6)*(TDU_Info!$B$5:$B$110&lt;=$B2541),0)</f>
        <v>83</v>
      </c>
      <c r="U2541" s="152">
        <f>100*(INDEX(TDU_Info!$E$5:$E$110,$T2541)/T$11+INDEX(TDU_Info!$F$5:$F$110,$T2541))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MATCH(1,(TDU_Info!$C$5:$C$110=$T$6)*(TDU_Info!$B$5:$B$110&lt;=$B2542),0)</f>
        <v>83</v>
      </c>
      <c r="U2542" s="152">
        <f>100*(INDEX(TDU_Info!$E$5:$E$110,$T2542)/T$11+INDEX(TDU_Info!$F$5:$F$110,$T2542))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MATCH(1,(TDU_Info!$C$5:$C$110=$T$6)*(TDU_Info!$B$5:$B$110&lt;=$B2543),0)</f>
        <v>83</v>
      </c>
      <c r="U2543" s="152">
        <f>100*(INDEX(TDU_Info!$E$5:$E$110,$T2543)/T$11+INDEX(TDU_Info!$F$5:$F$110,$T2543))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MATCH(1,(TDU_Info!$C$5:$C$110=$T$6)*(TDU_Info!$B$5:$B$110&lt;=$B2544),0)</f>
        <v>83</v>
      </c>
      <c r="U2544" s="152">
        <f>100*(INDEX(TDU_Info!$E$5:$E$110,$T2544)/T$11+INDEX(TDU_Info!$F$5:$F$110,$T2544))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MATCH(1,(TDU_Info!$C$5:$C$110=$T$6)*(TDU_Info!$B$5:$B$110&lt;=$B2545),0)</f>
        <v>83</v>
      </c>
      <c r="U2545" s="152">
        <f>100*(INDEX(TDU_Info!$E$5:$E$110,$T2545)/T$11+INDEX(TDU_Info!$F$5:$F$110,$T2545))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MATCH(1,(TDU_Info!$C$5:$C$110=$T$6)*(TDU_Info!$B$5:$B$110&lt;=$B2546),0)</f>
        <v>83</v>
      </c>
      <c r="U2546" s="152">
        <f>100*(INDEX(TDU_Info!$E$5:$E$110,$T2546)/T$11+INDEX(TDU_Info!$F$5:$F$110,$T2546))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MATCH(1,(TDU_Info!$C$5:$C$110=$T$6)*(TDU_Info!$B$5:$B$110&lt;=$B2547),0)</f>
        <v>83</v>
      </c>
      <c r="U2547" s="152">
        <f>100*(INDEX(TDU_Info!$E$5:$E$110,$T2547)/T$11+INDEX(TDU_Info!$F$5:$F$110,$T2547))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MATCH(1,(TDU_Info!$C$5:$C$110=$T$6)*(TDU_Info!$B$5:$B$110&lt;=$B2548),0)</f>
        <v>83</v>
      </c>
      <c r="U2548" s="152">
        <f>100*(INDEX(TDU_Info!$E$5:$E$110,$T2548)/T$11+INDEX(TDU_Info!$F$5:$F$110,$T2548))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MATCH(1,(TDU_Info!$C$5:$C$110=$T$6)*(TDU_Info!$B$5:$B$110&lt;=$B2549),0)</f>
        <v>83</v>
      </c>
      <c r="U2549" s="152">
        <f>100*(INDEX(TDU_Info!$E$5:$E$110,$T2549)/T$11+INDEX(TDU_Info!$F$5:$F$110,$T2549))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MATCH(1,(TDU_Info!$C$5:$C$110=$T$6)*(TDU_Info!$B$5:$B$110&lt;=$B2550),0)</f>
        <v>83</v>
      </c>
      <c r="U2550" s="152">
        <f>100*(INDEX(TDU_Info!$E$5:$E$110,$T2550)/T$11+INDEX(TDU_Info!$F$5:$F$110,$T2550))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MATCH(1,(TDU_Info!$C$5:$C$110=$T$6)*(TDU_Info!$B$5:$B$110&lt;=$B2551),0)</f>
        <v>83</v>
      </c>
      <c r="U2551" s="152">
        <f>100*(INDEX(TDU_Info!$E$5:$E$110,$T2551)/T$11+INDEX(TDU_Info!$F$5:$F$110,$T2551))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MATCH(1,(TDU_Info!$C$5:$C$110=$T$6)*(TDU_Info!$B$5:$B$110&lt;=$B2552),0)</f>
        <v>83</v>
      </c>
      <c r="U2552" s="152">
        <f>100*(INDEX(TDU_Info!$E$5:$E$110,$T2552)/T$11+INDEX(TDU_Info!$F$5:$F$110,$T2552))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MATCH(1,(TDU_Info!$C$5:$C$110=$T$6)*(TDU_Info!$B$5:$B$110&lt;=$B2553),0)</f>
        <v>83</v>
      </c>
      <c r="U2553" s="152">
        <f>100*(INDEX(TDU_Info!$E$5:$E$110,$T2553)/T$11+INDEX(TDU_Info!$F$5:$F$110,$T2553))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MATCH(1,(TDU_Info!$C$5:$C$110=$T$6)*(TDU_Info!$B$5:$B$110&lt;=$B2554),0)</f>
        <v>83</v>
      </c>
      <c r="U2554" s="152">
        <f>100*(INDEX(TDU_Info!$E$5:$E$110,$T2554)/T$11+INDEX(TDU_Info!$F$5:$F$110,$T2554))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MATCH(1,(TDU_Info!$C$5:$C$110=$T$6)*(TDU_Info!$B$5:$B$110&lt;=$B2555),0)</f>
        <v>83</v>
      </c>
      <c r="U2555" s="152">
        <f>100*(INDEX(TDU_Info!$E$5:$E$110,$T2555)/T$11+INDEX(TDU_Info!$F$5:$F$110,$T2555))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MATCH(1,(TDU_Info!$C$5:$C$110=$T$6)*(TDU_Info!$B$5:$B$110&lt;=$B2556),0)</f>
        <v>83</v>
      </c>
      <c r="U2556" s="152">
        <f>100*(INDEX(TDU_Info!$E$5:$E$110,$T2556)/T$11+INDEX(TDU_Info!$F$5:$F$110,$T2556))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MATCH(1,(TDU_Info!$C$5:$C$110=$T$6)*(TDU_Info!$B$5:$B$110&lt;=$B2557),0)</f>
        <v>83</v>
      </c>
      <c r="U2557" s="152">
        <f>100*(INDEX(TDU_Info!$E$5:$E$110,$T2557)/T$11+INDEX(TDU_Info!$F$5:$F$110,$T2557))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MATCH(1,(TDU_Info!$C$5:$C$110=$T$6)*(TDU_Info!$B$5:$B$110&lt;=$B2558),0)</f>
        <v>83</v>
      </c>
      <c r="U2558" s="152">
        <f>100*(INDEX(TDU_Info!$E$5:$E$110,$T2558)/T$11+INDEX(TDU_Info!$F$5:$F$110,$T2558))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MATCH(1,(TDU_Info!$C$5:$C$110=$T$6)*(TDU_Info!$B$5:$B$110&lt;=$B2559),0)</f>
        <v>83</v>
      </c>
      <c r="U2559" s="152">
        <f>100*(INDEX(TDU_Info!$E$5:$E$110,$T2559)/T$11+INDEX(TDU_Info!$F$5:$F$110,$T2559))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MATCH(1,(TDU_Info!$C$5:$C$110=$T$6)*(TDU_Info!$B$5:$B$110&lt;=$B2560),0)</f>
        <v>83</v>
      </c>
      <c r="U2560" s="152">
        <f>100*(INDEX(TDU_Info!$E$5:$E$110,$T2560)/T$11+INDEX(TDU_Info!$F$5:$F$110,$T2560))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MATCH(1,(TDU_Info!$C$5:$C$110=$T$6)*(TDU_Info!$B$5:$B$110&lt;=$B2561),0)</f>
        <v>83</v>
      </c>
      <c r="U2561" s="152">
        <f>100*(INDEX(TDU_Info!$E$5:$E$110,$T2561)/T$11+INDEX(TDU_Info!$F$5:$F$110,$T2561))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MATCH(1,(TDU_Info!$C$5:$C$110=$T$6)*(TDU_Info!$B$5:$B$110&lt;=$B2562),0)</f>
        <v>83</v>
      </c>
      <c r="U2562" s="152">
        <f>100*(INDEX(TDU_Info!$E$5:$E$110,$T2562)/T$11+INDEX(TDU_Info!$F$5:$F$110,$T2562))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MATCH(1,(TDU_Info!$C$5:$C$110=$T$6)*(TDU_Info!$B$5:$B$110&lt;=$B2563),0)</f>
        <v>83</v>
      </c>
      <c r="U2563" s="152">
        <f>100*(INDEX(TDU_Info!$E$5:$E$110,$T2563)/T$11+INDEX(TDU_Info!$F$5:$F$110,$T2563))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MATCH(1,(TDU_Info!$C$5:$C$110=$T$6)*(TDU_Info!$B$5:$B$110&lt;=$B2564),0)</f>
        <v>83</v>
      </c>
      <c r="U2564" s="152">
        <f>100*(INDEX(TDU_Info!$E$5:$E$110,$T2564)/T$11+INDEX(TDU_Info!$F$5:$F$110,$T2564))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MATCH(1,(TDU_Info!$C$5:$C$110=$T$6)*(TDU_Info!$B$5:$B$110&lt;=$B2565),0)</f>
        <v>83</v>
      </c>
      <c r="U2565" s="152">
        <f>100*(INDEX(TDU_Info!$E$5:$E$110,$T2565)/T$11+INDEX(TDU_Info!$F$5:$F$110,$T2565))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MATCH(1,(TDU_Info!$C$5:$C$110=$T$6)*(TDU_Info!$B$5:$B$110&lt;=$B2566),0)</f>
        <v>83</v>
      </c>
      <c r="U2566" s="152">
        <f>100*(INDEX(TDU_Info!$E$5:$E$110,$T2566)/T$11+INDEX(TDU_Info!$F$5:$F$110,$T2566))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MATCH(1,(TDU_Info!$C$5:$C$110=$T$6)*(TDU_Info!$B$5:$B$110&lt;=$B2567),0)</f>
        <v>83</v>
      </c>
      <c r="U2567" s="152">
        <f>100*(INDEX(TDU_Info!$E$5:$E$110,$T2567)/T$11+INDEX(TDU_Info!$F$5:$F$110,$T2567))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MATCH(1,(TDU_Info!$C$5:$C$110=$T$6)*(TDU_Info!$B$5:$B$110&lt;=$B2568),0)</f>
        <v>83</v>
      </c>
      <c r="U2568" s="152">
        <f>100*(INDEX(TDU_Info!$E$5:$E$110,$T2568)/T$11+INDEX(TDU_Info!$F$5:$F$110,$T2568))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MATCH(1,(TDU_Info!$C$5:$C$110=$T$6)*(TDU_Info!$B$5:$B$110&lt;=$B2569),0)</f>
        <v>82</v>
      </c>
      <c r="U2569" s="152">
        <f>100*(INDEX(TDU_Info!$E$5:$E$110,$T2569)/T$11+INDEX(TDU_Info!$F$5:$F$110,$T2569))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MATCH(1,(TDU_Info!$C$5:$C$110=$T$6)*(TDU_Info!$B$5:$B$110&lt;=$B2570),0)</f>
        <v>82</v>
      </c>
      <c r="U2570" s="152">
        <f>100*(INDEX(TDU_Info!$E$5:$E$110,$T2570)/T$11+INDEX(TDU_Info!$F$5:$F$110,$T2570))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MATCH(1,(TDU_Info!$C$5:$C$110=$T$6)*(TDU_Info!$B$5:$B$110&lt;=$B2571),0)</f>
        <v>82</v>
      </c>
      <c r="U2571" s="152">
        <f>100*(INDEX(TDU_Info!$E$5:$E$110,$T2571)/T$11+INDEX(TDU_Info!$F$5:$F$110,$T2571))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MATCH(1,(TDU_Info!$C$5:$C$110=$T$6)*(TDU_Info!$B$5:$B$110&lt;=$B2572),0)</f>
        <v>82</v>
      </c>
      <c r="U2572" s="152">
        <f>100*(INDEX(TDU_Info!$E$5:$E$110,$T2572)/T$11+INDEX(TDU_Info!$F$5:$F$110,$T2572))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MATCH(1,(TDU_Info!$C$5:$C$110=$T$6)*(TDU_Info!$B$5:$B$110&lt;=$B2573),0)</f>
        <v>82</v>
      </c>
      <c r="U2573" s="152">
        <f>100*(INDEX(TDU_Info!$E$5:$E$110,$T2573)/T$11+INDEX(TDU_Info!$F$5:$F$110,$T2573))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MATCH(1,(TDU_Info!$C$5:$C$110=$T$6)*(TDU_Info!$B$5:$B$110&lt;=$B2574),0)</f>
        <v>82</v>
      </c>
      <c r="U2574" s="152">
        <f>100*(INDEX(TDU_Info!$E$5:$E$110,$T2574)/T$11+INDEX(TDU_Info!$F$5:$F$110,$T2574))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MATCH(1,(TDU_Info!$C$5:$C$110=$T$6)*(TDU_Info!$B$5:$B$110&lt;=$B2575),0)</f>
        <v>82</v>
      </c>
      <c r="U2575" s="152">
        <f>100*(INDEX(TDU_Info!$E$5:$E$110,$T2575)/T$11+INDEX(TDU_Info!$F$5:$F$110,$T2575))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MATCH(1,(TDU_Info!$C$5:$C$110=$T$6)*(TDU_Info!$B$5:$B$110&lt;=$B2576),0)</f>
        <v>82</v>
      </c>
      <c r="U2576" s="152">
        <f>100*(INDEX(TDU_Info!$E$5:$E$110,$T2576)/T$11+INDEX(TDU_Info!$F$5:$F$110,$T2576))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MATCH(1,(TDU_Info!$C$5:$C$110=$T$6)*(TDU_Info!$B$5:$B$110&lt;=$B2577),0)</f>
        <v>82</v>
      </c>
      <c r="U2577" s="152">
        <f>100*(INDEX(TDU_Info!$E$5:$E$110,$T2577)/T$11+INDEX(TDU_Info!$F$5:$F$110,$T2577))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MATCH(1,(TDU_Info!$C$5:$C$110=$T$6)*(TDU_Info!$B$5:$B$110&lt;=$B2578),0)</f>
        <v>82</v>
      </c>
      <c r="U2578" s="152">
        <f>100*(INDEX(TDU_Info!$E$5:$E$110,$T2578)/T$11+INDEX(TDU_Info!$F$5:$F$110,$T2578))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MATCH(1,(TDU_Info!$C$5:$C$110=$T$6)*(TDU_Info!$B$5:$B$110&lt;=$B2579),0)</f>
        <v>82</v>
      </c>
      <c r="U2579" s="152">
        <f>100*(INDEX(TDU_Info!$E$5:$E$110,$T2579)/T$11+INDEX(TDU_Info!$F$5:$F$110,$T2579))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MATCH(1,(TDU_Info!$C$5:$C$110=$T$6)*(TDU_Info!$B$5:$B$110&lt;=$B2580),0)</f>
        <v>82</v>
      </c>
      <c r="U2580" s="152">
        <f>100*(INDEX(TDU_Info!$E$5:$E$110,$T2580)/T$11+INDEX(TDU_Info!$F$5:$F$110,$T2580))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MATCH(1,(TDU_Info!$C$5:$C$110=$T$6)*(TDU_Info!$B$5:$B$110&lt;=$B2581),0)</f>
        <v>82</v>
      </c>
      <c r="U2581" s="152">
        <f>100*(INDEX(TDU_Info!$E$5:$E$110,$T2581)/T$11+INDEX(TDU_Info!$F$5:$F$110,$T2581))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MATCH(1,(TDU_Info!$C$5:$C$110=$T$6)*(TDU_Info!$B$5:$B$110&lt;=$B2582),0)</f>
        <v>82</v>
      </c>
      <c r="U2582" s="152">
        <f>100*(INDEX(TDU_Info!$E$5:$E$110,$T2582)/T$11+INDEX(TDU_Info!$F$5:$F$110,$T2582))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MATCH(1,(TDU_Info!$C$5:$C$110=$T$6)*(TDU_Info!$B$5:$B$110&lt;=$B2583),0)</f>
        <v>82</v>
      </c>
      <c r="U2583" s="152">
        <f>100*(INDEX(TDU_Info!$E$5:$E$110,$T2583)/T$11+INDEX(TDU_Info!$F$5:$F$110,$T2583))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MATCH(1,(TDU_Info!$C$5:$C$110=$T$6)*(TDU_Info!$B$5:$B$110&lt;=$B2584),0)</f>
        <v>82</v>
      </c>
      <c r="U2584" s="152">
        <f>100*(INDEX(TDU_Info!$E$5:$E$110,$T2584)/T$11+INDEX(TDU_Info!$F$5:$F$110,$T2584))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MATCH(1,(TDU_Info!$C$5:$C$110=$T$6)*(TDU_Info!$B$5:$B$110&lt;=$B2585),0)</f>
        <v>82</v>
      </c>
      <c r="U2585" s="152">
        <f>100*(INDEX(TDU_Info!$E$5:$E$110,$T2585)/T$11+INDEX(TDU_Info!$F$5:$F$110,$T2585))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MATCH(1,(TDU_Info!$C$5:$C$110=$T$6)*(TDU_Info!$B$5:$B$110&lt;=$B2586),0)</f>
        <v>82</v>
      </c>
      <c r="U2586" s="152">
        <f>100*(INDEX(TDU_Info!$E$5:$E$110,$T2586)/T$11+INDEX(TDU_Info!$F$5:$F$110,$T2586))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MATCH(1,(TDU_Info!$C$5:$C$110=$T$6)*(TDU_Info!$B$5:$B$110&lt;=$B2587),0)</f>
        <v>82</v>
      </c>
      <c r="U2587" s="152">
        <f>100*(INDEX(TDU_Info!$E$5:$E$110,$T2587)/T$11+INDEX(TDU_Info!$F$5:$F$110,$T2587))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MATCH(1,(TDU_Info!$C$5:$C$110=$T$6)*(TDU_Info!$B$5:$B$110&lt;=$B2588),0)</f>
        <v>82</v>
      </c>
      <c r="U2588" s="152">
        <f>100*(INDEX(TDU_Info!$E$5:$E$110,$T2588)/T$11+INDEX(TDU_Info!$F$5:$F$110,$T2588))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MATCH(1,(TDU_Info!$C$5:$C$110=$T$6)*(TDU_Info!$B$5:$B$110&lt;=$B2589),0)</f>
        <v>82</v>
      </c>
      <c r="U2589" s="152">
        <f>100*(INDEX(TDU_Info!$E$5:$E$110,$T2589)/T$11+INDEX(TDU_Info!$F$5:$F$110,$T2589))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MATCH(1,(TDU_Info!$C$5:$C$110=$T$6)*(TDU_Info!$B$5:$B$110&lt;=$B2590),0)</f>
        <v>82</v>
      </c>
      <c r="U2590" s="152">
        <f>100*(INDEX(TDU_Info!$E$5:$E$110,$T2590)/T$11+INDEX(TDU_Info!$F$5:$F$110,$T2590))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MATCH(1,(TDU_Info!$C$5:$C$110=$T$6)*(TDU_Info!$B$5:$B$110&lt;=$B2591),0)</f>
        <v>82</v>
      </c>
      <c r="U2591" s="152">
        <f>100*(INDEX(TDU_Info!$E$5:$E$110,$T2591)/T$11+INDEX(TDU_Info!$F$5:$F$110,$T2591))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MATCH(1,(TDU_Info!$C$5:$C$110=$T$6)*(TDU_Info!$B$5:$B$110&lt;=$B2592),0)</f>
        <v>82</v>
      </c>
      <c r="U2592" s="152">
        <f>100*(INDEX(TDU_Info!$E$5:$E$110,$T2592)/T$11+INDEX(TDU_Info!$F$5:$F$110,$T2592))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MATCH(1,(TDU_Info!$C$5:$C$110=$T$6)*(TDU_Info!$B$5:$B$110&lt;=$B2593),0)</f>
        <v>82</v>
      </c>
      <c r="U2593" s="152">
        <f>100*(INDEX(TDU_Info!$E$5:$E$110,$T2593)/T$11+INDEX(TDU_Info!$F$5:$F$110,$T2593))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MATCH(1,(TDU_Info!$C$5:$C$110=$T$6)*(TDU_Info!$B$5:$B$110&lt;=$B2594),0)</f>
        <v>82</v>
      </c>
      <c r="U2594" s="152">
        <f>100*(INDEX(TDU_Info!$E$5:$E$110,$T2594)/T$11+INDEX(TDU_Info!$F$5:$F$110,$T2594))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MATCH(1,(TDU_Info!$C$5:$C$110=$T$6)*(TDU_Info!$B$5:$B$110&lt;=$B2595),0)</f>
        <v>82</v>
      </c>
      <c r="U2595" s="152">
        <f>100*(INDEX(TDU_Info!$E$5:$E$110,$T2595)/T$11+INDEX(TDU_Info!$F$5:$F$110,$T2595))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MATCH(1,(TDU_Info!$C$5:$C$110=$T$6)*(TDU_Info!$B$5:$B$110&lt;=$B2596),0)</f>
        <v>82</v>
      </c>
      <c r="U2596" s="152">
        <f>100*(INDEX(TDU_Info!$E$5:$E$110,$T2596)/T$11+INDEX(TDU_Info!$F$5:$F$110,$T2596))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MATCH(1,(TDU_Info!$C$5:$C$110=$T$6)*(TDU_Info!$B$5:$B$110&lt;=$B2597),0)</f>
        <v>82</v>
      </c>
      <c r="U2597" s="152">
        <f>100*(INDEX(TDU_Info!$E$5:$E$110,$T2597)/T$11+INDEX(TDU_Info!$F$5:$F$110,$T2597))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MATCH(1,(TDU_Info!$C$5:$C$110=$T$6)*(TDU_Info!$B$5:$B$110&lt;=$B2598),0)</f>
        <v>82</v>
      </c>
      <c r="U2598" s="152">
        <f>100*(INDEX(TDU_Info!$E$5:$E$110,$T2598)/T$11+INDEX(TDU_Info!$F$5:$F$110,$T2598))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MATCH(1,(TDU_Info!$C$5:$C$110=$T$6)*(TDU_Info!$B$5:$B$110&lt;=$B2599),0)</f>
        <v>82</v>
      </c>
      <c r="U2599" s="152">
        <f>100*(INDEX(TDU_Info!$E$5:$E$110,$T2599)/T$11+INDEX(TDU_Info!$F$5:$F$110,$T2599))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MATCH(1,(TDU_Info!$C$5:$C$110=$T$6)*(TDU_Info!$B$5:$B$110&lt;=$B2600),0)</f>
        <v>82</v>
      </c>
      <c r="U2600" s="152">
        <f>100*(INDEX(TDU_Info!$E$5:$E$110,$T2600)/T$11+INDEX(TDU_Info!$F$5:$F$110,$T2600))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MATCH(1,(TDU_Info!$C$5:$C$110=$T$6)*(TDU_Info!$B$5:$B$110&lt;=$B2601),0)</f>
        <v>82</v>
      </c>
      <c r="U2601" s="152">
        <f>100*(INDEX(TDU_Info!$E$5:$E$110,$T2601)/T$11+INDEX(TDU_Info!$F$5:$F$110,$T2601))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MATCH(1,(TDU_Info!$C$5:$C$110=$T$6)*(TDU_Info!$B$5:$B$110&lt;=$B2602),0)</f>
        <v>82</v>
      </c>
      <c r="U2602" s="152">
        <f>100*(INDEX(TDU_Info!$E$5:$E$110,$T2602)/T$11+INDEX(TDU_Info!$F$5:$F$110,$T2602))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MATCH(1,(TDU_Info!$C$5:$C$110=$T$6)*(TDU_Info!$B$5:$B$110&lt;=$B2603),0)</f>
        <v>82</v>
      </c>
      <c r="U2603" s="152">
        <f>100*(INDEX(TDU_Info!$E$5:$E$110,$T2603)/T$11+INDEX(TDU_Info!$F$5:$F$110,$T2603))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MATCH(1,(TDU_Info!$C$5:$C$110=$T$6)*(TDU_Info!$B$5:$B$110&lt;=$B2604),0)</f>
        <v>82</v>
      </c>
      <c r="U2604" s="152">
        <f>100*(INDEX(TDU_Info!$E$5:$E$110,$T2604)/T$11+INDEX(TDU_Info!$F$5:$F$110,$T2604))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MATCH(1,(TDU_Info!$C$5:$C$110=$T$6)*(TDU_Info!$B$5:$B$110&lt;=$B2605),0)</f>
        <v>82</v>
      </c>
      <c r="U2605" s="152">
        <f>100*(INDEX(TDU_Info!$E$5:$E$110,$T2605)/T$11+INDEX(TDU_Info!$F$5:$F$110,$T2605))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MATCH(1,(TDU_Info!$C$5:$C$110=$T$6)*(TDU_Info!$B$5:$B$110&lt;=$B2606),0)</f>
        <v>82</v>
      </c>
      <c r="U2606" s="152">
        <f>100*(INDEX(TDU_Info!$E$5:$E$110,$T2606)/T$11+INDEX(TDU_Info!$F$5:$F$110,$T2606))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MATCH(1,(TDU_Info!$C$5:$C$110=$T$6)*(TDU_Info!$B$5:$B$110&lt;=$B2607),0)</f>
        <v>82</v>
      </c>
      <c r="U2607" s="152">
        <f>100*(INDEX(TDU_Info!$E$5:$E$110,$T2607)/T$11+INDEX(TDU_Info!$F$5:$F$110,$T2607))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MATCH(1,(TDU_Info!$C$5:$C$110=$T$6)*(TDU_Info!$B$5:$B$110&lt;=$B2608),0)</f>
        <v>82</v>
      </c>
      <c r="U2608" s="152">
        <f>100*(INDEX(TDU_Info!$E$5:$E$110,$T2608)/T$11+INDEX(TDU_Info!$F$5:$F$110,$T2608))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MATCH(1,(TDU_Info!$C$5:$C$110=$T$6)*(TDU_Info!$B$5:$B$110&lt;=$B2609),0)</f>
        <v>82</v>
      </c>
      <c r="U2609" s="152">
        <f>100*(INDEX(TDU_Info!$E$5:$E$110,$T2609)/T$11+INDEX(TDU_Info!$F$5:$F$110,$T2609))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MATCH(1,(TDU_Info!$C$5:$C$110=$T$6)*(TDU_Info!$B$5:$B$110&lt;=$B2610),0)</f>
        <v>82</v>
      </c>
      <c r="U2610" s="152">
        <f>100*(INDEX(TDU_Info!$E$5:$E$110,$T2610)/T$11+INDEX(TDU_Info!$F$5:$F$110,$T2610))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MATCH(1,(TDU_Info!$C$5:$C$110=$T$6)*(TDU_Info!$B$5:$B$110&lt;=$B2611),0)</f>
        <v>82</v>
      </c>
      <c r="U2611" s="152">
        <f>100*(INDEX(TDU_Info!$E$5:$E$110,$T2611)/T$11+INDEX(TDU_Info!$F$5:$F$110,$T2611))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MATCH(1,(TDU_Info!$C$5:$C$110=$T$6)*(TDU_Info!$B$5:$B$110&lt;=$B2612),0)</f>
        <v>82</v>
      </c>
      <c r="U2612" s="152">
        <f>100*(INDEX(TDU_Info!$E$5:$E$110,$T2612)/T$11+INDEX(TDU_Info!$F$5:$F$110,$T2612))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MATCH(1,(TDU_Info!$C$5:$C$110=$T$6)*(TDU_Info!$B$5:$B$110&lt;=$B2613),0)</f>
        <v>82</v>
      </c>
      <c r="U2613" s="152">
        <f>100*(INDEX(TDU_Info!$E$5:$E$110,$T2613)/T$11+INDEX(TDU_Info!$F$5:$F$110,$T2613))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MATCH(1,(TDU_Info!$C$5:$C$110=$T$6)*(TDU_Info!$B$5:$B$110&lt;=$B2614),0)</f>
        <v>82</v>
      </c>
      <c r="U2614" s="152">
        <f>100*(INDEX(TDU_Info!$E$5:$E$110,$T2614)/T$11+INDEX(TDU_Info!$F$5:$F$110,$T2614))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MATCH(1,(TDU_Info!$C$5:$C$110=$T$6)*(TDU_Info!$B$5:$B$110&lt;=$B2615),0)</f>
        <v>82</v>
      </c>
      <c r="U2615" s="152">
        <f>100*(INDEX(TDU_Info!$E$5:$E$110,$T2615)/T$11+INDEX(TDU_Info!$F$5:$F$110,$T2615))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MATCH(1,(TDU_Info!$C$5:$C$110=$T$6)*(TDU_Info!$B$5:$B$110&lt;=$B2616),0)</f>
        <v>82</v>
      </c>
      <c r="U2616" s="152">
        <f>100*(INDEX(TDU_Info!$E$5:$E$110,$T2616)/T$11+INDEX(TDU_Info!$F$5:$F$110,$T2616))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MATCH(1,(TDU_Info!$C$5:$C$110=$T$6)*(TDU_Info!$B$5:$B$110&lt;=$B2617),0)</f>
        <v>82</v>
      </c>
      <c r="U2617" s="152">
        <f>100*(INDEX(TDU_Info!$E$5:$E$110,$T2617)/T$11+INDEX(TDU_Info!$F$5:$F$110,$T2617))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MATCH(1,(TDU_Info!$C$5:$C$110=$T$6)*(TDU_Info!$B$5:$B$110&lt;=$B2618),0)</f>
        <v>82</v>
      </c>
      <c r="U2618" s="152">
        <f>100*(INDEX(TDU_Info!$E$5:$E$110,$T2618)/T$11+INDEX(TDU_Info!$F$5:$F$110,$T2618))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MATCH(1,(TDU_Info!$C$5:$C$110=$T$6)*(TDU_Info!$B$5:$B$110&lt;=$B2619),0)</f>
        <v>82</v>
      </c>
      <c r="U2619" s="152">
        <f>100*(INDEX(TDU_Info!$E$5:$E$110,$T2619)/T$11+INDEX(TDU_Info!$F$5:$F$110,$T2619))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MATCH(1,(TDU_Info!$C$5:$C$110=$T$6)*(TDU_Info!$B$5:$B$110&lt;=$B2620),0)</f>
        <v>82</v>
      </c>
      <c r="U2620" s="152">
        <f>100*(INDEX(TDU_Info!$E$5:$E$110,$T2620)/T$11+INDEX(TDU_Info!$F$5:$F$110,$T2620))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MATCH(1,(TDU_Info!$C$5:$C$110=$T$6)*(TDU_Info!$B$5:$B$110&lt;=$B2621),0)</f>
        <v>82</v>
      </c>
      <c r="U2621" s="152">
        <f>100*(INDEX(TDU_Info!$E$5:$E$110,$T2621)/T$11+INDEX(TDU_Info!$F$5:$F$110,$T2621))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MATCH(1,(TDU_Info!$C$5:$C$110=$T$6)*(TDU_Info!$B$5:$B$110&lt;=$B2622),0)</f>
        <v>82</v>
      </c>
      <c r="U2622" s="152">
        <f>100*(INDEX(TDU_Info!$E$5:$E$110,$T2622)/T$11+INDEX(TDU_Info!$F$5:$F$110,$T2622))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MATCH(1,(TDU_Info!$C$5:$C$110=$T$6)*(TDU_Info!$B$5:$B$110&lt;=$B2623),0)</f>
        <v>82</v>
      </c>
      <c r="U2623" s="152">
        <f>100*(INDEX(TDU_Info!$E$5:$E$110,$T2623)/T$11+INDEX(TDU_Info!$F$5:$F$110,$T2623))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MATCH(1,(TDU_Info!$C$5:$C$110=$T$6)*(TDU_Info!$B$5:$B$110&lt;=$B2624),0)</f>
        <v>82</v>
      </c>
      <c r="U2624" s="152">
        <f>100*(INDEX(TDU_Info!$E$5:$E$110,$T2624)/T$11+INDEX(TDU_Info!$F$5:$F$110,$T2624))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MATCH(1,(TDU_Info!$C$5:$C$110=$T$6)*(TDU_Info!$B$5:$B$110&lt;=$B2625),0)</f>
        <v>82</v>
      </c>
      <c r="U2625" s="152">
        <f>100*(INDEX(TDU_Info!$E$5:$E$110,$T2625)/T$11+INDEX(TDU_Info!$F$5:$F$110,$T2625))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MATCH(1,(TDU_Info!$C$5:$C$110=$T$6)*(TDU_Info!$B$5:$B$110&lt;=$B2626),0)</f>
        <v>82</v>
      </c>
      <c r="U2626" s="152">
        <f>100*(INDEX(TDU_Info!$E$5:$E$110,$T2626)/T$11+INDEX(TDU_Info!$F$5:$F$110,$T2626))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MATCH(1,(TDU_Info!$C$5:$C$110=$T$6)*(TDU_Info!$B$5:$B$110&lt;=$B2627),0)</f>
        <v>82</v>
      </c>
      <c r="U2627" s="152">
        <f>100*(INDEX(TDU_Info!$E$5:$E$110,$T2627)/T$11+INDEX(TDU_Info!$F$5:$F$110,$T2627))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MATCH(1,(TDU_Info!$C$5:$C$110=$T$6)*(TDU_Info!$B$5:$B$110&lt;=$B2628),0)</f>
        <v>82</v>
      </c>
      <c r="U2628" s="152">
        <f>100*(INDEX(TDU_Info!$E$5:$E$110,$T2628)/T$11+INDEX(TDU_Info!$F$5:$F$110,$T2628))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MATCH(1,(TDU_Info!$C$5:$C$110=$T$6)*(TDU_Info!$B$5:$B$110&lt;=$B2629),0)</f>
        <v>82</v>
      </c>
      <c r="U2629" s="152">
        <f>100*(INDEX(TDU_Info!$E$5:$E$110,$T2629)/T$11+INDEX(TDU_Info!$F$5:$F$110,$T2629))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MATCH(1,(TDU_Info!$C$5:$C$110=$T$6)*(TDU_Info!$B$5:$B$110&lt;=$B2630),0)</f>
        <v>82</v>
      </c>
      <c r="U2630" s="152">
        <f>100*(INDEX(TDU_Info!$E$5:$E$110,$T2630)/T$11+INDEX(TDU_Info!$F$5:$F$110,$T2630))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MATCH(1,(TDU_Info!$C$5:$C$110=$T$6)*(TDU_Info!$B$5:$B$110&lt;=$B2631),0)</f>
        <v>82</v>
      </c>
      <c r="U2631" s="152">
        <f>100*(INDEX(TDU_Info!$E$5:$E$110,$T2631)/T$11+INDEX(TDU_Info!$F$5:$F$110,$T2631))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MATCH(1,(TDU_Info!$C$5:$C$110=$T$6)*(TDU_Info!$B$5:$B$110&lt;=$B2632),0)</f>
        <v>82</v>
      </c>
      <c r="U2632" s="152">
        <f>100*(INDEX(TDU_Info!$E$5:$E$110,$T2632)/T$11+INDEX(TDU_Info!$F$5:$F$110,$T2632))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MATCH(1,(TDU_Info!$C$5:$C$110=$T$6)*(TDU_Info!$B$5:$B$110&lt;=$B2633),0)</f>
        <v>81</v>
      </c>
      <c r="U2633" s="152">
        <f>100*(INDEX(TDU_Info!$E$5:$E$110,$T2633)/T$11+INDEX(TDU_Info!$F$5:$F$110,$T2633))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MATCH(1,(TDU_Info!$C$5:$C$110=$T$6)*(TDU_Info!$B$5:$B$110&lt;=$B2634),0)</f>
        <v>81</v>
      </c>
      <c r="U2634" s="152">
        <f>100*(INDEX(TDU_Info!$E$5:$E$110,$T2634)/T$11+INDEX(TDU_Info!$F$5:$F$110,$T2634))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MATCH(1,(TDU_Info!$C$5:$C$110=$T$6)*(TDU_Info!$B$5:$B$110&lt;=$B2635),0)</f>
        <v>81</v>
      </c>
      <c r="U2635" s="152">
        <f>100*(INDEX(TDU_Info!$E$5:$E$110,$T2635)/T$11+INDEX(TDU_Info!$F$5:$F$110,$T2635))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MATCH(1,(TDU_Info!$C$5:$C$110=$T$6)*(TDU_Info!$B$5:$B$110&lt;=$B2636),0)</f>
        <v>81</v>
      </c>
      <c r="U2636" s="152">
        <f>100*(INDEX(TDU_Info!$E$5:$E$110,$T2636)/T$11+INDEX(TDU_Info!$F$5:$F$110,$T2636))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MATCH(1,(TDU_Info!$C$5:$C$110=$T$6)*(TDU_Info!$B$5:$B$110&lt;=$B2637),0)</f>
        <v>81</v>
      </c>
      <c r="U2637" s="152">
        <f>100*(INDEX(TDU_Info!$E$5:$E$110,$T2637)/T$11+INDEX(TDU_Info!$F$5:$F$110,$T2637))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MATCH(1,(TDU_Info!$C$5:$C$110=$T$6)*(TDU_Info!$B$5:$B$110&lt;=$B2638),0)</f>
        <v>81</v>
      </c>
      <c r="U2638" s="152">
        <f>100*(INDEX(TDU_Info!$E$5:$E$110,$T2638)/T$11+INDEX(TDU_Info!$F$5:$F$110,$T2638))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MATCH(1,(TDU_Info!$C$5:$C$110=$T$6)*(TDU_Info!$B$5:$B$110&lt;=$B2639),0)</f>
        <v>81</v>
      </c>
      <c r="U2639" s="152">
        <f>100*(INDEX(TDU_Info!$E$5:$E$110,$T2639)/T$11+INDEX(TDU_Info!$F$5:$F$110,$T2639))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MATCH(1,(TDU_Info!$C$5:$C$110=$T$6)*(TDU_Info!$B$5:$B$110&lt;=$B2640),0)</f>
        <v>81</v>
      </c>
      <c r="U2640" s="152">
        <f>100*(INDEX(TDU_Info!$E$5:$E$110,$T2640)/T$11+INDEX(TDU_Info!$F$5:$F$110,$T2640))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MATCH(1,(TDU_Info!$C$5:$C$110=$T$6)*(TDU_Info!$B$5:$B$110&lt;=$B2641),0)</f>
        <v>81</v>
      </c>
      <c r="U2641" s="152">
        <f>100*(INDEX(TDU_Info!$E$5:$E$110,$T2641)/T$11+INDEX(TDU_Info!$F$5:$F$110,$T2641))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MATCH(1,(TDU_Info!$C$5:$C$110=$T$6)*(TDU_Info!$B$5:$B$110&lt;=$B2642),0)</f>
        <v>81</v>
      </c>
      <c r="U2642" s="152">
        <f>100*(INDEX(TDU_Info!$E$5:$E$110,$T2642)/T$11+INDEX(TDU_Info!$F$5:$F$110,$T2642))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MATCH(1,(TDU_Info!$C$5:$C$110=$T$6)*(TDU_Info!$B$5:$B$110&lt;=$B2643),0)</f>
        <v>81</v>
      </c>
      <c r="U2643" s="152">
        <f>100*(INDEX(TDU_Info!$E$5:$E$110,$T2643)/T$11+INDEX(TDU_Info!$F$5:$F$110,$T2643))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MATCH(1,(TDU_Info!$C$5:$C$110=$T$6)*(TDU_Info!$B$5:$B$110&lt;=$B2644),0)</f>
        <v>81</v>
      </c>
      <c r="U2644" s="152">
        <f>100*(INDEX(TDU_Info!$E$5:$E$110,$T2644)/T$11+INDEX(TDU_Info!$F$5:$F$110,$T2644))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MATCH(1,(TDU_Info!$C$5:$C$110=$T$6)*(TDU_Info!$B$5:$B$110&lt;=$B2645),0)</f>
        <v>81</v>
      </c>
      <c r="U2645" s="152">
        <f>100*(INDEX(TDU_Info!$E$5:$E$110,$T2645)/T$11+INDEX(TDU_Info!$F$5:$F$110,$T2645))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MATCH(1,(TDU_Info!$C$5:$C$110=$T$6)*(TDU_Info!$B$5:$B$110&lt;=$B2646),0)</f>
        <v>81</v>
      </c>
      <c r="U2646" s="152">
        <f>100*(INDEX(TDU_Info!$E$5:$E$110,$T2646)/T$11+INDEX(TDU_Info!$F$5:$F$110,$T2646))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MATCH(1,(TDU_Info!$C$5:$C$110=$T$6)*(TDU_Info!$B$5:$B$110&lt;=$B2647),0)</f>
        <v>81</v>
      </c>
      <c r="U2647" s="152">
        <f>100*(INDEX(TDU_Info!$E$5:$E$110,$T2647)/T$11+INDEX(TDU_Info!$F$5:$F$110,$T2647))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MATCH(1,(TDU_Info!$C$5:$C$110=$T$6)*(TDU_Info!$B$5:$B$110&lt;=$B2648),0)</f>
        <v>81</v>
      </c>
      <c r="U2648" s="152">
        <f>100*(INDEX(TDU_Info!$E$5:$E$110,$T2648)/T$11+INDEX(TDU_Info!$F$5:$F$110,$T2648))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MATCH(1,(TDU_Info!$C$5:$C$110=$T$6)*(TDU_Info!$B$5:$B$110&lt;=$B2649),0)</f>
        <v>81</v>
      </c>
      <c r="U2649" s="152">
        <f>100*(INDEX(TDU_Info!$E$5:$E$110,$T2649)/T$11+INDEX(TDU_Info!$F$5:$F$110,$T2649))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MATCH(1,(TDU_Info!$C$5:$C$110=$T$6)*(TDU_Info!$B$5:$B$110&lt;=$B2650),0)</f>
        <v>81</v>
      </c>
      <c r="U2650" s="152">
        <f>100*(INDEX(TDU_Info!$E$5:$E$110,$T2650)/T$11+INDEX(TDU_Info!$F$5:$F$110,$T2650))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MATCH(1,(TDU_Info!$C$5:$C$110=$T$6)*(TDU_Info!$B$5:$B$110&lt;=$B2651),0)</f>
        <v>81</v>
      </c>
      <c r="U2651" s="152">
        <f>100*(INDEX(TDU_Info!$E$5:$E$110,$T2651)/T$11+INDEX(TDU_Info!$F$5:$F$110,$T2651))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MATCH(1,(TDU_Info!$C$5:$C$110=$T$6)*(TDU_Info!$B$5:$B$110&lt;=$B2652),0)</f>
        <v>81</v>
      </c>
      <c r="U2652" s="152">
        <f>100*(INDEX(TDU_Info!$E$5:$E$110,$T2652)/T$11+INDEX(TDU_Info!$F$5:$F$110,$T2652))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MATCH(1,(TDU_Info!$C$5:$C$110=$T$6)*(TDU_Info!$B$5:$B$110&lt;=$B2653),0)</f>
        <v>81</v>
      </c>
      <c r="U2653" s="152">
        <f>100*(INDEX(TDU_Info!$E$5:$E$110,$T2653)/T$11+INDEX(TDU_Info!$F$5:$F$110,$T2653))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MATCH(1,(TDU_Info!$C$5:$C$110=$T$6)*(TDU_Info!$B$5:$B$110&lt;=$B2654),0)</f>
        <v>81</v>
      </c>
      <c r="U2654" s="152">
        <f>100*(INDEX(TDU_Info!$E$5:$E$110,$T2654)/T$11+INDEX(TDU_Info!$F$5:$F$110,$T2654))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MATCH(1,(TDU_Info!$C$5:$C$110=$T$6)*(TDU_Info!$B$5:$B$110&lt;=$B2655),0)</f>
        <v>81</v>
      </c>
      <c r="U2655" s="152">
        <f>100*(INDEX(TDU_Info!$E$5:$E$110,$T2655)/T$11+INDEX(TDU_Info!$F$5:$F$110,$T2655))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MATCH(1,(TDU_Info!$C$5:$C$110=$T$6)*(TDU_Info!$B$5:$B$110&lt;=$B2656),0)</f>
        <v>81</v>
      </c>
      <c r="U2656" s="152">
        <f>100*(INDEX(TDU_Info!$E$5:$E$110,$T2656)/T$11+INDEX(TDU_Info!$F$5:$F$110,$T2656))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MATCH(1,(TDU_Info!$C$5:$C$110=$T$6)*(TDU_Info!$B$5:$B$110&lt;=$B2657),0)</f>
        <v>81</v>
      </c>
      <c r="U2657" s="152">
        <f>100*(INDEX(TDU_Info!$E$5:$E$110,$T2657)/T$11+INDEX(TDU_Info!$F$5:$F$110,$T2657))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MATCH(1,(TDU_Info!$C$5:$C$110=$T$6)*(TDU_Info!$B$5:$B$110&lt;=$B2658),0)</f>
        <v>81</v>
      </c>
      <c r="U2658" s="152">
        <f>100*(INDEX(TDU_Info!$E$5:$E$110,$T2658)/T$11+INDEX(TDU_Info!$F$5:$F$110,$T2658))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MATCH(1,(TDU_Info!$C$5:$C$110=$T$6)*(TDU_Info!$B$5:$B$110&lt;=$B2659),0)</f>
        <v>81</v>
      </c>
      <c r="U2659" s="152">
        <f>100*(INDEX(TDU_Info!$E$5:$E$110,$T2659)/T$11+INDEX(TDU_Info!$F$5:$F$110,$T2659))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MATCH(1,(TDU_Info!$C$5:$C$110=$T$6)*(TDU_Info!$B$5:$B$110&lt;=$B2660),0)</f>
        <v>81</v>
      </c>
      <c r="U2660" s="152">
        <f>100*(INDEX(TDU_Info!$E$5:$E$110,$T2660)/T$11+INDEX(TDU_Info!$F$5:$F$110,$T2660))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MATCH(1,(TDU_Info!$C$5:$C$110=$T$6)*(TDU_Info!$B$5:$B$110&lt;=$B2661),0)</f>
        <v>81</v>
      </c>
      <c r="U2661" s="152">
        <f>100*(INDEX(TDU_Info!$E$5:$E$110,$T2661)/T$11+INDEX(TDU_Info!$F$5:$F$110,$T2661))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MATCH(1,(TDU_Info!$C$5:$C$110=$T$6)*(TDU_Info!$B$5:$B$110&lt;=$B2662),0)</f>
        <v>81</v>
      </c>
      <c r="U2662" s="152">
        <f>100*(INDEX(TDU_Info!$E$5:$E$110,$T2662)/T$11+INDEX(TDU_Info!$F$5:$F$110,$T2662))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MATCH(1,(TDU_Info!$C$5:$C$110=$T$6)*(TDU_Info!$B$5:$B$110&lt;=$B2663),0)</f>
        <v>81</v>
      </c>
      <c r="U2663" s="152">
        <f>100*(INDEX(TDU_Info!$E$5:$E$110,$T2663)/T$11+INDEX(TDU_Info!$F$5:$F$110,$T2663))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MATCH(1,(TDU_Info!$C$5:$C$110=$T$6)*(TDU_Info!$B$5:$B$110&lt;=$B2664),0)</f>
        <v>81</v>
      </c>
      <c r="U2664" s="152">
        <f>100*(INDEX(TDU_Info!$E$5:$E$110,$T2664)/T$11+INDEX(TDU_Info!$F$5:$F$110,$T2664))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MATCH(1,(TDU_Info!$C$5:$C$110=$T$6)*(TDU_Info!$B$5:$B$110&lt;=$B2665),0)</f>
        <v>81</v>
      </c>
      <c r="U2665" s="152">
        <f>100*(INDEX(TDU_Info!$E$5:$E$110,$T2665)/T$11+INDEX(TDU_Info!$F$5:$F$110,$T2665))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MATCH(1,(TDU_Info!$C$5:$C$110=$T$6)*(TDU_Info!$B$5:$B$110&lt;=$B2666),0)</f>
        <v>81</v>
      </c>
      <c r="U2666" s="152">
        <f>100*(INDEX(TDU_Info!$E$5:$E$110,$T2666)/T$11+INDEX(TDU_Info!$F$5:$F$110,$T2666))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MATCH(1,(TDU_Info!$C$5:$C$110=$T$6)*(TDU_Info!$B$5:$B$110&lt;=$B2667),0)</f>
        <v>81</v>
      </c>
      <c r="U2667" s="152">
        <f>100*(INDEX(TDU_Info!$E$5:$E$110,$T2667)/T$11+INDEX(TDU_Info!$F$5:$F$110,$T2667))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MATCH(1,(TDU_Info!$C$5:$C$110=$T$6)*(TDU_Info!$B$5:$B$110&lt;=$B2668),0)</f>
        <v>81</v>
      </c>
      <c r="U2668" s="152">
        <f>100*(INDEX(TDU_Info!$E$5:$E$110,$T2668)/T$11+INDEX(TDU_Info!$F$5:$F$110,$T2668))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MATCH(1,(TDU_Info!$C$5:$C$110=$T$6)*(TDU_Info!$B$5:$B$110&lt;=$B2669),0)</f>
        <v>81</v>
      </c>
      <c r="U2669" s="152">
        <f>100*(INDEX(TDU_Info!$E$5:$E$110,$T2669)/T$11+INDEX(TDU_Info!$F$5:$F$110,$T2669))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MATCH(1,(TDU_Info!$C$5:$C$110=$T$6)*(TDU_Info!$B$5:$B$110&lt;=$B2670),0)</f>
        <v>81</v>
      </c>
      <c r="U2670" s="152">
        <f>100*(INDEX(TDU_Info!$E$5:$E$110,$T2670)/T$11+INDEX(TDU_Info!$F$5:$F$110,$T2670))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MATCH(1,(TDU_Info!$C$5:$C$110=$T$6)*(TDU_Info!$B$5:$B$110&lt;=$B2671),0)</f>
        <v>81</v>
      </c>
      <c r="U2671" s="152">
        <f>100*(INDEX(TDU_Info!$E$5:$E$110,$T2671)/T$11+INDEX(TDU_Info!$F$5:$F$110,$T2671))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MATCH(1,(TDU_Info!$C$5:$C$110=$T$6)*(TDU_Info!$B$5:$B$110&lt;=$B2672),0)</f>
        <v>81</v>
      </c>
      <c r="U2672" s="152">
        <f>100*(INDEX(TDU_Info!$E$5:$E$110,$T2672)/T$11+INDEX(TDU_Info!$F$5:$F$110,$T2672))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MATCH(1,(TDU_Info!$C$5:$C$110=$T$6)*(TDU_Info!$B$5:$B$110&lt;=$B2673),0)</f>
        <v>81</v>
      </c>
      <c r="U2673" s="152">
        <f>100*(INDEX(TDU_Info!$E$5:$E$110,$T2673)/T$11+INDEX(TDU_Info!$F$5:$F$110,$T2673))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MATCH(1,(TDU_Info!$C$5:$C$110=$T$6)*(TDU_Info!$B$5:$B$110&lt;=$B2674),0)</f>
        <v>81</v>
      </c>
      <c r="U2674" s="152">
        <f>100*(INDEX(TDU_Info!$E$5:$E$110,$T2674)/T$11+INDEX(TDU_Info!$F$5:$F$110,$T2674))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MATCH(1,(TDU_Info!$C$5:$C$110=$T$6)*(TDU_Info!$B$5:$B$110&lt;=$B2675),0)</f>
        <v>81</v>
      </c>
      <c r="U2675" s="152">
        <f>100*(INDEX(TDU_Info!$E$5:$E$110,$T2675)/T$11+INDEX(TDU_Info!$F$5:$F$110,$T2675))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MATCH(1,(TDU_Info!$C$5:$C$110=$T$6)*(TDU_Info!$B$5:$B$110&lt;=$B2676),0)</f>
        <v>81</v>
      </c>
      <c r="U2676" s="152">
        <f>100*(INDEX(TDU_Info!$E$5:$E$110,$T2676)/T$11+INDEX(TDU_Info!$F$5:$F$110,$T2676))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MATCH(1,(TDU_Info!$C$5:$C$110=$T$6)*(TDU_Info!$B$5:$B$110&lt;=$B2677),0)</f>
        <v>81</v>
      </c>
      <c r="U2677" s="152">
        <f>100*(INDEX(TDU_Info!$E$5:$E$110,$T2677)/T$11+INDEX(TDU_Info!$F$5:$F$110,$T2677))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MATCH(1,(TDU_Info!$C$5:$C$110=$T$6)*(TDU_Info!$B$5:$B$110&lt;=$B2678),0)</f>
        <v>81</v>
      </c>
      <c r="U2678" s="152">
        <f>100*(INDEX(TDU_Info!$E$5:$E$110,$T2678)/T$11+INDEX(TDU_Info!$F$5:$F$110,$T2678))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MATCH(1,(TDU_Info!$C$5:$C$110=$T$6)*(TDU_Info!$B$5:$B$110&lt;=$B2679),0)</f>
        <v>81</v>
      </c>
      <c r="U2679" s="152">
        <f>100*(INDEX(TDU_Info!$E$5:$E$110,$T2679)/T$11+INDEX(TDU_Info!$F$5:$F$110,$T2679))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MATCH(1,(TDU_Info!$C$5:$C$110=$T$6)*(TDU_Info!$B$5:$B$110&lt;=$B2680),0)</f>
        <v>81</v>
      </c>
      <c r="U2680" s="152">
        <f>100*(INDEX(TDU_Info!$E$5:$E$110,$T2680)/T$11+INDEX(TDU_Info!$F$5:$F$110,$T2680))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MATCH(1,(TDU_Info!$C$5:$C$110=$T$6)*(TDU_Info!$B$5:$B$110&lt;=$B2681),0)</f>
        <v>81</v>
      </c>
      <c r="U2681" s="152">
        <f>100*(INDEX(TDU_Info!$E$5:$E$110,$T2681)/T$11+INDEX(TDU_Info!$F$5:$F$110,$T2681))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MATCH(1,(TDU_Info!$C$5:$C$110=$T$6)*(TDU_Info!$B$5:$B$110&lt;=$B2682),0)</f>
        <v>81</v>
      </c>
      <c r="U2682" s="152">
        <f>100*(INDEX(TDU_Info!$E$5:$E$110,$T2682)/T$11+INDEX(TDU_Info!$F$5:$F$110,$T2682))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MATCH(1,(TDU_Info!$C$5:$C$110=$T$6)*(TDU_Info!$B$5:$B$110&lt;=$B2683),0)</f>
        <v>81</v>
      </c>
      <c r="U2683" s="152">
        <f>100*(INDEX(TDU_Info!$E$5:$E$110,$T2683)/T$11+INDEX(TDU_Info!$F$5:$F$110,$T2683))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MATCH(1,(TDU_Info!$C$5:$C$110=$T$6)*(TDU_Info!$B$5:$B$110&lt;=$B2684),0)</f>
        <v>81</v>
      </c>
      <c r="U2684" s="152">
        <f>100*(INDEX(TDU_Info!$E$5:$E$110,$T2684)/T$11+INDEX(TDU_Info!$F$5:$F$110,$T2684))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MATCH(1,(TDU_Info!$C$5:$C$110=$T$6)*(TDU_Info!$B$5:$B$110&lt;=$B2685),0)</f>
        <v>81</v>
      </c>
      <c r="U2685" s="152">
        <f>100*(INDEX(TDU_Info!$E$5:$E$110,$T2685)/T$11+INDEX(TDU_Info!$F$5:$F$110,$T2685))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MATCH(1,(TDU_Info!$C$5:$C$110=$T$6)*(TDU_Info!$B$5:$B$110&lt;=$B2686),0)</f>
        <v>81</v>
      </c>
      <c r="U2686" s="152">
        <f>100*(INDEX(TDU_Info!$E$5:$E$110,$T2686)/T$11+INDEX(TDU_Info!$F$5:$F$110,$T2686))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MATCH(1,(TDU_Info!$C$5:$C$110=$T$6)*(TDU_Info!$B$5:$B$110&lt;=$B2687),0)</f>
        <v>81</v>
      </c>
      <c r="U2687" s="152">
        <f>100*(INDEX(TDU_Info!$E$5:$E$110,$T2687)/T$11+INDEX(TDU_Info!$F$5:$F$110,$T2687))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MATCH(1,(TDU_Info!$C$5:$C$110=$T$6)*(TDU_Info!$B$5:$B$110&lt;=$B2688),0)</f>
        <v>81</v>
      </c>
      <c r="U2688" s="152">
        <f>100*(INDEX(TDU_Info!$E$5:$E$110,$T2688)/T$11+INDEX(TDU_Info!$F$5:$F$110,$T2688))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MATCH(1,(TDU_Info!$C$5:$C$110=$T$6)*(TDU_Info!$B$5:$B$110&lt;=$B2689),0)</f>
        <v>81</v>
      </c>
      <c r="U2689" s="152">
        <f>100*(INDEX(TDU_Info!$E$5:$E$110,$T2689)/T$11+INDEX(TDU_Info!$F$5:$F$110,$T2689))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MATCH(1,(TDU_Info!$C$5:$C$110=$T$6)*(TDU_Info!$B$5:$B$110&lt;=$B2690),0)</f>
        <v>81</v>
      </c>
      <c r="U2690" s="152">
        <f>100*(INDEX(TDU_Info!$E$5:$E$110,$T2690)/T$11+INDEX(TDU_Info!$F$5:$F$110,$T2690))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MATCH(1,(TDU_Info!$C$5:$C$110=$T$6)*(TDU_Info!$B$5:$B$110&lt;=$B2691),0)</f>
        <v>81</v>
      </c>
      <c r="U2691" s="152">
        <f>100*(INDEX(TDU_Info!$E$5:$E$110,$T2691)/T$11+INDEX(TDU_Info!$F$5:$F$110,$T2691))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MATCH(1,(TDU_Info!$C$5:$C$110=$T$6)*(TDU_Info!$B$5:$B$110&lt;=$B2692),0)</f>
        <v>81</v>
      </c>
      <c r="U2692" s="152">
        <f>100*(INDEX(TDU_Info!$E$5:$E$110,$T2692)/T$11+INDEX(TDU_Info!$F$5:$F$110,$T2692))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MATCH(1,(TDU_Info!$C$5:$C$110=$T$6)*(TDU_Info!$B$5:$B$110&lt;=$B2693),0)</f>
        <v>81</v>
      </c>
      <c r="U2693" s="152">
        <f>100*(INDEX(TDU_Info!$E$5:$E$110,$T2693)/T$11+INDEX(TDU_Info!$F$5:$F$110,$T2693))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MATCH(1,(TDU_Info!$C$5:$C$110=$T$6)*(TDU_Info!$B$5:$B$110&lt;=$B2694),0)</f>
        <v>81</v>
      </c>
      <c r="U2694" s="152">
        <f>100*(INDEX(TDU_Info!$E$5:$E$110,$T2694)/T$11+INDEX(TDU_Info!$F$5:$F$110,$T2694))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MATCH(1,(TDU_Info!$C$5:$C$110=$T$6)*(TDU_Info!$B$5:$B$110&lt;=$B2695),0)</f>
        <v>81</v>
      </c>
      <c r="U2695" s="152">
        <f>100*(INDEX(TDU_Info!$E$5:$E$110,$T2695)/T$11+INDEX(TDU_Info!$F$5:$F$110,$T2695))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MATCH(1,(TDU_Info!$C$5:$C$110=$T$6)*(TDU_Info!$B$5:$B$110&lt;=$B2696),0)</f>
        <v>81</v>
      </c>
      <c r="U2696" s="152">
        <f>100*(INDEX(TDU_Info!$E$5:$E$110,$T2696)/T$11+INDEX(TDU_Info!$F$5:$F$110,$T2696))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MATCH(1,(TDU_Info!$C$5:$C$110=$T$6)*(TDU_Info!$B$5:$B$110&lt;=$B2697),0)</f>
        <v>81</v>
      </c>
      <c r="U2697" s="152">
        <f>100*(INDEX(TDU_Info!$E$5:$E$110,$T2697)/T$11+INDEX(TDU_Info!$F$5:$F$110,$T2697))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MATCH(1,(TDU_Info!$C$5:$C$110=$T$6)*(TDU_Info!$B$5:$B$110&lt;=$B2698),0)</f>
        <v>81</v>
      </c>
      <c r="U2698" s="152">
        <f>100*(INDEX(TDU_Info!$E$5:$E$110,$T2698)/T$11+INDEX(TDU_Info!$F$5:$F$110,$T2698))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MATCH(1,(TDU_Info!$C$5:$C$110=$T$6)*(TDU_Info!$B$5:$B$110&lt;=$B2699),0)</f>
        <v>81</v>
      </c>
      <c r="U2699" s="152">
        <f>100*(INDEX(TDU_Info!$E$5:$E$110,$T2699)/T$11+INDEX(TDU_Info!$F$5:$F$110,$T2699))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MATCH(1,(TDU_Info!$C$5:$C$110=$T$6)*(TDU_Info!$B$5:$B$110&lt;=$B2700),0)</f>
        <v>81</v>
      </c>
      <c r="U2700" s="152">
        <f>100*(INDEX(TDU_Info!$E$5:$E$110,$T2700)/T$11+INDEX(TDU_Info!$F$5:$F$110,$T2700))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MATCH(1,(TDU_Info!$C$5:$C$110=$T$6)*(TDU_Info!$B$5:$B$110&lt;=$B2701),0)</f>
        <v>81</v>
      </c>
      <c r="U2701" s="152">
        <f>100*(INDEX(TDU_Info!$E$5:$E$110,$T2701)/T$11+INDEX(TDU_Info!$F$5:$F$110,$T2701))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MATCH(1,(TDU_Info!$C$5:$C$110=$T$6)*(TDU_Info!$B$5:$B$110&lt;=$B2702),0)</f>
        <v>81</v>
      </c>
      <c r="U2702" s="152">
        <f>100*(INDEX(TDU_Info!$E$5:$E$110,$T2702)/T$11+INDEX(TDU_Info!$F$5:$F$110,$T2702))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MATCH(1,(TDU_Info!$C$5:$C$110=$T$6)*(TDU_Info!$B$5:$B$110&lt;=$B2703),0)</f>
        <v>81</v>
      </c>
      <c r="U2703" s="152">
        <f>100*(INDEX(TDU_Info!$E$5:$E$110,$T2703)/T$11+INDEX(TDU_Info!$F$5:$F$110,$T2703))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MATCH(1,(TDU_Info!$C$5:$C$110=$T$6)*(TDU_Info!$B$5:$B$110&lt;=$B2704),0)</f>
        <v>81</v>
      </c>
      <c r="U2704" s="152">
        <f>100*(INDEX(TDU_Info!$E$5:$E$110,$T2704)/T$11+INDEX(TDU_Info!$F$5:$F$110,$T2704))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MATCH(1,(TDU_Info!$C$5:$C$110=$T$6)*(TDU_Info!$B$5:$B$110&lt;=$B2705),0)</f>
        <v>81</v>
      </c>
      <c r="U2705" s="152">
        <f>100*(INDEX(TDU_Info!$E$5:$E$110,$T2705)/T$11+INDEX(TDU_Info!$F$5:$F$110,$T2705))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MATCH(1,(TDU_Info!$C$5:$C$110=$T$6)*(TDU_Info!$B$5:$B$110&lt;=$B2706),0)</f>
        <v>81</v>
      </c>
      <c r="U2706" s="152">
        <f>100*(INDEX(TDU_Info!$E$5:$E$110,$T2706)/T$11+INDEX(TDU_Info!$F$5:$F$110,$T2706))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MATCH(1,(TDU_Info!$C$5:$C$110=$T$6)*(TDU_Info!$B$5:$B$110&lt;=$B2707),0)</f>
        <v>81</v>
      </c>
      <c r="U2707" s="152">
        <f>100*(INDEX(TDU_Info!$E$5:$E$110,$T2707)/T$11+INDEX(TDU_Info!$F$5:$F$110,$T2707))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MATCH(1,(TDU_Info!$C$5:$C$110=$T$6)*(TDU_Info!$B$5:$B$110&lt;=$B2708),0)</f>
        <v>81</v>
      </c>
      <c r="U2708" s="152">
        <f>100*(INDEX(TDU_Info!$E$5:$E$110,$T2708)/T$11+INDEX(TDU_Info!$F$5:$F$110,$T2708))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MATCH(1,(TDU_Info!$C$5:$C$110=$T$6)*(TDU_Info!$B$5:$B$110&lt;=$B2709),0)</f>
        <v>81</v>
      </c>
      <c r="U2709" s="152">
        <f>100*(INDEX(TDU_Info!$E$5:$E$110,$T2709)/T$11+INDEX(TDU_Info!$F$5:$F$110,$T2709))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MATCH(1,(TDU_Info!$C$5:$C$110=$T$6)*(TDU_Info!$B$5:$B$110&lt;=$B2710),0)</f>
        <v>81</v>
      </c>
      <c r="U2710" s="152">
        <f>100*(INDEX(TDU_Info!$E$5:$E$110,$T2710)/T$11+INDEX(TDU_Info!$F$5:$F$110,$T2710))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MATCH(1,(TDU_Info!$C$5:$C$110=$T$6)*(TDU_Info!$B$5:$B$110&lt;=$B2711),0)</f>
        <v>81</v>
      </c>
      <c r="U2711" s="152">
        <f>100*(INDEX(TDU_Info!$E$5:$E$110,$T2711)/T$11+INDEX(TDU_Info!$F$5:$F$110,$T2711))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MATCH(1,(TDU_Info!$C$5:$C$110=$T$6)*(TDU_Info!$B$5:$B$110&lt;=$B2712),0)</f>
        <v>81</v>
      </c>
      <c r="U2712" s="152">
        <f>100*(INDEX(TDU_Info!$E$5:$E$110,$T2712)/T$11+INDEX(TDU_Info!$F$5:$F$110,$T2712))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MATCH(1,(TDU_Info!$C$5:$C$110=$T$6)*(TDU_Info!$B$5:$B$110&lt;=$B2713),0)</f>
        <v>81</v>
      </c>
      <c r="U2713" s="152">
        <f>100*(INDEX(TDU_Info!$E$5:$E$110,$T2713)/T$11+INDEX(TDU_Info!$F$5:$F$110,$T2713))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MATCH(1,(TDU_Info!$C$5:$C$110=$T$6)*(TDU_Info!$B$5:$B$110&lt;=$B2714),0)</f>
        <v>81</v>
      </c>
      <c r="U2714" s="152">
        <f>100*(INDEX(TDU_Info!$E$5:$E$110,$T2714)/T$11+INDEX(TDU_Info!$F$5:$F$110,$T2714))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MATCH(1,(TDU_Info!$C$5:$C$110=$T$6)*(TDU_Info!$B$5:$B$110&lt;=$B2715),0)</f>
        <v>81</v>
      </c>
      <c r="U2715" s="152">
        <f>100*(INDEX(TDU_Info!$E$5:$E$110,$T2715)/T$11+INDEX(TDU_Info!$F$5:$F$110,$T2715))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MATCH(1,(TDU_Info!$C$5:$C$110=$T$6)*(TDU_Info!$B$5:$B$110&lt;=$B2716),0)</f>
        <v>81</v>
      </c>
      <c r="U2716" s="152">
        <f>100*(INDEX(TDU_Info!$E$5:$E$110,$T2716)/T$11+INDEX(TDU_Info!$F$5:$F$110,$T2716))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MATCH(1,(TDU_Info!$C$5:$C$110=$T$6)*(TDU_Info!$B$5:$B$110&lt;=$B2717),0)</f>
        <v>81</v>
      </c>
      <c r="U2717" s="152">
        <f>100*(INDEX(TDU_Info!$E$5:$E$110,$T2717)/T$11+INDEX(TDU_Info!$F$5:$F$110,$T2717))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MATCH(1,(TDU_Info!$C$5:$C$110=$T$6)*(TDU_Info!$B$5:$B$110&lt;=$B2718),0)</f>
        <v>81</v>
      </c>
      <c r="U2718" s="152">
        <f>100*(INDEX(TDU_Info!$E$5:$E$110,$T2718)/T$11+INDEX(TDU_Info!$F$5:$F$110,$T2718))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MATCH(1,(TDU_Info!$C$5:$C$110=$T$6)*(TDU_Info!$B$5:$B$110&lt;=$B2719),0)</f>
        <v>81</v>
      </c>
      <c r="U2719" s="152">
        <f>100*(INDEX(TDU_Info!$E$5:$E$110,$T2719)/T$11+INDEX(TDU_Info!$F$5:$F$110,$T2719))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MATCH(1,(TDU_Info!$C$5:$C$110=$T$6)*(TDU_Info!$B$5:$B$110&lt;=$B2720),0)</f>
        <v>81</v>
      </c>
      <c r="U2720" s="152">
        <f>100*(INDEX(TDU_Info!$E$5:$E$110,$T2720)/T$11+INDEX(TDU_Info!$F$5:$F$110,$T2720))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MATCH(1,(TDU_Info!$C$5:$C$110=$T$6)*(TDU_Info!$B$5:$B$110&lt;=$B2721),0)</f>
        <v>81</v>
      </c>
      <c r="U2721" s="152">
        <f>100*(INDEX(TDU_Info!$E$5:$E$110,$T2721)/T$11+INDEX(TDU_Info!$F$5:$F$110,$T2721))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MATCH(1,(TDU_Info!$C$5:$C$110=$T$6)*(TDU_Info!$B$5:$B$110&lt;=$B2722),0)</f>
        <v>81</v>
      </c>
      <c r="U2722" s="152">
        <f>100*(INDEX(TDU_Info!$E$5:$E$110,$T2722)/T$11+INDEX(TDU_Info!$F$5:$F$110,$T2722))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MATCH(1,(TDU_Info!$C$5:$C$110=$T$6)*(TDU_Info!$B$5:$B$110&lt;=$B2723),0)</f>
        <v>81</v>
      </c>
      <c r="U2723" s="152">
        <f>100*(INDEX(TDU_Info!$E$5:$E$110,$T2723)/T$11+INDEX(TDU_Info!$F$5:$F$110,$T2723))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MATCH(1,(TDU_Info!$C$5:$C$110=$T$6)*(TDU_Info!$B$5:$B$110&lt;=$B2724),0)</f>
        <v>81</v>
      </c>
      <c r="U2724" s="152">
        <f>100*(INDEX(TDU_Info!$E$5:$E$110,$T2724)/T$11+INDEX(TDU_Info!$F$5:$F$110,$T2724))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MATCH(1,(TDU_Info!$C$5:$C$110=$T$6)*(TDU_Info!$B$5:$B$110&lt;=$B2725),0)</f>
        <v>81</v>
      </c>
      <c r="U2725" s="152">
        <f>100*(INDEX(TDU_Info!$E$5:$E$110,$T2725)/T$11+INDEX(TDU_Info!$F$5:$F$110,$T2725))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MATCH(1,(TDU_Info!$C$5:$C$110=$T$6)*(TDU_Info!$B$5:$B$110&lt;=$B2726),0)</f>
        <v>81</v>
      </c>
      <c r="U2726" s="152">
        <f>100*(INDEX(TDU_Info!$E$5:$E$110,$T2726)/T$11+INDEX(TDU_Info!$F$5:$F$110,$T2726))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MATCH(1,(TDU_Info!$C$5:$C$110=$T$6)*(TDU_Info!$B$5:$B$110&lt;=$B2727),0)</f>
        <v>81</v>
      </c>
      <c r="U2727" s="152">
        <f>100*(INDEX(TDU_Info!$E$5:$E$110,$T2727)/T$11+INDEX(TDU_Info!$F$5:$F$110,$T2727))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MATCH(1,(TDU_Info!$C$5:$C$110=$T$6)*(TDU_Info!$B$5:$B$110&lt;=$B2728),0)</f>
        <v>81</v>
      </c>
      <c r="U2728" s="152">
        <f>100*(INDEX(TDU_Info!$E$5:$E$110,$T2728)/T$11+INDEX(TDU_Info!$F$5:$F$110,$T2728))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MATCH(1,(TDU_Info!$C$5:$C$110=$T$6)*(TDU_Info!$B$5:$B$110&lt;=$B2729),0)</f>
        <v>81</v>
      </c>
      <c r="U2729" s="152">
        <f>100*(INDEX(TDU_Info!$E$5:$E$110,$T2729)/T$11+INDEX(TDU_Info!$F$5:$F$110,$T2729))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MATCH(1,(TDU_Info!$C$5:$C$110=$T$6)*(TDU_Info!$B$5:$B$110&lt;=$B2730),0)</f>
        <v>81</v>
      </c>
      <c r="U2730" s="152">
        <f>100*(INDEX(TDU_Info!$E$5:$E$110,$T2730)/T$11+INDEX(TDU_Info!$F$5:$F$110,$T2730))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MATCH(1,(TDU_Info!$C$5:$C$110=$T$6)*(TDU_Info!$B$5:$B$110&lt;=$B2731),0)</f>
        <v>81</v>
      </c>
      <c r="U2731" s="152">
        <f>100*(INDEX(TDU_Info!$E$5:$E$110,$T2731)/T$11+INDEX(TDU_Info!$F$5:$F$110,$T2731))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MATCH(1,(TDU_Info!$C$5:$C$110=$T$6)*(TDU_Info!$B$5:$B$110&lt;=$B2732),0)</f>
        <v>81</v>
      </c>
      <c r="U2732" s="152">
        <f>100*(INDEX(TDU_Info!$E$5:$E$110,$T2732)/T$11+INDEX(TDU_Info!$F$5:$F$110,$T2732))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MATCH(1,(TDU_Info!$C$5:$C$110=$T$6)*(TDU_Info!$B$5:$B$110&lt;=$B2733),0)</f>
        <v>81</v>
      </c>
      <c r="U2733" s="152">
        <f>100*(INDEX(TDU_Info!$E$5:$E$110,$T2733)/T$11+INDEX(TDU_Info!$F$5:$F$110,$T2733))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MATCH(1,(TDU_Info!$C$5:$C$110=$T$6)*(TDU_Info!$B$5:$B$110&lt;=$B2734),0)</f>
        <v>81</v>
      </c>
      <c r="U2734" s="152">
        <f>100*(INDEX(TDU_Info!$E$5:$E$110,$T2734)/T$11+INDEX(TDU_Info!$F$5:$F$110,$T2734))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MATCH(1,(TDU_Info!$C$5:$C$110=$T$6)*(TDU_Info!$B$5:$B$110&lt;=$B2735),0)</f>
        <v>81</v>
      </c>
      <c r="U2735" s="152">
        <f>100*(INDEX(TDU_Info!$E$5:$E$110,$T2735)/T$11+INDEX(TDU_Info!$F$5:$F$110,$T2735))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MATCH(1,(TDU_Info!$C$5:$C$110=$T$6)*(TDU_Info!$B$5:$B$110&lt;=$B2736),0)</f>
        <v>81</v>
      </c>
      <c r="U2736" s="152">
        <f>100*(INDEX(TDU_Info!$E$5:$E$110,$T2736)/T$11+INDEX(TDU_Info!$F$5:$F$110,$T2736))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MATCH(1,(TDU_Info!$C$5:$C$110=$T$6)*(TDU_Info!$B$5:$B$110&lt;=$B2737),0)</f>
        <v>81</v>
      </c>
      <c r="U2737" s="152">
        <f>100*(INDEX(TDU_Info!$E$5:$E$110,$T2737)/T$11+INDEX(TDU_Info!$F$5:$F$110,$T2737))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MATCH(1,(TDU_Info!$C$5:$C$110=$T$6)*(TDU_Info!$B$5:$B$110&lt;=$B2738),0)</f>
        <v>81</v>
      </c>
      <c r="U2738" s="152">
        <f>100*(INDEX(TDU_Info!$E$5:$E$110,$T2738)/T$11+INDEX(TDU_Info!$F$5:$F$110,$T2738))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MATCH(1,(TDU_Info!$C$5:$C$110=$T$6)*(TDU_Info!$B$5:$B$110&lt;=$B2739),0)</f>
        <v>81</v>
      </c>
      <c r="U2739" s="152">
        <f>100*(INDEX(TDU_Info!$E$5:$E$110,$T2739)/T$11+INDEX(TDU_Info!$F$5:$F$110,$T2739))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MATCH(1,(TDU_Info!$C$5:$C$110=$T$6)*(TDU_Info!$B$5:$B$110&lt;=$B2740),0)</f>
        <v>81</v>
      </c>
      <c r="U2740" s="152">
        <f>100*(INDEX(TDU_Info!$E$5:$E$110,$T2740)/T$11+INDEX(TDU_Info!$F$5:$F$110,$T2740))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MATCH(1,(TDU_Info!$C$5:$C$110=$T$6)*(TDU_Info!$B$5:$B$110&lt;=$B2741),0)</f>
        <v>81</v>
      </c>
      <c r="U2741" s="152">
        <f>100*(INDEX(TDU_Info!$E$5:$E$110,$T2741)/T$11+INDEX(TDU_Info!$F$5:$F$110,$T2741))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MATCH(1,(TDU_Info!$C$5:$C$110=$T$6)*(TDU_Info!$B$5:$B$110&lt;=$B2742),0)</f>
        <v>81</v>
      </c>
      <c r="U2742" s="152">
        <f>100*(INDEX(TDU_Info!$E$5:$E$110,$T2742)/T$11+INDEX(TDU_Info!$F$5:$F$110,$T2742))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MATCH(1,(TDU_Info!$C$5:$C$110=$T$6)*(TDU_Info!$B$5:$B$110&lt;=$B2743),0)</f>
        <v>81</v>
      </c>
      <c r="U2743" s="152">
        <f>100*(INDEX(TDU_Info!$E$5:$E$110,$T2743)/T$11+INDEX(TDU_Info!$F$5:$F$110,$T2743))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MATCH(1,(TDU_Info!$C$5:$C$110=$T$6)*(TDU_Info!$B$5:$B$110&lt;=$B2744),0)</f>
        <v>81</v>
      </c>
      <c r="U2744" s="152">
        <f>100*(INDEX(TDU_Info!$E$5:$E$110,$T2744)/T$11+INDEX(TDU_Info!$F$5:$F$110,$T2744))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MATCH(1,(TDU_Info!$C$5:$C$110=$T$6)*(TDU_Info!$B$5:$B$110&lt;=$B2745),0)</f>
        <v>81</v>
      </c>
      <c r="U2745" s="152">
        <f>100*(INDEX(TDU_Info!$E$5:$E$110,$T2745)/T$11+INDEX(TDU_Info!$F$5:$F$110,$T2745))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MATCH(1,(TDU_Info!$C$5:$C$110=$T$6)*(TDU_Info!$B$5:$B$110&lt;=$B2746),0)</f>
        <v>81</v>
      </c>
      <c r="U2746" s="152">
        <f>100*(INDEX(TDU_Info!$E$5:$E$110,$T2746)/T$11+INDEX(TDU_Info!$F$5:$F$110,$T2746))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MATCH(1,(TDU_Info!$C$5:$C$110=$T$6)*(TDU_Info!$B$5:$B$110&lt;=$B2747),0)</f>
        <v>81</v>
      </c>
      <c r="U2747" s="152">
        <f>100*(INDEX(TDU_Info!$E$5:$E$110,$T2747)/T$11+INDEX(TDU_Info!$F$5:$F$110,$T2747))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MATCH(1,(TDU_Info!$C$5:$C$110=$T$6)*(TDU_Info!$B$5:$B$110&lt;=$B2748),0)</f>
        <v>81</v>
      </c>
      <c r="U2748" s="152">
        <f>100*(INDEX(TDU_Info!$E$5:$E$110,$T2748)/T$11+INDEX(TDU_Info!$F$5:$F$110,$T2748))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MATCH(1,(TDU_Info!$C$5:$C$110=$T$6)*(TDU_Info!$B$5:$B$110&lt;=$B2749),0)</f>
        <v>81</v>
      </c>
      <c r="U2749" s="152">
        <f>100*(INDEX(TDU_Info!$E$5:$E$110,$T2749)/T$11+INDEX(TDU_Info!$F$5:$F$110,$T2749))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MATCH(1,(TDU_Info!$C$5:$C$110=$T$6)*(TDU_Info!$B$5:$B$110&lt;=$B2750),0)</f>
        <v>81</v>
      </c>
      <c r="U2750" s="152">
        <f>100*(INDEX(TDU_Info!$E$5:$E$110,$T2750)/T$11+INDEX(TDU_Info!$F$5:$F$110,$T2750))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MATCH(1,(TDU_Info!$C$5:$C$110=$T$6)*(TDU_Info!$B$5:$B$110&lt;=$B2751),0)</f>
        <v>81</v>
      </c>
      <c r="U2751" s="152">
        <f>100*(INDEX(TDU_Info!$E$5:$E$110,$T2751)/T$11+INDEX(TDU_Info!$F$5:$F$110,$T2751))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MATCH(1,(TDU_Info!$C$5:$C$110=$T$6)*(TDU_Info!$B$5:$B$110&lt;=$B2752),0)</f>
        <v>81</v>
      </c>
      <c r="U2752" s="152">
        <f>100*(INDEX(TDU_Info!$E$5:$E$110,$T2752)/T$11+INDEX(TDU_Info!$F$5:$F$110,$T2752))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MATCH(1,(TDU_Info!$C$5:$C$110=$T$6)*(TDU_Info!$B$5:$B$110&lt;=$B2753),0)</f>
        <v>81</v>
      </c>
      <c r="U2753" s="152">
        <f>100*(INDEX(TDU_Info!$E$5:$E$110,$T2753)/T$11+INDEX(TDU_Info!$F$5:$F$110,$T2753))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MATCH(1,(TDU_Info!$C$5:$C$110=$T$6)*(TDU_Info!$B$5:$B$110&lt;=$B2754),0)</f>
        <v>81</v>
      </c>
      <c r="U2754" s="152">
        <f>100*(INDEX(TDU_Info!$E$5:$E$110,$T2754)/T$11+INDEX(TDU_Info!$F$5:$F$110,$T2754))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MATCH(1,(TDU_Info!$C$5:$C$110=$T$6)*(TDU_Info!$B$5:$B$110&lt;=$B2755),0)</f>
        <v>80</v>
      </c>
      <c r="U2755" s="152">
        <f>100*(INDEX(TDU_Info!$E$5:$E$110,$T2755)/T$11+INDEX(TDU_Info!$F$5:$F$110,$T2755))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MATCH(1,(TDU_Info!$C$5:$C$110=$T$6)*(TDU_Info!$B$5:$B$110&lt;=$B2756),0)</f>
        <v>80</v>
      </c>
      <c r="U2756" s="152">
        <f>100*(INDEX(TDU_Info!$E$5:$E$110,$T2756)/T$11+INDEX(TDU_Info!$F$5:$F$110,$T2756))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MATCH(1,(TDU_Info!$C$5:$C$110=$T$6)*(TDU_Info!$B$5:$B$110&lt;=$B2757),0)</f>
        <v>80</v>
      </c>
      <c r="U2757" s="152">
        <f>100*(INDEX(TDU_Info!$E$5:$E$110,$T2757)/T$11+INDEX(TDU_Info!$F$5:$F$110,$T2757))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MATCH(1,(TDU_Info!$C$5:$C$110=$T$6)*(TDU_Info!$B$5:$B$110&lt;=$B2758),0)</f>
        <v>80</v>
      </c>
      <c r="U2758" s="152">
        <f>100*(INDEX(TDU_Info!$E$5:$E$110,$T2758)/T$11+INDEX(TDU_Info!$F$5:$F$110,$T2758))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MATCH(1,(TDU_Info!$C$5:$C$110=$T$6)*(TDU_Info!$B$5:$B$110&lt;=$B2759),0)</f>
        <v>80</v>
      </c>
      <c r="U2759" s="152">
        <f>100*(INDEX(TDU_Info!$E$5:$E$110,$T2759)/T$11+INDEX(TDU_Info!$F$5:$F$110,$T2759))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MATCH(1,(TDU_Info!$C$5:$C$110=$T$6)*(TDU_Info!$B$5:$B$110&lt;=$B2760),0)</f>
        <v>80</v>
      </c>
      <c r="U2760" s="152">
        <f>100*(INDEX(TDU_Info!$E$5:$E$110,$T2760)/T$11+INDEX(TDU_Info!$F$5:$F$110,$T2760))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MATCH(1,(TDU_Info!$C$5:$C$110=$T$6)*(TDU_Info!$B$5:$B$110&lt;=$B2761),0)</f>
        <v>80</v>
      </c>
      <c r="U2761" s="152">
        <f>100*(INDEX(TDU_Info!$E$5:$E$110,$T2761)/T$11+INDEX(TDU_Info!$F$5:$F$110,$T2761))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MATCH(1,(TDU_Info!$C$5:$C$110=$T$6)*(TDU_Info!$B$5:$B$110&lt;=$B2762),0)</f>
        <v>80</v>
      </c>
      <c r="U2762" s="152">
        <f>100*(INDEX(TDU_Info!$E$5:$E$110,$T2762)/T$11+INDEX(TDU_Info!$F$5:$F$110,$T2762))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MATCH(1,(TDU_Info!$C$5:$C$110=$T$6)*(TDU_Info!$B$5:$B$110&lt;=$B2763),0)</f>
        <v>80</v>
      </c>
      <c r="U2763" s="152">
        <f>100*(INDEX(TDU_Info!$E$5:$E$110,$T2763)/T$11+INDEX(TDU_Info!$F$5:$F$110,$T2763))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MATCH(1,(TDU_Info!$C$5:$C$110=$T$6)*(TDU_Info!$B$5:$B$110&lt;=$B2764),0)</f>
        <v>80</v>
      </c>
      <c r="U2764" s="152">
        <f>100*(INDEX(TDU_Info!$E$5:$E$110,$T2764)/T$11+INDEX(TDU_Info!$F$5:$F$110,$T2764))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MATCH(1,(TDU_Info!$C$5:$C$110=$T$6)*(TDU_Info!$B$5:$B$110&lt;=$B2765),0)</f>
        <v>80</v>
      </c>
      <c r="U2765" s="152">
        <f>100*(INDEX(TDU_Info!$E$5:$E$110,$T2765)/T$11+INDEX(TDU_Info!$F$5:$F$110,$T2765))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MATCH(1,(TDU_Info!$C$5:$C$110=$T$6)*(TDU_Info!$B$5:$B$110&lt;=$B2766),0)</f>
        <v>80</v>
      </c>
      <c r="U2766" s="152">
        <f>100*(INDEX(TDU_Info!$E$5:$E$110,$T2766)/T$11+INDEX(TDU_Info!$F$5:$F$110,$T2766))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MATCH(1,(TDU_Info!$C$5:$C$110=$T$6)*(TDU_Info!$B$5:$B$110&lt;=$B2767),0)</f>
        <v>80</v>
      </c>
      <c r="U2767" s="152">
        <f>100*(INDEX(TDU_Info!$E$5:$E$110,$T2767)/T$11+INDEX(TDU_Info!$F$5:$F$110,$T2767))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MATCH(1,(TDU_Info!$C$5:$C$110=$T$6)*(TDU_Info!$B$5:$B$110&lt;=$B2768),0)</f>
        <v>80</v>
      </c>
      <c r="U2768" s="152">
        <f>100*(INDEX(TDU_Info!$E$5:$E$110,$T2768)/T$11+INDEX(TDU_Info!$F$5:$F$110,$T2768))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MATCH(1,(TDU_Info!$C$5:$C$110=$T$6)*(TDU_Info!$B$5:$B$110&lt;=$B2769),0)</f>
        <v>80</v>
      </c>
      <c r="U2769" s="152">
        <f>100*(INDEX(TDU_Info!$E$5:$E$110,$T2769)/T$11+INDEX(TDU_Info!$F$5:$F$110,$T2769))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MATCH(1,(TDU_Info!$C$5:$C$110=$T$6)*(TDU_Info!$B$5:$B$110&lt;=$B2770),0)</f>
        <v>80</v>
      </c>
      <c r="U2770" s="152">
        <f>100*(INDEX(TDU_Info!$E$5:$E$110,$T2770)/T$11+INDEX(TDU_Info!$F$5:$F$110,$T2770))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MATCH(1,(TDU_Info!$C$5:$C$110=$T$6)*(TDU_Info!$B$5:$B$110&lt;=$B2771),0)</f>
        <v>80</v>
      </c>
      <c r="U2771" s="152">
        <f>100*(INDEX(TDU_Info!$E$5:$E$110,$T2771)/T$11+INDEX(TDU_Info!$F$5:$F$110,$T2771))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MATCH(1,(TDU_Info!$C$5:$C$110=$T$6)*(TDU_Info!$B$5:$B$110&lt;=$B2772),0)</f>
        <v>80</v>
      </c>
      <c r="U2772" s="152">
        <f>100*(INDEX(TDU_Info!$E$5:$E$110,$T2772)/T$11+INDEX(TDU_Info!$F$5:$F$110,$T2772))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MATCH(1,(TDU_Info!$C$5:$C$110=$T$6)*(TDU_Info!$B$5:$B$110&lt;=$B2773),0)</f>
        <v>80</v>
      </c>
      <c r="U2773" s="152">
        <f>100*(INDEX(TDU_Info!$E$5:$E$110,$T2773)/T$11+INDEX(TDU_Info!$F$5:$F$110,$T2773))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MATCH(1,(TDU_Info!$C$5:$C$110=$T$6)*(TDU_Info!$B$5:$B$110&lt;=$B2774),0)</f>
        <v>80</v>
      </c>
      <c r="U2774" s="152">
        <f>100*(INDEX(TDU_Info!$E$5:$E$110,$T2774)/T$11+INDEX(TDU_Info!$F$5:$F$110,$T2774))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MATCH(1,(TDU_Info!$C$5:$C$110=$T$6)*(TDU_Info!$B$5:$B$110&lt;=$B2775),0)</f>
        <v>80</v>
      </c>
      <c r="U2775" s="152">
        <f>100*(INDEX(TDU_Info!$E$5:$E$110,$T2775)/T$11+INDEX(TDU_Info!$F$5:$F$110,$T2775))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MATCH(1,(TDU_Info!$C$5:$C$110=$T$6)*(TDU_Info!$B$5:$B$110&lt;=$B2776),0)</f>
        <v>80</v>
      </c>
      <c r="U2776" s="152">
        <f>100*(INDEX(TDU_Info!$E$5:$E$110,$T2776)/T$11+INDEX(TDU_Info!$F$5:$F$110,$T2776))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MATCH(1,(TDU_Info!$C$5:$C$110=$T$6)*(TDU_Info!$B$5:$B$110&lt;=$B2777),0)</f>
        <v>80</v>
      </c>
      <c r="U2777" s="152">
        <f>100*(INDEX(TDU_Info!$E$5:$E$110,$T2777)/T$11+INDEX(TDU_Info!$F$5:$F$110,$T2777))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MATCH(1,(TDU_Info!$C$5:$C$110=$T$6)*(TDU_Info!$B$5:$B$110&lt;=$B2778),0)</f>
        <v>80</v>
      </c>
      <c r="U2778" s="152">
        <f>100*(INDEX(TDU_Info!$E$5:$E$110,$T2778)/T$11+INDEX(TDU_Info!$F$5:$F$110,$T2778))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MATCH(1,(TDU_Info!$C$5:$C$110=$T$6)*(TDU_Info!$B$5:$B$110&lt;=$B2779),0)</f>
        <v>80</v>
      </c>
      <c r="U2779" s="152">
        <f>100*(INDEX(TDU_Info!$E$5:$E$110,$T2779)/T$11+INDEX(TDU_Info!$F$5:$F$110,$T2779))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MATCH(1,(TDU_Info!$C$5:$C$110=$T$6)*(TDU_Info!$B$5:$B$110&lt;=$B2780),0)</f>
        <v>80</v>
      </c>
      <c r="U2780" s="152">
        <f>100*(INDEX(TDU_Info!$E$5:$E$110,$T2780)/T$11+INDEX(TDU_Info!$F$5:$F$110,$T2780))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MATCH(1,(TDU_Info!$C$5:$C$110=$T$6)*(TDU_Info!$B$5:$B$110&lt;=$B2781),0)</f>
        <v>80</v>
      </c>
      <c r="U2781" s="152">
        <f>100*(INDEX(TDU_Info!$E$5:$E$110,$T2781)/T$11+INDEX(TDU_Info!$F$5:$F$110,$T2781))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MATCH(1,(TDU_Info!$C$5:$C$110=$T$6)*(TDU_Info!$B$5:$B$110&lt;=$B2782),0)</f>
        <v>80</v>
      </c>
      <c r="U2782" s="152">
        <f>100*(INDEX(TDU_Info!$E$5:$E$110,$T2782)/T$11+INDEX(TDU_Info!$F$5:$F$110,$T2782))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MATCH(1,(TDU_Info!$C$5:$C$110=$T$6)*(TDU_Info!$B$5:$B$110&lt;=$B2783),0)</f>
        <v>80</v>
      </c>
      <c r="U2783" s="152">
        <f>100*(INDEX(TDU_Info!$E$5:$E$110,$T2783)/T$11+INDEX(TDU_Info!$F$5:$F$110,$T2783))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MATCH(1,(TDU_Info!$C$5:$C$110=$T$6)*(TDU_Info!$B$5:$B$110&lt;=$B2784),0)</f>
        <v>80</v>
      </c>
      <c r="U2784" s="152">
        <f>100*(INDEX(TDU_Info!$E$5:$E$110,$T2784)/T$11+INDEX(TDU_Info!$F$5:$F$110,$T2784))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MATCH(1,(TDU_Info!$C$5:$C$110=$T$6)*(TDU_Info!$B$5:$B$110&lt;=$B2785),0)</f>
        <v>80</v>
      </c>
      <c r="U2785" s="152">
        <f>100*(INDEX(TDU_Info!$E$5:$E$110,$T2785)/T$11+INDEX(TDU_Info!$F$5:$F$110,$T2785))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MATCH(1,(TDU_Info!$C$5:$C$110=$T$6)*(TDU_Info!$B$5:$B$110&lt;=$B2786),0)</f>
        <v>80</v>
      </c>
      <c r="U2786" s="152">
        <f>100*(INDEX(TDU_Info!$E$5:$E$110,$T2786)/T$11+INDEX(TDU_Info!$F$5:$F$110,$T2786))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MATCH(1,(TDU_Info!$C$5:$C$110=$T$6)*(TDU_Info!$B$5:$B$110&lt;=$B2787),0)</f>
        <v>80</v>
      </c>
      <c r="U2787" s="152">
        <f>100*(INDEX(TDU_Info!$E$5:$E$110,$T2787)/T$11+INDEX(TDU_Info!$F$5:$F$110,$T2787))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MATCH(1,(TDU_Info!$C$5:$C$110=$T$6)*(TDU_Info!$B$5:$B$110&lt;=$B2788),0)</f>
        <v>80</v>
      </c>
      <c r="U2788" s="152">
        <f>100*(INDEX(TDU_Info!$E$5:$E$110,$T2788)/T$11+INDEX(TDU_Info!$F$5:$F$110,$T2788))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MATCH(1,(TDU_Info!$C$5:$C$110=$T$6)*(TDU_Info!$B$5:$B$110&lt;=$B2789),0)</f>
        <v>80</v>
      </c>
      <c r="U2789" s="152">
        <f>100*(INDEX(TDU_Info!$E$5:$E$110,$T2789)/T$11+INDEX(TDU_Info!$F$5:$F$110,$T2789))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MATCH(1,(TDU_Info!$C$5:$C$110=$T$6)*(TDU_Info!$B$5:$B$110&lt;=$B2790),0)</f>
        <v>80</v>
      </c>
      <c r="U2790" s="152">
        <f>100*(INDEX(TDU_Info!$E$5:$E$110,$T2790)/T$11+INDEX(TDU_Info!$F$5:$F$110,$T2790))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MATCH(1,(TDU_Info!$C$5:$C$110=$T$6)*(TDU_Info!$B$5:$B$110&lt;=$B2791),0)</f>
        <v>80</v>
      </c>
      <c r="U2791" s="152">
        <f>100*(INDEX(TDU_Info!$E$5:$E$110,$T2791)/T$11+INDEX(TDU_Info!$F$5:$F$110,$T2791))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MATCH(1,(TDU_Info!$C$5:$C$110=$T$6)*(TDU_Info!$B$5:$B$110&lt;=$B2792),0)</f>
        <v>80</v>
      </c>
      <c r="U2792" s="152">
        <f>100*(INDEX(TDU_Info!$E$5:$E$110,$T2792)/T$11+INDEX(TDU_Info!$F$5:$F$110,$T2792))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MATCH(1,(TDU_Info!$C$5:$C$110=$T$6)*(TDU_Info!$B$5:$B$110&lt;=$B2793),0)</f>
        <v>80</v>
      </c>
      <c r="U2793" s="152">
        <f>100*(INDEX(TDU_Info!$E$5:$E$110,$T2793)/T$11+INDEX(TDU_Info!$F$5:$F$110,$T2793))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MATCH(1,(TDU_Info!$C$5:$C$110=$T$6)*(TDU_Info!$B$5:$B$110&lt;=$B2794),0)</f>
        <v>80</v>
      </c>
      <c r="U2794" s="152">
        <f>100*(INDEX(TDU_Info!$E$5:$E$110,$T2794)/T$11+INDEX(TDU_Info!$F$5:$F$110,$T2794))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MATCH(1,(TDU_Info!$C$5:$C$110=$T$6)*(TDU_Info!$B$5:$B$110&lt;=$B2795),0)</f>
        <v>80</v>
      </c>
      <c r="U2795" s="152">
        <f>100*(INDEX(TDU_Info!$E$5:$E$110,$T2795)/T$11+INDEX(TDU_Info!$F$5:$F$110,$T2795))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MATCH(1,(TDU_Info!$C$5:$C$110=$T$6)*(TDU_Info!$B$5:$B$110&lt;=$B2796),0)</f>
        <v>80</v>
      </c>
      <c r="U2796" s="152">
        <f>100*(INDEX(TDU_Info!$E$5:$E$110,$T2796)/T$11+INDEX(TDU_Info!$F$5:$F$110,$T2796))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MATCH(1,(TDU_Info!$C$5:$C$110=$T$6)*(TDU_Info!$B$5:$B$110&lt;=$B2797),0)</f>
        <v>80</v>
      </c>
      <c r="U2797" s="152">
        <f>100*(INDEX(TDU_Info!$E$5:$E$110,$T2797)/T$11+INDEX(TDU_Info!$F$5:$F$110,$T2797))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MATCH(1,(TDU_Info!$C$5:$C$110=$T$6)*(TDU_Info!$B$5:$B$110&lt;=$B2798),0)</f>
        <v>80</v>
      </c>
      <c r="U2798" s="152">
        <f>100*(INDEX(TDU_Info!$E$5:$E$110,$T2798)/T$11+INDEX(TDU_Info!$F$5:$F$110,$T2798))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MATCH(1,(TDU_Info!$C$5:$C$110=$T$6)*(TDU_Info!$B$5:$B$110&lt;=$B2799),0)</f>
        <v>80</v>
      </c>
      <c r="U2799" s="152">
        <f>100*(INDEX(TDU_Info!$E$5:$E$110,$T2799)/T$11+INDEX(TDU_Info!$F$5:$F$110,$T2799))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MATCH(1,(TDU_Info!$C$5:$C$110=$T$6)*(TDU_Info!$B$5:$B$110&lt;=$B2800),0)</f>
        <v>80</v>
      </c>
      <c r="U2800" s="152">
        <f>100*(INDEX(TDU_Info!$E$5:$E$110,$T2800)/T$11+INDEX(TDU_Info!$F$5:$F$110,$T2800))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MATCH(1,(TDU_Info!$C$5:$C$110=$T$6)*(TDU_Info!$B$5:$B$110&lt;=$B2801),0)</f>
        <v>80</v>
      </c>
      <c r="U2801" s="152">
        <f>100*(INDEX(TDU_Info!$E$5:$E$110,$T2801)/T$11+INDEX(TDU_Info!$F$5:$F$110,$T2801))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MATCH(1,(TDU_Info!$C$5:$C$110=$T$6)*(TDU_Info!$B$5:$B$110&lt;=$B2802),0)</f>
        <v>80</v>
      </c>
      <c r="U2802" s="152">
        <f>100*(INDEX(TDU_Info!$E$5:$E$110,$T2802)/T$11+INDEX(TDU_Info!$F$5:$F$110,$T2802))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MATCH(1,(TDU_Info!$C$5:$C$110=$T$6)*(TDU_Info!$B$5:$B$110&lt;=$B2803),0)</f>
        <v>80</v>
      </c>
      <c r="U2803" s="152">
        <f>100*(INDEX(TDU_Info!$E$5:$E$110,$T2803)/T$11+INDEX(TDU_Info!$F$5:$F$110,$T2803))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MATCH(1,(TDU_Info!$C$5:$C$110=$T$6)*(TDU_Info!$B$5:$B$110&lt;=$B2804),0)</f>
        <v>80</v>
      </c>
      <c r="U2804" s="152">
        <f>100*(INDEX(TDU_Info!$E$5:$E$110,$T2804)/T$11+INDEX(TDU_Info!$F$5:$F$110,$T2804))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MATCH(1,(TDU_Info!$C$5:$C$110=$T$6)*(TDU_Info!$B$5:$B$110&lt;=$B2805),0)</f>
        <v>80</v>
      </c>
      <c r="U2805" s="152">
        <f>100*(INDEX(TDU_Info!$E$5:$E$110,$T2805)/T$11+INDEX(TDU_Info!$F$5:$F$110,$T2805))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MATCH(1,(TDU_Info!$C$5:$C$110=$T$6)*(TDU_Info!$B$5:$B$110&lt;=$B2806),0)</f>
        <v>80</v>
      </c>
      <c r="U2806" s="152">
        <f>100*(INDEX(TDU_Info!$E$5:$E$110,$T2806)/T$11+INDEX(TDU_Info!$F$5:$F$110,$T2806))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MATCH(1,(TDU_Info!$C$5:$C$110=$T$6)*(TDU_Info!$B$5:$B$110&lt;=$B2807),0)</f>
        <v>80</v>
      </c>
      <c r="U2807" s="152">
        <f>100*(INDEX(TDU_Info!$E$5:$E$110,$T2807)/T$11+INDEX(TDU_Info!$F$5:$F$110,$T2807))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MATCH(1,(TDU_Info!$C$5:$C$110=$T$6)*(TDU_Info!$B$5:$B$110&lt;=$B2808),0)</f>
        <v>80</v>
      </c>
      <c r="U2808" s="152">
        <f>100*(INDEX(TDU_Info!$E$5:$E$110,$T2808)/T$11+INDEX(TDU_Info!$F$5:$F$110,$T2808))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MATCH(1,(TDU_Info!$C$5:$C$110=$T$6)*(TDU_Info!$B$5:$B$110&lt;=$B2809),0)</f>
        <v>80</v>
      </c>
      <c r="U2809" s="152">
        <f>100*(INDEX(TDU_Info!$E$5:$E$110,$T2809)/T$11+INDEX(TDU_Info!$F$5:$F$110,$T2809))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MATCH(1,(TDU_Info!$C$5:$C$110=$T$6)*(TDU_Info!$B$5:$B$110&lt;=$B2810),0)</f>
        <v>80</v>
      </c>
      <c r="U2810" s="152">
        <f>100*(INDEX(TDU_Info!$E$5:$E$110,$T2810)/T$11+INDEX(TDU_Info!$F$5:$F$110,$T2810))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MATCH(1,(TDU_Info!$C$5:$C$110=$T$6)*(TDU_Info!$B$5:$B$110&lt;=$B2811),0)</f>
        <v>80</v>
      </c>
      <c r="U2811" s="152">
        <f>100*(INDEX(TDU_Info!$E$5:$E$110,$T2811)/T$11+INDEX(TDU_Info!$F$5:$F$110,$T2811))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MATCH(1,(TDU_Info!$C$5:$C$110=$T$6)*(TDU_Info!$B$5:$B$110&lt;=$B2812),0)</f>
        <v>80</v>
      </c>
      <c r="U2812" s="152">
        <f>100*(INDEX(TDU_Info!$E$5:$E$110,$T2812)/T$11+INDEX(TDU_Info!$F$5:$F$110,$T2812))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MATCH(1,(TDU_Info!$C$5:$C$110=$T$6)*(TDU_Info!$B$5:$B$110&lt;=$B2813),0)</f>
        <v>80</v>
      </c>
      <c r="U2813" s="152">
        <f>100*(INDEX(TDU_Info!$E$5:$E$110,$T2813)/T$11+INDEX(TDU_Info!$F$5:$F$110,$T2813))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MATCH(1,(TDU_Info!$C$5:$C$110=$T$6)*(TDU_Info!$B$5:$B$110&lt;=$B2814),0)</f>
        <v>80</v>
      </c>
      <c r="U2814" s="152">
        <f>100*(INDEX(TDU_Info!$E$5:$E$110,$T2814)/T$11+INDEX(TDU_Info!$F$5:$F$110,$T2814))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MATCH(1,(TDU_Info!$C$5:$C$110=$T$6)*(TDU_Info!$B$5:$B$110&lt;=$B2815),0)</f>
        <v>80</v>
      </c>
      <c r="U2815" s="152">
        <f>100*(INDEX(TDU_Info!$E$5:$E$110,$T2815)/T$11+INDEX(TDU_Info!$F$5:$F$110,$T2815))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MATCH(1,(TDU_Info!$C$5:$C$110=$T$6)*(TDU_Info!$B$5:$B$110&lt;=$B2816),0)</f>
        <v>80</v>
      </c>
      <c r="U2816" s="152">
        <f>100*(INDEX(TDU_Info!$E$5:$E$110,$T2816)/T$11+INDEX(TDU_Info!$F$5:$F$110,$T2816))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MATCH(1,(TDU_Info!$C$5:$C$110=$T$6)*(TDU_Info!$B$5:$B$110&lt;=$B2817),0)</f>
        <v>79</v>
      </c>
      <c r="U2817" s="152">
        <f>100*(INDEX(TDU_Info!$E$5:$E$110,$T2817)/T$11+INDEX(TDU_Info!$F$5:$F$110,$T2817))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MATCH(1,(TDU_Info!$C$5:$C$110=$T$6)*(TDU_Info!$B$5:$B$110&lt;=$B2818),0)</f>
        <v>79</v>
      </c>
      <c r="U2818" s="152">
        <f>100*(INDEX(TDU_Info!$E$5:$E$110,$T2818)/T$11+INDEX(TDU_Info!$F$5:$F$110,$T2818))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MATCH(1,(TDU_Info!$C$5:$C$110=$T$6)*(TDU_Info!$B$5:$B$110&lt;=$B2819),0)</f>
        <v>79</v>
      </c>
      <c r="U2819" s="152">
        <f>100*(INDEX(TDU_Info!$E$5:$E$110,$T2819)/T$11+INDEX(TDU_Info!$F$5:$F$110,$T2819))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MATCH(1,(TDU_Info!$C$5:$C$110=$T$6)*(TDU_Info!$B$5:$B$110&lt;=$B2820),0)</f>
        <v>79</v>
      </c>
      <c r="U2820" s="152">
        <f>100*(INDEX(TDU_Info!$E$5:$E$110,$T2820)/T$11+INDEX(TDU_Info!$F$5:$F$110,$T2820))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MATCH(1,(TDU_Info!$C$5:$C$110=$T$6)*(TDU_Info!$B$5:$B$110&lt;=$B2821),0)</f>
        <v>79</v>
      </c>
      <c r="U2821" s="152">
        <f>100*(INDEX(TDU_Info!$E$5:$E$110,$T2821)/T$11+INDEX(TDU_Info!$F$5:$F$110,$T2821))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MATCH(1,(TDU_Info!$C$5:$C$110=$T$6)*(TDU_Info!$B$5:$B$110&lt;=$B2822),0)</f>
        <v>79</v>
      </c>
      <c r="U2822" s="152">
        <f>100*(INDEX(TDU_Info!$E$5:$E$110,$T2822)/T$11+INDEX(TDU_Info!$F$5:$F$110,$T2822))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MATCH(1,(TDU_Info!$C$5:$C$110=$T$6)*(TDU_Info!$B$5:$B$110&lt;=$B2823),0)</f>
        <v>79</v>
      </c>
      <c r="U2823" s="152">
        <f>100*(INDEX(TDU_Info!$E$5:$E$110,$T2823)/T$11+INDEX(TDU_Info!$F$5:$F$110,$T2823))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MATCH(1,(TDU_Info!$C$5:$C$110=$T$6)*(TDU_Info!$B$5:$B$110&lt;=$B2824),0)</f>
        <v>79</v>
      </c>
      <c r="U2824" s="152">
        <f>100*(INDEX(TDU_Info!$E$5:$E$110,$T2824)/T$11+INDEX(TDU_Info!$F$5:$F$110,$T2824))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MATCH(1,(TDU_Info!$C$5:$C$110=$T$6)*(TDU_Info!$B$5:$B$110&lt;=$B2825),0)</f>
        <v>79</v>
      </c>
      <c r="U2825" s="152">
        <f>100*(INDEX(TDU_Info!$E$5:$E$110,$T2825)/T$11+INDEX(TDU_Info!$F$5:$F$110,$T2825))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MATCH(1,(TDU_Info!$C$5:$C$110=$T$6)*(TDU_Info!$B$5:$B$110&lt;=$B2826),0)</f>
        <v>79</v>
      </c>
      <c r="U2826" s="152">
        <f>100*(INDEX(TDU_Info!$E$5:$E$110,$T2826)/T$11+INDEX(TDU_Info!$F$5:$F$110,$T2826))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MATCH(1,(TDU_Info!$C$5:$C$110=$T$6)*(TDU_Info!$B$5:$B$110&lt;=$B2827),0)</f>
        <v>79</v>
      </c>
      <c r="U2827" s="152">
        <f>100*(INDEX(TDU_Info!$E$5:$E$110,$T2827)/T$11+INDEX(TDU_Info!$F$5:$F$110,$T2827))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MATCH(1,(TDU_Info!$C$5:$C$110=$T$6)*(TDU_Info!$B$5:$B$110&lt;=$B2828),0)</f>
        <v>79</v>
      </c>
      <c r="U2828" s="152">
        <f>100*(INDEX(TDU_Info!$E$5:$E$110,$T2828)/T$11+INDEX(TDU_Info!$F$5:$F$110,$T2828))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MATCH(1,(TDU_Info!$C$5:$C$110=$T$6)*(TDU_Info!$B$5:$B$110&lt;=$B2829),0)</f>
        <v>79</v>
      </c>
      <c r="U2829" s="152">
        <f>100*(INDEX(TDU_Info!$E$5:$E$110,$T2829)/T$11+INDEX(TDU_Info!$F$5:$F$110,$T2829))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MATCH(1,(TDU_Info!$C$5:$C$110=$T$6)*(TDU_Info!$B$5:$B$110&lt;=$B2830),0)</f>
        <v>79</v>
      </c>
      <c r="U2830" s="152">
        <f>100*(INDEX(TDU_Info!$E$5:$E$110,$T2830)/T$11+INDEX(TDU_Info!$F$5:$F$110,$T2830))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MATCH(1,(TDU_Info!$C$5:$C$110=$T$6)*(TDU_Info!$B$5:$B$110&lt;=$B2831),0)</f>
        <v>79</v>
      </c>
      <c r="U2831" s="152">
        <f>100*(INDEX(TDU_Info!$E$5:$E$110,$T2831)/T$11+INDEX(TDU_Info!$F$5:$F$110,$T2831))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MATCH(1,(TDU_Info!$C$5:$C$110=$T$6)*(TDU_Info!$B$5:$B$110&lt;=$B2832),0)</f>
        <v>79</v>
      </c>
      <c r="U2832" s="152">
        <f>100*(INDEX(TDU_Info!$E$5:$E$110,$T2832)/T$11+INDEX(TDU_Info!$F$5:$F$110,$T2832))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MATCH(1,(TDU_Info!$C$5:$C$110=$T$6)*(TDU_Info!$B$5:$B$110&lt;=$B2833),0)</f>
        <v>79</v>
      </c>
      <c r="U2833" s="152">
        <f>100*(INDEX(TDU_Info!$E$5:$E$110,$T2833)/T$11+INDEX(TDU_Info!$F$5:$F$110,$T2833))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MATCH(1,(TDU_Info!$C$5:$C$110=$T$6)*(TDU_Info!$B$5:$B$110&lt;=$B2834),0)</f>
        <v>79</v>
      </c>
      <c r="U2834" s="152">
        <f>100*(INDEX(TDU_Info!$E$5:$E$110,$T2834)/T$11+INDEX(TDU_Info!$F$5:$F$110,$T2834))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MATCH(1,(TDU_Info!$C$5:$C$110=$T$6)*(TDU_Info!$B$5:$B$110&lt;=$B2835),0)</f>
        <v>79</v>
      </c>
      <c r="U2835" s="152">
        <f>100*(INDEX(TDU_Info!$E$5:$E$110,$T2835)/T$11+INDEX(TDU_Info!$F$5:$F$110,$T2835))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MATCH(1,(TDU_Info!$C$5:$C$110=$T$6)*(TDU_Info!$B$5:$B$110&lt;=$B2836),0)</f>
        <v>79</v>
      </c>
      <c r="U2836" s="152">
        <f>100*(INDEX(TDU_Info!$E$5:$E$110,$T2836)/T$11+INDEX(TDU_Info!$F$5:$F$110,$T2836))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MATCH(1,(TDU_Info!$C$5:$C$110=$T$6)*(TDU_Info!$B$5:$B$110&lt;=$B2837),0)</f>
        <v>79</v>
      </c>
      <c r="U2837" s="152">
        <f>100*(INDEX(TDU_Info!$E$5:$E$110,$T2837)/T$11+INDEX(TDU_Info!$F$5:$F$110,$T2837))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MATCH(1,(TDU_Info!$C$5:$C$110=$T$6)*(TDU_Info!$B$5:$B$110&lt;=$B2838),0)</f>
        <v>79</v>
      </c>
      <c r="U2838" s="152">
        <f>100*(INDEX(TDU_Info!$E$5:$E$110,$T2838)/T$11+INDEX(TDU_Info!$F$5:$F$110,$T2838))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MATCH(1,(TDU_Info!$C$5:$C$110=$T$6)*(TDU_Info!$B$5:$B$110&lt;=$B2839),0)</f>
        <v>79</v>
      </c>
      <c r="U2839" s="152">
        <f>100*(INDEX(TDU_Info!$E$5:$E$110,$T2839)/T$11+INDEX(TDU_Info!$F$5:$F$110,$T2839))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MATCH(1,(TDU_Info!$C$5:$C$110=$T$6)*(TDU_Info!$B$5:$B$110&lt;=$B2840),0)</f>
        <v>79</v>
      </c>
      <c r="U2840" s="152">
        <f>100*(INDEX(TDU_Info!$E$5:$E$110,$T2840)/T$11+INDEX(TDU_Info!$F$5:$F$110,$T2840))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MATCH(1,(TDU_Info!$C$5:$C$110=$T$6)*(TDU_Info!$B$5:$B$110&lt;=$B2841),0)</f>
        <v>79</v>
      </c>
      <c r="U2841" s="152">
        <f>100*(INDEX(TDU_Info!$E$5:$E$110,$T2841)/T$11+INDEX(TDU_Info!$F$5:$F$110,$T2841))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MATCH(1,(TDU_Info!$C$5:$C$110=$T$6)*(TDU_Info!$B$5:$B$110&lt;=$B2842),0)</f>
        <v>79</v>
      </c>
      <c r="U2842" s="152">
        <f>100*(INDEX(TDU_Info!$E$5:$E$110,$T2842)/T$11+INDEX(TDU_Info!$F$5:$F$110,$T2842))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MATCH(1,(TDU_Info!$C$5:$C$110=$T$6)*(TDU_Info!$B$5:$B$110&lt;=$B2843),0)</f>
        <v>79</v>
      </c>
      <c r="U2843" s="152">
        <f>100*(INDEX(TDU_Info!$E$5:$E$110,$T2843)/T$11+INDEX(TDU_Info!$F$5:$F$110,$T2843))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MATCH(1,(TDU_Info!$C$5:$C$110=$T$6)*(TDU_Info!$B$5:$B$110&lt;=$B2844),0)</f>
        <v>79</v>
      </c>
      <c r="U2844" s="152">
        <f>100*(INDEX(TDU_Info!$E$5:$E$110,$T2844)/T$11+INDEX(TDU_Info!$F$5:$F$110,$T2844))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MATCH(1,(TDU_Info!$C$5:$C$110=$T$6)*(TDU_Info!$B$5:$B$110&lt;=$B2845),0)</f>
        <v>79</v>
      </c>
      <c r="U2845" s="152">
        <f>100*(INDEX(TDU_Info!$E$5:$E$110,$T2845)/T$11+INDEX(TDU_Info!$F$5:$F$110,$T2845))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MATCH(1,(TDU_Info!$C$5:$C$110=$T$6)*(TDU_Info!$B$5:$B$110&lt;=$B2846),0)</f>
        <v>79</v>
      </c>
      <c r="U2846" s="152">
        <f>100*(INDEX(TDU_Info!$E$5:$E$110,$T2846)/T$11+INDEX(TDU_Info!$F$5:$F$110,$T2846))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MATCH(1,(TDU_Info!$C$5:$C$110=$T$6)*(TDU_Info!$B$5:$B$110&lt;=$B2847),0)</f>
        <v>79</v>
      </c>
      <c r="U2847" s="152">
        <f>100*(INDEX(TDU_Info!$E$5:$E$110,$T2847)/T$11+INDEX(TDU_Info!$F$5:$F$110,$T2847))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MATCH(1,(TDU_Info!$C$5:$C$110=$T$6)*(TDU_Info!$B$5:$B$110&lt;=$B2848),0)</f>
        <v>79</v>
      </c>
      <c r="U2848" s="152">
        <f>100*(INDEX(TDU_Info!$E$5:$E$110,$T2848)/T$11+INDEX(TDU_Info!$F$5:$F$110,$T2848))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MATCH(1,(TDU_Info!$C$5:$C$110=$T$6)*(TDU_Info!$B$5:$B$110&lt;=$B2849),0)</f>
        <v>79</v>
      </c>
      <c r="U2849" s="152">
        <f>100*(INDEX(TDU_Info!$E$5:$E$110,$T2849)/T$11+INDEX(TDU_Info!$F$5:$F$110,$T2849))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MATCH(1,(TDU_Info!$C$5:$C$110=$T$6)*(TDU_Info!$B$5:$B$110&lt;=$B2850),0)</f>
        <v>79</v>
      </c>
      <c r="U2850" s="152">
        <f>100*(INDEX(TDU_Info!$E$5:$E$110,$T2850)/T$11+INDEX(TDU_Info!$F$5:$F$110,$T2850))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MATCH(1,(TDU_Info!$C$5:$C$110=$T$6)*(TDU_Info!$B$5:$B$110&lt;=$B2851),0)</f>
        <v>79</v>
      </c>
      <c r="U2851" s="152">
        <f>100*(INDEX(TDU_Info!$E$5:$E$110,$T2851)/T$11+INDEX(TDU_Info!$F$5:$F$110,$T2851))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MATCH(1,(TDU_Info!$C$5:$C$110=$T$6)*(TDU_Info!$B$5:$B$110&lt;=$B2852),0)</f>
        <v>79</v>
      </c>
      <c r="U2852" s="152">
        <f>100*(INDEX(TDU_Info!$E$5:$E$110,$T2852)/T$11+INDEX(TDU_Info!$F$5:$F$110,$T2852))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MATCH(1,(TDU_Info!$C$5:$C$110=$T$6)*(TDU_Info!$B$5:$B$110&lt;=$B2853),0)</f>
        <v>79</v>
      </c>
      <c r="U2853" s="152">
        <f>100*(INDEX(TDU_Info!$E$5:$E$110,$T2853)/T$11+INDEX(TDU_Info!$F$5:$F$110,$T2853))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MATCH(1,(TDU_Info!$C$5:$C$110=$T$6)*(TDU_Info!$B$5:$B$110&lt;=$B2854),0)</f>
        <v>79</v>
      </c>
      <c r="U2854" s="152">
        <f>100*(INDEX(TDU_Info!$E$5:$E$110,$T2854)/T$11+INDEX(TDU_Info!$F$5:$F$110,$T2854))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MATCH(1,(TDU_Info!$C$5:$C$110=$T$6)*(TDU_Info!$B$5:$B$110&lt;=$B2855),0)</f>
        <v>79</v>
      </c>
      <c r="U2855" s="152">
        <f>100*(INDEX(TDU_Info!$E$5:$E$110,$T2855)/T$11+INDEX(TDU_Info!$F$5:$F$110,$T2855))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MATCH(1,(TDU_Info!$C$5:$C$110=$T$6)*(TDU_Info!$B$5:$B$110&lt;=$B2856),0)</f>
        <v>79</v>
      </c>
      <c r="U2856" s="152">
        <f>100*(INDEX(TDU_Info!$E$5:$E$110,$T2856)/T$11+INDEX(TDU_Info!$F$5:$F$110,$T2856))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MATCH(1,(TDU_Info!$C$5:$C$110=$T$6)*(TDU_Info!$B$5:$B$110&lt;=$B2857),0)</f>
        <v>79</v>
      </c>
      <c r="U2857" s="152">
        <f>100*(INDEX(TDU_Info!$E$5:$E$110,$T2857)/T$11+INDEX(TDU_Info!$F$5:$F$110,$T2857))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MATCH(1,(TDU_Info!$C$5:$C$110=$T$6)*(TDU_Info!$B$5:$B$110&lt;=$B2858),0)</f>
        <v>79</v>
      </c>
      <c r="U2858" s="152">
        <f>100*(INDEX(TDU_Info!$E$5:$E$110,$T2858)/T$11+INDEX(TDU_Info!$F$5:$F$110,$T2858))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MATCH(1,(TDU_Info!$C$5:$C$110=$T$6)*(TDU_Info!$B$5:$B$110&lt;=$B2859),0)</f>
        <v>79</v>
      </c>
      <c r="U2859" s="152">
        <f>100*(INDEX(TDU_Info!$E$5:$E$110,$T2859)/T$11+INDEX(TDU_Info!$F$5:$F$110,$T2859))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MATCH(1,(TDU_Info!$C$5:$C$110=$T$6)*(TDU_Info!$B$5:$B$110&lt;=$B2860),0)</f>
        <v>79</v>
      </c>
      <c r="U2860" s="152">
        <f>100*(INDEX(TDU_Info!$E$5:$E$110,$T2860)/T$11+INDEX(TDU_Info!$F$5:$F$110,$T2860))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MATCH(1,(TDU_Info!$C$5:$C$110=$T$6)*(TDU_Info!$B$5:$B$110&lt;=$B2861),0)</f>
        <v>79</v>
      </c>
      <c r="U2861" s="152">
        <f>100*(INDEX(TDU_Info!$E$5:$E$110,$T2861)/T$11+INDEX(TDU_Info!$F$5:$F$110,$T2861))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MATCH(1,(TDU_Info!$C$5:$C$110=$T$6)*(TDU_Info!$B$5:$B$110&lt;=$B2862),0)</f>
        <v>79</v>
      </c>
      <c r="U2862" s="152">
        <f>100*(INDEX(TDU_Info!$E$5:$E$110,$T2862)/T$11+INDEX(TDU_Info!$F$5:$F$110,$T2862))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MATCH(1,(TDU_Info!$C$5:$C$110=$T$6)*(TDU_Info!$B$5:$B$110&lt;=$B2863),0)</f>
        <v>79</v>
      </c>
      <c r="U2863" s="152">
        <f>100*(INDEX(TDU_Info!$E$5:$E$110,$T2863)/T$11+INDEX(TDU_Info!$F$5:$F$110,$T2863))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MATCH(1,(TDU_Info!$C$5:$C$110=$T$6)*(TDU_Info!$B$5:$B$110&lt;=$B2864),0)</f>
        <v>79</v>
      </c>
      <c r="U2864" s="152">
        <f>100*(INDEX(TDU_Info!$E$5:$E$110,$T2864)/T$11+INDEX(TDU_Info!$F$5:$F$110,$T2864))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MATCH(1,(TDU_Info!$C$5:$C$110=$T$6)*(TDU_Info!$B$5:$B$110&lt;=$B2865),0)</f>
        <v>79</v>
      </c>
      <c r="U2865" s="152">
        <f>100*(INDEX(TDU_Info!$E$5:$E$110,$T2865)/T$11+INDEX(TDU_Info!$F$5:$F$110,$T2865))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MATCH(1,(TDU_Info!$C$5:$C$110=$T$6)*(TDU_Info!$B$5:$B$110&lt;=$B2866),0)</f>
        <v>79</v>
      </c>
      <c r="U2866" s="152">
        <f>100*(INDEX(TDU_Info!$E$5:$E$110,$T2866)/T$11+INDEX(TDU_Info!$F$5:$F$110,$T2866))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MATCH(1,(TDU_Info!$C$5:$C$110=$T$6)*(TDU_Info!$B$5:$B$110&lt;=$B2867),0)</f>
        <v>79</v>
      </c>
      <c r="U2867" s="152">
        <f>100*(INDEX(TDU_Info!$E$5:$E$110,$T2867)/T$11+INDEX(TDU_Info!$F$5:$F$110,$T2867))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MATCH(1,(TDU_Info!$C$5:$C$110=$T$6)*(TDU_Info!$B$5:$B$110&lt;=$B2868),0)</f>
        <v>79</v>
      </c>
      <c r="U2868" s="152">
        <f>100*(INDEX(TDU_Info!$E$5:$E$110,$T2868)/T$11+INDEX(TDU_Info!$F$5:$F$110,$T2868))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MATCH(1,(TDU_Info!$C$5:$C$110=$T$6)*(TDU_Info!$B$5:$B$110&lt;=$B2869),0)</f>
        <v>79</v>
      </c>
      <c r="U2869" s="152">
        <f>100*(INDEX(TDU_Info!$E$5:$E$110,$T2869)/T$11+INDEX(TDU_Info!$F$5:$F$110,$T2869))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MATCH(1,(TDU_Info!$C$5:$C$110=$T$6)*(TDU_Info!$B$5:$B$110&lt;=$B2870),0)</f>
        <v>79</v>
      </c>
      <c r="U2870" s="152">
        <f>100*(INDEX(TDU_Info!$E$5:$E$110,$T2870)/T$11+INDEX(TDU_Info!$F$5:$F$110,$T2870))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MATCH(1,(TDU_Info!$C$5:$C$110=$T$6)*(TDU_Info!$B$5:$B$110&lt;=$B2871),0)</f>
        <v>79</v>
      </c>
      <c r="U2871" s="152">
        <f>100*(INDEX(TDU_Info!$E$5:$E$110,$T2871)/T$11+INDEX(TDU_Info!$F$5:$F$110,$T2871))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MATCH(1,(TDU_Info!$C$5:$C$110=$T$6)*(TDU_Info!$B$5:$B$110&lt;=$B2872),0)</f>
        <v>79</v>
      </c>
      <c r="U2872" s="152">
        <f>100*(INDEX(TDU_Info!$E$5:$E$110,$T2872)/T$11+INDEX(TDU_Info!$F$5:$F$110,$T2872))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MATCH(1,(TDU_Info!$C$5:$C$110=$T$6)*(TDU_Info!$B$5:$B$110&lt;=$B2873),0)</f>
        <v>79</v>
      </c>
      <c r="U2873" s="152">
        <f>100*(INDEX(TDU_Info!$E$5:$E$110,$T2873)/T$11+INDEX(TDU_Info!$F$5:$F$110,$T2873))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MATCH(1,(TDU_Info!$C$5:$C$110=$T$6)*(TDU_Info!$B$5:$B$110&lt;=$B2874),0)</f>
        <v>79</v>
      </c>
      <c r="U2874" s="152">
        <f>100*(INDEX(TDU_Info!$E$5:$E$110,$T2874)/T$11+INDEX(TDU_Info!$F$5:$F$110,$T2874))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MATCH(1,(TDU_Info!$C$5:$C$110=$T$6)*(TDU_Info!$B$5:$B$110&lt;=$B2875),0)</f>
        <v>79</v>
      </c>
      <c r="U2875" s="152">
        <f>100*(INDEX(TDU_Info!$E$5:$E$110,$T2875)/T$11+INDEX(TDU_Info!$F$5:$F$110,$T2875))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MATCH(1,(TDU_Info!$C$5:$C$110=$T$6)*(TDU_Info!$B$5:$B$110&lt;=$B2876),0)</f>
        <v>79</v>
      </c>
      <c r="U2876" s="152">
        <f>100*(INDEX(TDU_Info!$E$5:$E$110,$T2876)/T$11+INDEX(TDU_Info!$F$5:$F$110,$T2876))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MATCH(1,(TDU_Info!$C$5:$C$110=$T$6)*(TDU_Info!$B$5:$B$110&lt;=$B2877),0)</f>
        <v>79</v>
      </c>
      <c r="U2877" s="152">
        <f>100*(INDEX(TDU_Info!$E$5:$E$110,$T2877)/T$11+INDEX(TDU_Info!$F$5:$F$110,$T2877))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MATCH(1,(TDU_Info!$C$5:$C$110=$T$6)*(TDU_Info!$B$5:$B$110&lt;=$B2878),0)</f>
        <v>79</v>
      </c>
      <c r="U2878" s="152">
        <f>100*(INDEX(TDU_Info!$E$5:$E$110,$T2878)/T$11+INDEX(TDU_Info!$F$5:$F$110,$T2878))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MATCH(1,(TDU_Info!$C$5:$C$110=$T$6)*(TDU_Info!$B$5:$B$110&lt;=$B2879),0)</f>
        <v>79</v>
      </c>
      <c r="U2879" s="152">
        <f>100*(INDEX(TDU_Info!$E$5:$E$110,$T2879)/T$11+INDEX(TDU_Info!$F$5:$F$110,$T2879))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MATCH(1,(TDU_Info!$C$5:$C$110=$T$6)*(TDU_Info!$B$5:$B$110&lt;=$B2880),0)</f>
        <v>79</v>
      </c>
      <c r="U2880" s="152">
        <f>100*(INDEX(TDU_Info!$E$5:$E$110,$T2880)/T$11+INDEX(TDU_Info!$F$5:$F$110,$T2880))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MATCH(1,(TDU_Info!$C$5:$C$110=$T$6)*(TDU_Info!$B$5:$B$110&lt;=$B2881),0)</f>
        <v>79</v>
      </c>
      <c r="U2881" s="152">
        <f>100*(INDEX(TDU_Info!$E$5:$E$110,$T2881)/T$11+INDEX(TDU_Info!$F$5:$F$110,$T2881))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MATCH(1,(TDU_Info!$C$5:$C$110=$T$6)*(TDU_Info!$B$5:$B$110&lt;=$B2882),0)</f>
        <v>79</v>
      </c>
      <c r="U2882" s="152">
        <f>100*(INDEX(TDU_Info!$E$5:$E$110,$T2882)/T$11+INDEX(TDU_Info!$F$5:$F$110,$T2882))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MATCH(1,(TDU_Info!$C$5:$C$110=$T$6)*(TDU_Info!$B$5:$B$110&lt;=$B2883),0)</f>
        <v>79</v>
      </c>
      <c r="U2883" s="152">
        <f>100*(INDEX(TDU_Info!$E$5:$E$110,$T2883)/T$11+INDEX(TDU_Info!$F$5:$F$110,$T2883))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MATCH(1,(TDU_Info!$C$5:$C$110=$T$6)*(TDU_Info!$B$5:$B$110&lt;=$B2884),0)</f>
        <v>79</v>
      </c>
      <c r="U2884" s="152">
        <f>100*(INDEX(TDU_Info!$E$5:$E$110,$T2884)/T$11+INDEX(TDU_Info!$F$5:$F$110,$T2884))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MATCH(1,(TDU_Info!$C$5:$C$110=$T$6)*(TDU_Info!$B$5:$B$110&lt;=$B2885),0)</f>
        <v>79</v>
      </c>
      <c r="U2885" s="152">
        <f>100*(INDEX(TDU_Info!$E$5:$E$110,$T2885)/T$11+INDEX(TDU_Info!$F$5:$F$110,$T2885))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MATCH(1,(TDU_Info!$C$5:$C$110=$T$6)*(TDU_Info!$B$5:$B$110&lt;=$B2886),0)</f>
        <v>79</v>
      </c>
      <c r="U2886" s="152">
        <f>100*(INDEX(TDU_Info!$E$5:$E$110,$T2886)/T$11+INDEX(TDU_Info!$F$5:$F$110,$T2886))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MATCH(1,(TDU_Info!$C$5:$C$110=$T$6)*(TDU_Info!$B$5:$B$110&lt;=$B2887),0)</f>
        <v>79</v>
      </c>
      <c r="U2887" s="152">
        <f>100*(INDEX(TDU_Info!$E$5:$E$110,$T2887)/T$11+INDEX(TDU_Info!$F$5:$F$110,$T2887))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MATCH(1,(TDU_Info!$C$5:$C$110=$T$6)*(TDU_Info!$B$5:$B$110&lt;=$B2888),0)</f>
        <v>79</v>
      </c>
      <c r="U2888" s="152">
        <f>100*(INDEX(TDU_Info!$E$5:$E$110,$T2888)/T$11+INDEX(TDU_Info!$F$5:$F$110,$T2888))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MATCH(1,(TDU_Info!$C$5:$C$110=$T$6)*(TDU_Info!$B$5:$B$110&lt;=$B2889),0)</f>
        <v>79</v>
      </c>
      <c r="U2889" s="152">
        <f>100*(INDEX(TDU_Info!$E$5:$E$110,$T2889)/T$11+INDEX(TDU_Info!$F$5:$F$110,$T2889))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MATCH(1,(TDU_Info!$C$5:$C$110=$T$6)*(TDU_Info!$B$5:$B$110&lt;=$B2890),0)</f>
        <v>79</v>
      </c>
      <c r="U2890" s="152">
        <f>100*(INDEX(TDU_Info!$E$5:$E$110,$T2890)/T$11+INDEX(TDU_Info!$F$5:$F$110,$T2890))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MATCH(1,(TDU_Info!$C$5:$C$110=$T$6)*(TDU_Info!$B$5:$B$110&lt;=$B2891),0)</f>
        <v>79</v>
      </c>
      <c r="U2891" s="152">
        <f>100*(INDEX(TDU_Info!$E$5:$E$110,$T2891)/T$11+INDEX(TDU_Info!$F$5:$F$110,$T2891))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MATCH(1,(TDU_Info!$C$5:$C$110=$T$6)*(TDU_Info!$B$5:$B$110&lt;=$B2892),0)</f>
        <v>79</v>
      </c>
      <c r="U2892" s="152">
        <f>100*(INDEX(TDU_Info!$E$5:$E$110,$T2892)/T$11+INDEX(TDU_Info!$F$5:$F$110,$T2892))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MATCH(1,(TDU_Info!$C$5:$C$110=$T$6)*(TDU_Info!$B$5:$B$110&lt;=$B2893),0)</f>
        <v>79</v>
      </c>
      <c r="U2893" s="152">
        <f>100*(INDEX(TDU_Info!$E$5:$E$110,$T2893)/T$11+INDEX(TDU_Info!$F$5:$F$110,$T2893))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MATCH(1,(TDU_Info!$C$5:$C$110=$T$6)*(TDU_Info!$B$5:$B$110&lt;=$B2894),0)</f>
        <v>79</v>
      </c>
      <c r="U2894" s="152">
        <f>100*(INDEX(TDU_Info!$E$5:$E$110,$T2894)/T$11+INDEX(TDU_Info!$F$5:$F$110,$T2894))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MATCH(1,(TDU_Info!$C$5:$C$110=$T$6)*(TDU_Info!$B$5:$B$110&lt;=$B2895),0)</f>
        <v>79</v>
      </c>
      <c r="U2895" s="152">
        <f>100*(INDEX(TDU_Info!$E$5:$E$110,$T2895)/T$11+INDEX(TDU_Info!$F$5:$F$110,$T2895))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MATCH(1,(TDU_Info!$C$5:$C$110=$T$6)*(TDU_Info!$B$5:$B$110&lt;=$B2896),0)</f>
        <v>79</v>
      </c>
      <c r="U2896" s="152">
        <f>100*(INDEX(TDU_Info!$E$5:$E$110,$T2896)/T$11+INDEX(TDU_Info!$F$5:$F$110,$T2896))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MATCH(1,(TDU_Info!$C$5:$C$110=$T$6)*(TDU_Info!$B$5:$B$110&lt;=$B2897),0)</f>
        <v>79</v>
      </c>
      <c r="U2897" s="152">
        <f>100*(INDEX(TDU_Info!$E$5:$E$110,$T2897)/T$11+INDEX(TDU_Info!$F$5:$F$110,$T2897))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MATCH(1,(TDU_Info!$C$5:$C$110=$T$6)*(TDU_Info!$B$5:$B$110&lt;=$B2898),0)</f>
        <v>79</v>
      </c>
      <c r="U2898" s="152">
        <f>100*(INDEX(TDU_Info!$E$5:$E$110,$T2898)/T$11+INDEX(TDU_Info!$F$5:$F$110,$T2898))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MATCH(1,(TDU_Info!$C$5:$C$110=$T$6)*(TDU_Info!$B$5:$B$110&lt;=$B2899),0)</f>
        <v>79</v>
      </c>
      <c r="U2899" s="152">
        <f>100*(INDEX(TDU_Info!$E$5:$E$110,$T2899)/T$11+INDEX(TDU_Info!$F$5:$F$110,$T2899))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MATCH(1,(TDU_Info!$C$5:$C$110=$T$6)*(TDU_Info!$B$5:$B$110&lt;=$B2900),0)</f>
        <v>79</v>
      </c>
      <c r="U2900" s="152">
        <f>100*(INDEX(TDU_Info!$E$5:$E$110,$T2900)/T$11+INDEX(TDU_Info!$F$5:$F$110,$T2900))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MATCH(1,(TDU_Info!$C$5:$C$110=$T$6)*(TDU_Info!$B$5:$B$110&lt;=$B2901),0)</f>
        <v>79</v>
      </c>
      <c r="U2901" s="152">
        <f>100*(INDEX(TDU_Info!$E$5:$E$110,$T2901)/T$11+INDEX(TDU_Info!$F$5:$F$110,$T2901))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MATCH(1,(TDU_Info!$C$5:$C$110=$T$6)*(TDU_Info!$B$5:$B$110&lt;=$B2902),0)</f>
        <v>79</v>
      </c>
      <c r="U2902" s="152">
        <f>100*(INDEX(TDU_Info!$E$5:$E$110,$T2902)/T$11+INDEX(TDU_Info!$F$5:$F$110,$T2902))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MATCH(1,(TDU_Info!$C$5:$C$110=$T$6)*(TDU_Info!$B$5:$B$110&lt;=$B2903),0)</f>
        <v>79</v>
      </c>
      <c r="U2903" s="152">
        <f>100*(INDEX(TDU_Info!$E$5:$E$110,$T2903)/T$11+INDEX(TDU_Info!$F$5:$F$110,$T2903))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MATCH(1,(TDU_Info!$C$5:$C$110=$T$6)*(TDU_Info!$B$5:$B$110&lt;=$B2904),0)</f>
        <v>79</v>
      </c>
      <c r="U2904" s="152">
        <f>100*(INDEX(TDU_Info!$E$5:$E$110,$T2904)/T$11+INDEX(TDU_Info!$F$5:$F$110,$T2904))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MATCH(1,(TDU_Info!$C$5:$C$110=$T$6)*(TDU_Info!$B$5:$B$110&lt;=$B2905),0)</f>
        <v>79</v>
      </c>
      <c r="U2905" s="152">
        <f>100*(INDEX(TDU_Info!$E$5:$E$110,$T2905)/T$11+INDEX(TDU_Info!$F$5:$F$110,$T2905))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MATCH(1,(TDU_Info!$C$5:$C$110=$T$6)*(TDU_Info!$B$5:$B$110&lt;=$B2906),0)</f>
        <v>79</v>
      </c>
      <c r="U2906" s="152">
        <f>100*(INDEX(TDU_Info!$E$5:$E$110,$T2906)/T$11+INDEX(TDU_Info!$F$5:$F$110,$T2906))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MATCH(1,(TDU_Info!$C$5:$C$110=$T$6)*(TDU_Info!$B$5:$B$110&lt;=$B2907),0)</f>
        <v>79</v>
      </c>
      <c r="U2907" s="152">
        <f>100*(INDEX(TDU_Info!$E$5:$E$110,$T2907)/T$11+INDEX(TDU_Info!$F$5:$F$110,$T2907))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MATCH(1,(TDU_Info!$C$5:$C$110=$T$6)*(TDU_Info!$B$5:$B$110&lt;=$B2908),0)</f>
        <v>79</v>
      </c>
      <c r="U2908" s="152">
        <f>100*(INDEX(TDU_Info!$E$5:$E$110,$T2908)/T$11+INDEX(TDU_Info!$F$5:$F$110,$T2908))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MATCH(1,(TDU_Info!$C$5:$C$110=$T$6)*(TDU_Info!$B$5:$B$110&lt;=$B2909),0)</f>
        <v>79</v>
      </c>
      <c r="U2909" s="152">
        <f>100*(INDEX(TDU_Info!$E$5:$E$110,$T2909)/T$11+INDEX(TDU_Info!$F$5:$F$110,$T2909))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MATCH(1,(TDU_Info!$C$5:$C$110=$T$6)*(TDU_Info!$B$5:$B$110&lt;=$B2910),0)</f>
        <v>79</v>
      </c>
      <c r="U2910" s="152">
        <f>100*(INDEX(TDU_Info!$E$5:$E$110,$T2910)/T$11+INDEX(TDU_Info!$F$5:$F$110,$T2910))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MATCH(1,(TDU_Info!$C$5:$C$110=$T$6)*(TDU_Info!$B$5:$B$110&lt;=$B2911),0)</f>
        <v>79</v>
      </c>
      <c r="U2911" s="152">
        <f>100*(INDEX(TDU_Info!$E$5:$E$110,$T2911)/T$11+INDEX(TDU_Info!$F$5:$F$110,$T2911))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MATCH(1,(TDU_Info!$C$5:$C$110=$T$6)*(TDU_Info!$B$5:$B$110&lt;=$B2912),0)</f>
        <v>79</v>
      </c>
      <c r="U2912" s="152">
        <f>100*(INDEX(TDU_Info!$E$5:$E$110,$T2912)/T$11+INDEX(TDU_Info!$F$5:$F$110,$T2912))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MATCH(1,(TDU_Info!$C$5:$C$110=$T$6)*(TDU_Info!$B$5:$B$110&lt;=$B2913),0)</f>
        <v>79</v>
      </c>
      <c r="U2913" s="152">
        <f>100*(INDEX(TDU_Info!$E$5:$E$110,$T2913)/T$11+INDEX(TDU_Info!$F$5:$F$110,$T2913))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MATCH(1,(TDU_Info!$C$5:$C$110=$T$6)*(TDU_Info!$B$5:$B$110&lt;=$B2914),0)</f>
        <v>79</v>
      </c>
      <c r="U2914" s="152">
        <f>100*(INDEX(TDU_Info!$E$5:$E$110,$T2914)/T$11+INDEX(TDU_Info!$F$5:$F$110,$T2914))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MATCH(1,(TDU_Info!$C$5:$C$110=$T$6)*(TDU_Info!$B$5:$B$110&lt;=$B2915),0)</f>
        <v>78</v>
      </c>
      <c r="U2915" s="152">
        <f>100*(INDEX(TDU_Info!$E$5:$E$110,$T2915)/T$11+INDEX(TDU_Info!$F$5:$F$110,$T2915))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MATCH(1,(TDU_Info!$C$5:$C$110=$T$6)*(TDU_Info!$B$5:$B$110&lt;=$B2916),0)</f>
        <v>78</v>
      </c>
      <c r="U2916" s="152">
        <f>100*(INDEX(TDU_Info!$E$5:$E$110,$T2916)/T$11+INDEX(TDU_Info!$F$5:$F$110,$T2916))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MATCH(1,(TDU_Info!$C$5:$C$110=$T$6)*(TDU_Info!$B$5:$B$110&lt;=$B2917),0)</f>
        <v>78</v>
      </c>
      <c r="U2917" s="152">
        <f>100*(INDEX(TDU_Info!$E$5:$E$110,$T2917)/T$11+INDEX(TDU_Info!$F$5:$F$110,$T2917))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MATCH(1,(TDU_Info!$C$5:$C$110=$T$6)*(TDU_Info!$B$5:$B$110&lt;=$B2918),0)</f>
        <v>78</v>
      </c>
      <c r="U2918" s="152">
        <f>100*(INDEX(TDU_Info!$E$5:$E$110,$T2918)/T$11+INDEX(TDU_Info!$F$5:$F$110,$T2918))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MATCH(1,(TDU_Info!$C$5:$C$110=$T$6)*(TDU_Info!$B$5:$B$110&lt;=$B2919),0)</f>
        <v>78</v>
      </c>
      <c r="U2919" s="152">
        <f>100*(INDEX(TDU_Info!$E$5:$E$110,$T2919)/T$11+INDEX(TDU_Info!$F$5:$F$110,$T2919))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MATCH(1,(TDU_Info!$C$5:$C$110=$T$6)*(TDU_Info!$B$5:$B$110&lt;=$B2920),0)</f>
        <v>78</v>
      </c>
      <c r="U2920" s="152">
        <f>100*(INDEX(TDU_Info!$E$5:$E$110,$T2920)/T$11+INDEX(TDU_Info!$F$5:$F$110,$T2920))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MATCH(1,(TDU_Info!$C$5:$C$110=$T$6)*(TDU_Info!$B$5:$B$110&lt;=$B2921),0)</f>
        <v>78</v>
      </c>
      <c r="U2921" s="152">
        <f>100*(INDEX(TDU_Info!$E$5:$E$110,$T2921)/T$11+INDEX(TDU_Info!$F$5:$F$110,$T2921))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MATCH(1,(TDU_Info!$C$5:$C$110=$T$6)*(TDU_Info!$B$5:$B$110&lt;=$B2922),0)</f>
        <v>78</v>
      </c>
      <c r="U2922" s="152">
        <f>100*(INDEX(TDU_Info!$E$5:$E$110,$T2922)/T$11+INDEX(TDU_Info!$F$5:$F$110,$T2922))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MATCH(1,(TDU_Info!$C$5:$C$110=$T$6)*(TDU_Info!$B$5:$B$110&lt;=$B2923),0)</f>
        <v>78</v>
      </c>
      <c r="U2923" s="152">
        <f>100*(INDEX(TDU_Info!$E$5:$E$110,$T2923)/T$11+INDEX(TDU_Info!$F$5:$F$110,$T2923))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MATCH(1,(TDU_Info!$C$5:$C$110=$T$6)*(TDU_Info!$B$5:$B$110&lt;=$B2924),0)</f>
        <v>78</v>
      </c>
      <c r="U2924" s="152">
        <f>100*(INDEX(TDU_Info!$E$5:$E$110,$T2924)/T$11+INDEX(TDU_Info!$F$5:$F$110,$T2924))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MATCH(1,(TDU_Info!$C$5:$C$110=$T$6)*(TDU_Info!$B$5:$B$110&lt;=$B2925),0)</f>
        <v>78</v>
      </c>
      <c r="U2925" s="152">
        <f>100*(INDEX(TDU_Info!$E$5:$E$110,$T2925)/T$11+INDEX(TDU_Info!$F$5:$F$110,$T2925))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MATCH(1,(TDU_Info!$C$5:$C$110=$T$6)*(TDU_Info!$B$5:$B$110&lt;=$B2926),0)</f>
        <v>78</v>
      </c>
      <c r="U2926" s="152">
        <f>100*(INDEX(TDU_Info!$E$5:$E$110,$T2926)/T$11+INDEX(TDU_Info!$F$5:$F$110,$T2926))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MATCH(1,(TDU_Info!$C$5:$C$110=$T$6)*(TDU_Info!$B$5:$B$110&lt;=$B2927),0)</f>
        <v>78</v>
      </c>
      <c r="U2927" s="152">
        <f>100*(INDEX(TDU_Info!$E$5:$E$110,$T2927)/T$11+INDEX(TDU_Info!$F$5:$F$110,$T2927))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MATCH(1,(TDU_Info!$C$5:$C$110=$T$6)*(TDU_Info!$B$5:$B$110&lt;=$B2928),0)</f>
        <v>78</v>
      </c>
      <c r="U2928" s="152">
        <f>100*(INDEX(TDU_Info!$E$5:$E$110,$T2928)/T$11+INDEX(TDU_Info!$F$5:$F$110,$T2928))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MATCH(1,(TDU_Info!$C$5:$C$110=$T$6)*(TDU_Info!$B$5:$B$110&lt;=$B2929),0)</f>
        <v>78</v>
      </c>
      <c r="U2929" s="152">
        <f>100*(INDEX(TDU_Info!$E$5:$E$110,$T2929)/T$11+INDEX(TDU_Info!$F$5:$F$110,$T2929))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MATCH(1,(TDU_Info!$C$5:$C$110=$T$6)*(TDU_Info!$B$5:$B$110&lt;=$B2930),0)</f>
        <v>78</v>
      </c>
      <c r="U2930" s="152">
        <f>100*(INDEX(TDU_Info!$E$5:$E$110,$T2930)/T$11+INDEX(TDU_Info!$F$5:$F$110,$T2930))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MATCH(1,(TDU_Info!$C$5:$C$110=$T$6)*(TDU_Info!$B$5:$B$110&lt;=$B2931),0)</f>
        <v>78</v>
      </c>
      <c r="U2931" s="152">
        <f>100*(INDEX(TDU_Info!$E$5:$E$110,$T2931)/T$11+INDEX(TDU_Info!$F$5:$F$110,$T2931))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MATCH(1,(TDU_Info!$C$5:$C$110=$T$6)*(TDU_Info!$B$5:$B$110&lt;=$B2932),0)</f>
        <v>78</v>
      </c>
      <c r="U2932" s="152">
        <f>100*(INDEX(TDU_Info!$E$5:$E$110,$T2932)/T$11+INDEX(TDU_Info!$F$5:$F$110,$T2932))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MATCH(1,(TDU_Info!$C$5:$C$110=$T$6)*(TDU_Info!$B$5:$B$110&lt;=$B2933),0)</f>
        <v>78</v>
      </c>
      <c r="U2933" s="152">
        <f>100*(INDEX(TDU_Info!$E$5:$E$110,$T2933)/T$11+INDEX(TDU_Info!$F$5:$F$110,$T2933))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MATCH(1,(TDU_Info!$C$5:$C$110=$T$6)*(TDU_Info!$B$5:$B$110&lt;=$B2934),0)</f>
        <v>78</v>
      </c>
      <c r="U2934" s="152">
        <f>100*(INDEX(TDU_Info!$E$5:$E$110,$T2934)/T$11+INDEX(TDU_Info!$F$5:$F$110,$T2934))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MATCH(1,(TDU_Info!$C$5:$C$110=$T$6)*(TDU_Info!$B$5:$B$110&lt;=$B2935),0)</f>
        <v>78</v>
      </c>
      <c r="U2935" s="152">
        <f>100*(INDEX(TDU_Info!$E$5:$E$110,$T2935)/T$11+INDEX(TDU_Info!$F$5:$F$110,$T2935))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MATCH(1,(TDU_Info!$C$5:$C$110=$T$6)*(TDU_Info!$B$5:$B$110&lt;=$B2936),0)</f>
        <v>78</v>
      </c>
      <c r="U2936" s="152">
        <f>100*(INDEX(TDU_Info!$E$5:$E$110,$T2936)/T$11+INDEX(TDU_Info!$F$5:$F$110,$T2936))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MATCH(1,(TDU_Info!$C$5:$C$110=$T$6)*(TDU_Info!$B$5:$B$110&lt;=$B2937),0)</f>
        <v>78</v>
      </c>
      <c r="U2937" s="152">
        <f>100*(INDEX(TDU_Info!$E$5:$E$110,$T2937)/T$11+INDEX(TDU_Info!$F$5:$F$110,$T2937))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MATCH(1,(TDU_Info!$C$5:$C$110=$T$6)*(TDU_Info!$B$5:$B$110&lt;=$B2938),0)</f>
        <v>78</v>
      </c>
      <c r="U2938" s="152">
        <f>100*(INDEX(TDU_Info!$E$5:$E$110,$T2938)/T$11+INDEX(TDU_Info!$F$5:$F$110,$T2938))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MATCH(1,(TDU_Info!$C$5:$C$110=$T$6)*(TDU_Info!$B$5:$B$110&lt;=$B2939),0)</f>
        <v>78</v>
      </c>
      <c r="U2939" s="152">
        <f>100*(INDEX(TDU_Info!$E$5:$E$110,$T2939)/T$11+INDEX(TDU_Info!$F$5:$F$110,$T2939))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MATCH(1,(TDU_Info!$C$5:$C$110=$T$6)*(TDU_Info!$B$5:$B$110&lt;=$B2940),0)</f>
        <v>78</v>
      </c>
      <c r="U2940" s="152">
        <f>100*(INDEX(TDU_Info!$E$5:$E$110,$T2940)/T$11+INDEX(TDU_Info!$F$5:$F$110,$T2940))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MATCH(1,(TDU_Info!$C$5:$C$110=$T$6)*(TDU_Info!$B$5:$B$110&lt;=$B2941),0)</f>
        <v>78</v>
      </c>
      <c r="U2941" s="152">
        <f>100*(INDEX(TDU_Info!$E$5:$E$110,$T2941)/T$11+INDEX(TDU_Info!$F$5:$F$110,$T2941))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MATCH(1,(TDU_Info!$C$5:$C$110=$T$6)*(TDU_Info!$B$5:$B$110&lt;=$B2942),0)</f>
        <v>78</v>
      </c>
      <c r="U2942" s="152">
        <f>100*(INDEX(TDU_Info!$E$5:$E$110,$T2942)/T$11+INDEX(TDU_Info!$F$5:$F$110,$T2942))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MATCH(1,(TDU_Info!$C$5:$C$110=$T$6)*(TDU_Info!$B$5:$B$110&lt;=$B2943),0)</f>
        <v>78</v>
      </c>
      <c r="U2943" s="152">
        <f>100*(INDEX(TDU_Info!$E$5:$E$110,$T2943)/T$11+INDEX(TDU_Info!$F$5:$F$110,$T2943))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MATCH(1,(TDU_Info!$C$5:$C$110=$T$6)*(TDU_Info!$B$5:$B$110&lt;=$B2944),0)</f>
        <v>78</v>
      </c>
      <c r="U2944" s="152">
        <f>100*(INDEX(TDU_Info!$E$5:$E$110,$T2944)/T$11+INDEX(TDU_Info!$F$5:$F$110,$T2944))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MATCH(1,(TDU_Info!$C$5:$C$110=$T$6)*(TDU_Info!$B$5:$B$110&lt;=$B2945),0)</f>
        <v>78</v>
      </c>
      <c r="U2945" s="152">
        <f>100*(INDEX(TDU_Info!$E$5:$E$110,$T2945)/T$11+INDEX(TDU_Info!$F$5:$F$110,$T2945))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MATCH(1,(TDU_Info!$C$5:$C$110=$T$6)*(TDU_Info!$B$5:$B$110&lt;=$B2946),0)</f>
        <v>78</v>
      </c>
      <c r="U2946" s="152">
        <f>100*(INDEX(TDU_Info!$E$5:$E$110,$T2946)/T$11+INDEX(TDU_Info!$F$5:$F$110,$T2946))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MATCH(1,(TDU_Info!$C$5:$C$110=$T$6)*(TDU_Info!$B$5:$B$110&lt;=$B2947),0)</f>
        <v>78</v>
      </c>
      <c r="U2947" s="152">
        <f>100*(INDEX(TDU_Info!$E$5:$E$110,$T2947)/T$11+INDEX(TDU_Info!$F$5:$F$110,$T2947))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MATCH(1,(TDU_Info!$C$5:$C$110=$T$6)*(TDU_Info!$B$5:$B$110&lt;=$B2948),0)</f>
        <v>78</v>
      </c>
      <c r="U2948" s="152">
        <f>100*(INDEX(TDU_Info!$E$5:$E$110,$T2948)/T$11+INDEX(TDU_Info!$F$5:$F$110,$T2948))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MATCH(1,(TDU_Info!$C$5:$C$110=$T$6)*(TDU_Info!$B$5:$B$110&lt;=$B2949),0)</f>
        <v>78</v>
      </c>
      <c r="U2949" s="152">
        <f>100*(INDEX(TDU_Info!$E$5:$E$110,$T2949)/T$11+INDEX(TDU_Info!$F$5:$F$110,$T2949))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MATCH(1,(TDU_Info!$C$5:$C$110=$T$6)*(TDU_Info!$B$5:$B$110&lt;=$B2950),0)</f>
        <v>78</v>
      </c>
      <c r="U2950" s="152">
        <f>100*(INDEX(TDU_Info!$E$5:$E$110,$T2950)/T$11+INDEX(TDU_Info!$F$5:$F$110,$T2950))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MATCH(1,(TDU_Info!$C$5:$C$110=$T$6)*(TDU_Info!$B$5:$B$110&lt;=$B2951),0)</f>
        <v>78</v>
      </c>
      <c r="U2951" s="152">
        <f>100*(INDEX(TDU_Info!$E$5:$E$110,$T2951)/T$11+INDEX(TDU_Info!$F$5:$F$110,$T2951))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MATCH(1,(TDU_Info!$C$5:$C$110=$T$6)*(TDU_Info!$B$5:$B$110&lt;=$B2952),0)</f>
        <v>78</v>
      </c>
      <c r="U2952" s="152">
        <f>100*(INDEX(TDU_Info!$E$5:$E$110,$T2952)/T$11+INDEX(TDU_Info!$F$5:$F$110,$T2952))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MATCH(1,(TDU_Info!$C$5:$C$110=$T$6)*(TDU_Info!$B$5:$B$110&lt;=$B2953),0)</f>
        <v>78</v>
      </c>
      <c r="U2953" s="152">
        <f>100*(INDEX(TDU_Info!$E$5:$E$110,$T2953)/T$11+INDEX(TDU_Info!$F$5:$F$110,$T2953))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MATCH(1,(TDU_Info!$C$5:$C$110=$T$6)*(TDU_Info!$B$5:$B$110&lt;=$B2954),0)</f>
        <v>78</v>
      </c>
      <c r="U2954" s="152">
        <f>100*(INDEX(TDU_Info!$E$5:$E$110,$T2954)/T$11+INDEX(TDU_Info!$F$5:$F$110,$T2954))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MATCH(1,(TDU_Info!$C$5:$C$110=$T$6)*(TDU_Info!$B$5:$B$110&lt;=$B2955),0)</f>
        <v>78</v>
      </c>
      <c r="U2955" s="152">
        <f>100*(INDEX(TDU_Info!$E$5:$E$110,$T2955)/T$11+INDEX(TDU_Info!$F$5:$F$110,$T2955))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MATCH(1,(TDU_Info!$C$5:$C$110=$T$6)*(TDU_Info!$B$5:$B$110&lt;=$B2956),0)</f>
        <v>78</v>
      </c>
      <c r="U2956" s="152">
        <f>100*(INDEX(TDU_Info!$E$5:$E$110,$T2956)/T$11+INDEX(TDU_Info!$F$5:$F$110,$T2956))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MATCH(1,(TDU_Info!$C$5:$C$110=$T$6)*(TDU_Info!$B$5:$B$110&lt;=$B2957),0)</f>
        <v>78</v>
      </c>
      <c r="U2957" s="152">
        <f>100*(INDEX(TDU_Info!$E$5:$E$110,$T2957)/T$11+INDEX(TDU_Info!$F$5:$F$110,$T2957))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MATCH(1,(TDU_Info!$C$5:$C$110=$T$6)*(TDU_Info!$B$5:$B$110&lt;=$B2958),0)</f>
        <v>78</v>
      </c>
      <c r="U2958" s="152">
        <f>100*(INDEX(TDU_Info!$E$5:$E$110,$T2958)/T$11+INDEX(TDU_Info!$F$5:$F$110,$T2958))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MATCH(1,(TDU_Info!$C$5:$C$110=$T$6)*(TDU_Info!$B$5:$B$110&lt;=$B2959),0)</f>
        <v>78</v>
      </c>
      <c r="U2959" s="152">
        <f>100*(INDEX(TDU_Info!$E$5:$E$110,$T2959)/T$11+INDEX(TDU_Info!$F$5:$F$110,$T2959))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MATCH(1,(TDU_Info!$C$5:$C$110=$T$6)*(TDU_Info!$B$5:$B$110&lt;=$B2960),0)</f>
        <v>78</v>
      </c>
      <c r="U2960" s="152">
        <f>100*(INDEX(TDU_Info!$E$5:$E$110,$T2960)/T$11+INDEX(TDU_Info!$F$5:$F$110,$T2960))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MATCH(1,(TDU_Info!$C$5:$C$110=$T$6)*(TDU_Info!$B$5:$B$110&lt;=$B2961),0)</f>
        <v>78</v>
      </c>
      <c r="U2961" s="152">
        <f>100*(INDEX(TDU_Info!$E$5:$E$110,$T2961)/T$11+INDEX(TDU_Info!$F$5:$F$110,$T2961))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MATCH(1,(TDU_Info!$C$5:$C$110=$T$6)*(TDU_Info!$B$5:$B$110&lt;=$B2962),0)</f>
        <v>78</v>
      </c>
      <c r="U2962" s="152">
        <f>100*(INDEX(TDU_Info!$E$5:$E$110,$T2962)/T$11+INDEX(TDU_Info!$F$5:$F$110,$T2962))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MATCH(1,(TDU_Info!$C$5:$C$110=$T$6)*(TDU_Info!$B$5:$B$110&lt;=$B2963),0)</f>
        <v>78</v>
      </c>
      <c r="U2963" s="152">
        <f>100*(INDEX(TDU_Info!$E$5:$E$110,$T2963)/T$11+INDEX(TDU_Info!$F$5:$F$110,$T2963))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MATCH(1,(TDU_Info!$C$5:$C$110=$T$6)*(TDU_Info!$B$5:$B$110&lt;=$B2964),0)</f>
        <v>78</v>
      </c>
      <c r="U2964" s="152">
        <f>100*(INDEX(TDU_Info!$E$5:$E$110,$T2964)/T$11+INDEX(TDU_Info!$F$5:$F$110,$T2964))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MATCH(1,(TDU_Info!$C$5:$C$110=$T$6)*(TDU_Info!$B$5:$B$110&lt;=$B2965),0)</f>
        <v>78</v>
      </c>
      <c r="U2965" s="152">
        <f>100*(INDEX(TDU_Info!$E$5:$E$110,$T2965)/T$11+INDEX(TDU_Info!$F$5:$F$110,$T2965))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MATCH(1,(TDU_Info!$C$5:$C$110=$T$6)*(TDU_Info!$B$5:$B$110&lt;=$B2966),0)</f>
        <v>78</v>
      </c>
      <c r="U2966" s="152">
        <f>100*(INDEX(TDU_Info!$E$5:$E$110,$T2966)/T$11+INDEX(TDU_Info!$F$5:$F$110,$T2966))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MATCH(1,(TDU_Info!$C$5:$C$110=$T$6)*(TDU_Info!$B$5:$B$110&lt;=$B2967),0)</f>
        <v>78</v>
      </c>
      <c r="U2967" s="152">
        <f>100*(INDEX(TDU_Info!$E$5:$E$110,$T2967)/T$11+INDEX(TDU_Info!$F$5:$F$110,$T2967))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MATCH(1,(TDU_Info!$C$5:$C$110=$T$6)*(TDU_Info!$B$5:$B$110&lt;=$B2968),0)</f>
        <v>78</v>
      </c>
      <c r="U2968" s="152">
        <f>100*(INDEX(TDU_Info!$E$5:$E$110,$T2968)/T$11+INDEX(TDU_Info!$F$5:$F$110,$T2968))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MATCH(1,(TDU_Info!$C$5:$C$110=$T$6)*(TDU_Info!$B$5:$B$110&lt;=$B2969),0)</f>
        <v>78</v>
      </c>
      <c r="U2969" s="152">
        <f>100*(INDEX(TDU_Info!$E$5:$E$110,$T2969)/T$11+INDEX(TDU_Info!$F$5:$F$110,$T2969))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MATCH(1,(TDU_Info!$C$5:$C$110=$T$6)*(TDU_Info!$B$5:$B$110&lt;=$B2970),0)</f>
        <v>78</v>
      </c>
      <c r="U2970" s="152">
        <f>100*(INDEX(TDU_Info!$E$5:$E$110,$T2970)/T$11+INDEX(TDU_Info!$F$5:$F$110,$T2970))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MATCH(1,(TDU_Info!$C$5:$C$110=$T$6)*(TDU_Info!$B$5:$B$110&lt;=$B2971),0)</f>
        <v>78</v>
      </c>
      <c r="U2971" s="152">
        <f>100*(INDEX(TDU_Info!$E$5:$E$110,$T2971)/T$11+INDEX(TDU_Info!$F$5:$F$110,$T2971))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MATCH(1,(TDU_Info!$C$5:$C$110=$T$6)*(TDU_Info!$B$5:$B$110&lt;=$B2972),0)</f>
        <v>78</v>
      </c>
      <c r="U2972" s="152">
        <f>100*(INDEX(TDU_Info!$E$5:$E$110,$T2972)/T$11+INDEX(TDU_Info!$F$5:$F$110,$T2972))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MATCH(1,(TDU_Info!$C$5:$C$110=$T$6)*(TDU_Info!$B$5:$B$110&lt;=$B2973),0)</f>
        <v>78</v>
      </c>
      <c r="U2973" s="152">
        <f>100*(INDEX(TDU_Info!$E$5:$E$110,$T2973)/T$11+INDEX(TDU_Info!$F$5:$F$110,$T2973))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MATCH(1,(TDU_Info!$C$5:$C$110=$T$6)*(TDU_Info!$B$5:$B$110&lt;=$B2974),0)</f>
        <v>78</v>
      </c>
      <c r="U2974" s="152">
        <f>100*(INDEX(TDU_Info!$E$5:$E$110,$T2974)/T$11+INDEX(TDU_Info!$F$5:$F$110,$T2974))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MATCH(1,(TDU_Info!$C$5:$C$110=$T$6)*(TDU_Info!$B$5:$B$110&lt;=$B2975),0)</f>
        <v>78</v>
      </c>
      <c r="U2975" s="152">
        <f>100*(INDEX(TDU_Info!$E$5:$E$110,$T2975)/T$11+INDEX(TDU_Info!$F$5:$F$110,$T2975))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MATCH(1,(TDU_Info!$C$5:$C$110=$T$6)*(TDU_Info!$B$5:$B$110&lt;=$B2976),0)</f>
        <v>78</v>
      </c>
      <c r="U2976" s="152">
        <f>100*(INDEX(TDU_Info!$E$5:$E$110,$T2976)/T$11+INDEX(TDU_Info!$F$5:$F$110,$T2976))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MATCH(1,(TDU_Info!$C$5:$C$110=$T$6)*(TDU_Info!$B$5:$B$110&lt;=$B2977),0)</f>
        <v>78</v>
      </c>
      <c r="U2977" s="152">
        <f>100*(INDEX(TDU_Info!$E$5:$E$110,$T2977)/T$11+INDEX(TDU_Info!$F$5:$F$110,$T2977))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MATCH(1,(TDU_Info!$C$5:$C$110=$T$6)*(TDU_Info!$B$5:$B$110&lt;=$B2978),0)</f>
        <v>78</v>
      </c>
      <c r="U2978" s="152">
        <f>100*(INDEX(TDU_Info!$E$5:$E$110,$T2978)/T$11+INDEX(TDU_Info!$F$5:$F$110,$T2978))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MATCH(1,(TDU_Info!$C$5:$C$110=$T$6)*(TDU_Info!$B$5:$B$110&lt;=$B2979),0)</f>
        <v>78</v>
      </c>
      <c r="U2979" s="152">
        <f>100*(INDEX(TDU_Info!$E$5:$E$110,$T2979)/T$11+INDEX(TDU_Info!$F$5:$F$110,$T2979))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MATCH(1,(TDU_Info!$C$5:$C$110=$T$6)*(TDU_Info!$B$5:$B$110&lt;=$B2980),0)</f>
        <v>78</v>
      </c>
      <c r="U2980" s="152">
        <f>100*(INDEX(TDU_Info!$E$5:$E$110,$T2980)/T$11+INDEX(TDU_Info!$F$5:$F$110,$T2980))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MATCH(1,(TDU_Info!$C$5:$C$110=$T$6)*(TDU_Info!$B$5:$B$110&lt;=$B2981),0)</f>
        <v>78</v>
      </c>
      <c r="U2981" s="152">
        <f>100*(INDEX(TDU_Info!$E$5:$E$110,$T2981)/T$11+INDEX(TDU_Info!$F$5:$F$110,$T2981))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MATCH(1,(TDU_Info!$C$5:$C$110=$T$6)*(TDU_Info!$B$5:$B$110&lt;=$B2982),0)</f>
        <v>78</v>
      </c>
      <c r="U2982" s="152">
        <f>100*(INDEX(TDU_Info!$E$5:$E$110,$T2982)/T$11+INDEX(TDU_Info!$F$5:$F$110,$T2982))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MATCH(1,(TDU_Info!$C$5:$C$110=$T$6)*(TDU_Info!$B$5:$B$110&lt;=$B2983),0)</f>
        <v>78</v>
      </c>
      <c r="U2983" s="152">
        <f>100*(INDEX(TDU_Info!$E$5:$E$110,$T2983)/T$11+INDEX(TDU_Info!$F$5:$F$110,$T2983))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MATCH(1,(TDU_Info!$C$5:$C$110=$T$6)*(TDU_Info!$B$5:$B$110&lt;=$B2984),0)</f>
        <v>78</v>
      </c>
      <c r="U2984" s="152">
        <f>100*(INDEX(TDU_Info!$E$5:$E$110,$T2984)/T$11+INDEX(TDU_Info!$F$5:$F$110,$T2984))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MATCH(1,(TDU_Info!$C$5:$C$110=$T$6)*(TDU_Info!$B$5:$B$110&lt;=$B2985),0)</f>
        <v>78</v>
      </c>
      <c r="U2985" s="152">
        <f>100*(INDEX(TDU_Info!$E$5:$E$110,$T2985)/T$11+INDEX(TDU_Info!$F$5:$F$110,$T2985))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MATCH(1,(TDU_Info!$C$5:$C$110=$T$6)*(TDU_Info!$B$5:$B$110&lt;=$B2986),0)</f>
        <v>78</v>
      </c>
      <c r="U2986" s="152">
        <f>100*(INDEX(TDU_Info!$E$5:$E$110,$T2986)/T$11+INDEX(TDU_Info!$F$5:$F$110,$T2986))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MATCH(1,(TDU_Info!$C$5:$C$110=$T$6)*(TDU_Info!$B$5:$B$110&lt;=$B2987),0)</f>
        <v>78</v>
      </c>
      <c r="U2987" s="152">
        <f>100*(INDEX(TDU_Info!$E$5:$E$110,$T2987)/T$11+INDEX(TDU_Info!$F$5:$F$110,$T2987))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MATCH(1,(TDU_Info!$C$5:$C$110=$T$6)*(TDU_Info!$B$5:$B$110&lt;=$B2988),0)</f>
        <v>78</v>
      </c>
      <c r="U2988" s="152">
        <f>100*(INDEX(TDU_Info!$E$5:$E$110,$T2988)/T$11+INDEX(TDU_Info!$F$5:$F$110,$T2988))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MATCH(1,(TDU_Info!$C$5:$C$110=$T$6)*(TDU_Info!$B$5:$B$110&lt;=$B2989),0)</f>
        <v>78</v>
      </c>
      <c r="U2989" s="152">
        <f>100*(INDEX(TDU_Info!$E$5:$E$110,$T2989)/T$11+INDEX(TDU_Info!$F$5:$F$110,$T2989))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MATCH(1,(TDU_Info!$C$5:$C$110=$T$6)*(TDU_Info!$B$5:$B$110&lt;=$B2990),0)</f>
        <v>78</v>
      </c>
      <c r="U2990" s="152">
        <f>100*(INDEX(TDU_Info!$E$5:$E$110,$T2990)/T$11+INDEX(TDU_Info!$F$5:$F$110,$T2990))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MATCH(1,(TDU_Info!$C$5:$C$110=$T$6)*(TDU_Info!$B$5:$B$110&lt;=$B2991),0)</f>
        <v>78</v>
      </c>
      <c r="U2991" s="152">
        <f>100*(INDEX(TDU_Info!$E$5:$E$110,$T2991)/T$11+INDEX(TDU_Info!$F$5:$F$110,$T2991))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MATCH(1,(TDU_Info!$C$5:$C$110=$T$6)*(TDU_Info!$B$5:$B$110&lt;=$B2992),0)</f>
        <v>78</v>
      </c>
      <c r="U2992" s="152">
        <f>100*(INDEX(TDU_Info!$E$5:$E$110,$T2992)/T$11+INDEX(TDU_Info!$F$5:$F$110,$T2992))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MATCH(1,(TDU_Info!$C$5:$C$110=$T$6)*(TDU_Info!$B$5:$B$110&lt;=$B2993),0)</f>
        <v>77</v>
      </c>
      <c r="U2993" s="152">
        <f>100*(INDEX(TDU_Info!$E$5:$E$110,$T2993)/T$11+INDEX(TDU_Info!$F$5:$F$110,$T2993))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MATCH(1,(TDU_Info!$C$5:$C$110=$T$6)*(TDU_Info!$B$5:$B$110&lt;=$B2994),0)</f>
        <v>77</v>
      </c>
      <c r="U2994" s="152">
        <f>100*(INDEX(TDU_Info!$E$5:$E$110,$T2994)/T$11+INDEX(TDU_Info!$F$5:$F$110,$T2994))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MATCH(1,(TDU_Info!$C$5:$C$110=$T$6)*(TDU_Info!$B$5:$B$110&lt;=$B2995),0)</f>
        <v>77</v>
      </c>
      <c r="U2995" s="152">
        <f>100*(INDEX(TDU_Info!$E$5:$E$110,$T2995)/T$11+INDEX(TDU_Info!$F$5:$F$110,$T2995))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MATCH(1,(TDU_Info!$C$5:$C$110=$T$6)*(TDU_Info!$B$5:$B$110&lt;=$B2996),0)</f>
        <v>77</v>
      </c>
      <c r="U2996" s="152">
        <f>100*(INDEX(TDU_Info!$E$5:$E$110,$T2996)/T$11+INDEX(TDU_Info!$F$5:$F$110,$T2996))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MATCH(1,(TDU_Info!$C$5:$C$110=$T$6)*(TDU_Info!$B$5:$B$110&lt;=$B2997),0)</f>
        <v>77</v>
      </c>
      <c r="U2997" s="152">
        <f>100*(INDEX(TDU_Info!$E$5:$E$110,$T2997)/T$11+INDEX(TDU_Info!$F$5:$F$110,$T2997))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MATCH(1,(TDU_Info!$C$5:$C$110=$T$6)*(TDU_Info!$B$5:$B$110&lt;=$B2998),0)</f>
        <v>76</v>
      </c>
      <c r="U2998" s="152">
        <f>100*(INDEX(TDU_Info!$E$5:$E$110,$T2998)/T$11+INDEX(TDU_Info!$F$5:$F$110,$T2998))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MATCH(1,(TDU_Info!$C$5:$C$110=$T$6)*(TDU_Info!$B$5:$B$110&lt;=$B2999),0)</f>
        <v>76</v>
      </c>
      <c r="U2999" s="152">
        <f>100*(INDEX(TDU_Info!$E$5:$E$110,$T2999)/T$11+INDEX(TDU_Info!$F$5:$F$110,$T2999))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MATCH(1,(TDU_Info!$C$5:$C$110=$T$6)*(TDU_Info!$B$5:$B$110&lt;=$B3000),0)</f>
        <v>76</v>
      </c>
      <c r="U3000" s="152">
        <f>100*(INDEX(TDU_Info!$E$5:$E$110,$T3000)/T$11+INDEX(TDU_Info!$F$5:$F$110,$T3000))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MATCH(1,(TDU_Info!$C$5:$C$110=$T$6)*(TDU_Info!$B$5:$B$110&lt;=$B3001),0)</f>
        <v>76</v>
      </c>
      <c r="U3001" s="152">
        <f>100*(INDEX(TDU_Info!$E$5:$E$110,$T3001)/T$11+INDEX(TDU_Info!$F$5:$F$110,$T3001))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MATCH(1,(TDU_Info!$C$5:$C$110=$T$6)*(TDU_Info!$B$5:$B$110&lt;=$B3002),0)</f>
        <v>76</v>
      </c>
      <c r="U3002" s="152">
        <f>100*(INDEX(TDU_Info!$E$5:$E$110,$T3002)/T$11+INDEX(TDU_Info!$F$5:$F$110,$T3002))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MATCH(1,(TDU_Info!$C$5:$C$110=$T$6)*(TDU_Info!$B$5:$B$110&lt;=$B3003),0)</f>
        <v>76</v>
      </c>
      <c r="U3003" s="152">
        <f>100*(INDEX(TDU_Info!$E$5:$E$110,$T3003)/T$11+INDEX(TDU_Info!$F$5:$F$110,$T3003))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MATCH(1,(TDU_Info!$C$5:$C$110=$T$6)*(TDU_Info!$B$5:$B$110&lt;=$B3004),0)</f>
        <v>76</v>
      </c>
      <c r="U3004" s="152">
        <f>100*(INDEX(TDU_Info!$E$5:$E$110,$T3004)/T$11+INDEX(TDU_Info!$F$5:$F$110,$T3004))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MATCH(1,(TDU_Info!$C$5:$C$110=$T$6)*(TDU_Info!$B$5:$B$110&lt;=$B3005),0)</f>
        <v>76</v>
      </c>
      <c r="U3005" s="152">
        <f>100*(INDEX(TDU_Info!$E$5:$E$110,$T3005)/T$11+INDEX(TDU_Info!$F$5:$F$110,$T3005))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MATCH(1,(TDU_Info!$C$5:$C$110=$T$6)*(TDU_Info!$B$5:$B$110&lt;=$B3006),0)</f>
        <v>76</v>
      </c>
      <c r="U3006" s="152">
        <f>100*(INDEX(TDU_Info!$E$5:$E$110,$T3006)/T$11+INDEX(TDU_Info!$F$5:$F$110,$T3006))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MATCH(1,(TDU_Info!$C$5:$C$110=$T$6)*(TDU_Info!$B$5:$B$110&lt;=$B3007),0)</f>
        <v>76</v>
      </c>
      <c r="U3007" s="152">
        <f>100*(INDEX(TDU_Info!$E$5:$E$110,$T3007)/T$11+INDEX(TDU_Info!$F$5:$F$110,$T3007))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MATCH(1,(TDU_Info!$C$5:$C$110=$T$6)*(TDU_Info!$B$5:$B$110&lt;=$B3008),0)</f>
        <v>76</v>
      </c>
      <c r="U3008" s="152">
        <f>100*(INDEX(TDU_Info!$E$5:$E$110,$T3008)/T$11+INDEX(TDU_Info!$F$5:$F$110,$T3008))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MATCH(1,(TDU_Info!$C$5:$C$110=$T$6)*(TDU_Info!$B$5:$B$110&lt;=$B3009),0)</f>
        <v>76</v>
      </c>
      <c r="U3009" s="152">
        <f>100*(INDEX(TDU_Info!$E$5:$E$110,$T3009)/T$11+INDEX(TDU_Info!$F$5:$F$110,$T3009))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MATCH(1,(TDU_Info!$C$5:$C$110=$T$6)*(TDU_Info!$B$5:$B$110&lt;=$B3010),0)</f>
        <v>76</v>
      </c>
      <c r="U3010" s="152">
        <f>100*(INDEX(TDU_Info!$E$5:$E$110,$T3010)/T$11+INDEX(TDU_Info!$F$5:$F$110,$T3010))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MATCH(1,(TDU_Info!$C$5:$C$110=$T$6)*(TDU_Info!$B$5:$B$110&lt;=$B3011),0)</f>
        <v>76</v>
      </c>
      <c r="U3011" s="152">
        <f>100*(INDEX(TDU_Info!$E$5:$E$110,$T3011)/T$11+INDEX(TDU_Info!$F$5:$F$110,$T3011))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MATCH(1,(TDU_Info!$C$5:$C$110=$T$6)*(TDU_Info!$B$5:$B$110&lt;=$B3012),0)</f>
        <v>76</v>
      </c>
      <c r="U3012" s="152">
        <f>100*(INDEX(TDU_Info!$E$5:$E$110,$T3012)/T$11+INDEX(TDU_Info!$F$5:$F$110,$T3012))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MATCH(1,(TDU_Info!$C$5:$C$110=$T$6)*(TDU_Info!$B$5:$B$110&lt;=$B3013),0)</f>
        <v>76</v>
      </c>
      <c r="U3013" s="152">
        <f>100*(INDEX(TDU_Info!$E$5:$E$110,$T3013)/T$11+INDEX(TDU_Info!$F$5:$F$110,$T3013))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MATCH(1,(TDU_Info!$C$5:$C$110=$T$6)*(TDU_Info!$B$5:$B$110&lt;=$B3014),0)</f>
        <v>76</v>
      </c>
      <c r="U3014" s="152">
        <f>100*(INDEX(TDU_Info!$E$5:$E$110,$T3014)/T$11+INDEX(TDU_Info!$F$5:$F$110,$T3014))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MATCH(1,(TDU_Info!$C$5:$C$110=$T$6)*(TDU_Info!$B$5:$B$110&lt;=$B3015),0)</f>
        <v>76</v>
      </c>
      <c r="U3015" s="152">
        <f>100*(INDEX(TDU_Info!$E$5:$E$110,$T3015)/T$11+INDEX(TDU_Info!$F$5:$F$110,$T3015))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MATCH(1,(TDU_Info!$C$5:$C$110=$T$6)*(TDU_Info!$B$5:$B$110&lt;=$B3016),0)</f>
        <v>76</v>
      </c>
      <c r="U3016" s="152">
        <f>100*(INDEX(TDU_Info!$E$5:$E$110,$T3016)/T$11+INDEX(TDU_Info!$F$5:$F$110,$T3016))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MATCH(1,(TDU_Info!$C$5:$C$110=$T$6)*(TDU_Info!$B$5:$B$110&lt;=$B3017),0)</f>
        <v>76</v>
      </c>
      <c r="U3017" s="152">
        <f>100*(INDEX(TDU_Info!$E$5:$E$110,$T3017)/T$11+INDEX(TDU_Info!$F$5:$F$110,$T3017))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MATCH(1,(TDU_Info!$C$5:$C$110=$T$6)*(TDU_Info!$B$5:$B$110&lt;=$B3018),0)</f>
        <v>76</v>
      </c>
      <c r="U3018" s="152">
        <f>100*(INDEX(TDU_Info!$E$5:$E$110,$T3018)/T$11+INDEX(TDU_Info!$F$5:$F$110,$T3018))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MATCH(1,(TDU_Info!$C$5:$C$110=$T$6)*(TDU_Info!$B$5:$B$110&lt;=$B3019),0)</f>
        <v>76</v>
      </c>
      <c r="U3019" s="152">
        <f>100*(INDEX(TDU_Info!$E$5:$E$110,$T3019)/T$11+INDEX(TDU_Info!$F$5:$F$110,$T3019))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MATCH(1,(TDU_Info!$C$5:$C$110=$T$6)*(TDU_Info!$B$5:$B$110&lt;=$B3020),0)</f>
        <v>76</v>
      </c>
      <c r="U3020" s="152">
        <f>100*(INDEX(TDU_Info!$E$5:$E$110,$T3020)/T$11+INDEX(TDU_Info!$F$5:$F$110,$T3020))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MATCH(1,(TDU_Info!$C$5:$C$110=$T$6)*(TDU_Info!$B$5:$B$110&lt;=$B3021),0)</f>
        <v>76</v>
      </c>
      <c r="U3021" s="152">
        <f>100*(INDEX(TDU_Info!$E$5:$E$110,$T3021)/T$11+INDEX(TDU_Info!$F$5:$F$110,$T3021))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MATCH(1,(TDU_Info!$C$5:$C$110=$T$6)*(TDU_Info!$B$5:$B$110&lt;=$B3022),0)</f>
        <v>76</v>
      </c>
      <c r="U3022" s="152">
        <f>100*(INDEX(TDU_Info!$E$5:$E$110,$T3022)/T$11+INDEX(TDU_Info!$F$5:$F$110,$T3022))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MATCH(1,(TDU_Info!$C$5:$C$110=$T$6)*(TDU_Info!$B$5:$B$110&lt;=$B3023),0)</f>
        <v>76</v>
      </c>
      <c r="U3023" s="152">
        <f>100*(INDEX(TDU_Info!$E$5:$E$110,$T3023)/T$11+INDEX(TDU_Info!$F$5:$F$110,$T3023))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MATCH(1,(TDU_Info!$C$5:$C$110=$T$6)*(TDU_Info!$B$5:$B$110&lt;=$B3024),0)</f>
        <v>76</v>
      </c>
      <c r="U3024" s="152">
        <f>100*(INDEX(TDU_Info!$E$5:$E$110,$T3024)/T$11+INDEX(TDU_Info!$F$5:$F$110,$T3024))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MATCH(1,(TDU_Info!$C$5:$C$110=$T$6)*(TDU_Info!$B$5:$B$110&lt;=$B3025),0)</f>
        <v>76</v>
      </c>
      <c r="U3025" s="152">
        <f>100*(INDEX(TDU_Info!$E$5:$E$110,$T3025)/T$11+INDEX(TDU_Info!$F$5:$F$110,$T3025))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MATCH(1,(TDU_Info!$C$5:$C$110=$T$6)*(TDU_Info!$B$5:$B$110&lt;=$B3026),0)</f>
        <v>76</v>
      </c>
      <c r="U3026" s="152">
        <f>100*(INDEX(TDU_Info!$E$5:$E$110,$T3026)/T$11+INDEX(TDU_Info!$F$5:$F$110,$T3026))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MATCH(1,(TDU_Info!$C$5:$C$110=$T$6)*(TDU_Info!$B$5:$B$110&lt;=$B3027),0)</f>
        <v>76</v>
      </c>
      <c r="U3027" s="152">
        <f>100*(INDEX(TDU_Info!$E$5:$E$110,$T3027)/T$11+INDEX(TDU_Info!$F$5:$F$110,$T3027))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MATCH(1,(TDU_Info!$C$5:$C$110=$T$6)*(TDU_Info!$B$5:$B$110&lt;=$B3028),0)</f>
        <v>76</v>
      </c>
      <c r="U3028" s="152">
        <f>100*(INDEX(TDU_Info!$E$5:$E$110,$T3028)/T$11+INDEX(TDU_Info!$F$5:$F$110,$T3028))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MATCH(1,(TDU_Info!$C$5:$C$110=$T$6)*(TDU_Info!$B$5:$B$110&lt;=$B3029),0)</f>
        <v>76</v>
      </c>
      <c r="U3029" s="152">
        <f>100*(INDEX(TDU_Info!$E$5:$E$110,$T3029)/T$11+INDEX(TDU_Info!$F$5:$F$110,$T3029))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MATCH(1,(TDU_Info!$C$5:$C$110=$T$6)*(TDU_Info!$B$5:$B$110&lt;=$B3030),0)</f>
        <v>76</v>
      </c>
      <c r="U3030" s="152">
        <f>100*(INDEX(TDU_Info!$E$5:$E$110,$T3030)/T$11+INDEX(TDU_Info!$F$5:$F$110,$T3030))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MATCH(1,(TDU_Info!$C$5:$C$110=$T$6)*(TDU_Info!$B$5:$B$110&lt;=$B3031),0)</f>
        <v>76</v>
      </c>
      <c r="U3031" s="152">
        <f>100*(INDEX(TDU_Info!$E$5:$E$110,$T3031)/T$11+INDEX(TDU_Info!$F$5:$F$110,$T3031))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MATCH(1,(TDU_Info!$C$5:$C$110=$T$6)*(TDU_Info!$B$5:$B$110&lt;=$B3032),0)</f>
        <v>76</v>
      </c>
      <c r="U3032" s="152">
        <f>100*(INDEX(TDU_Info!$E$5:$E$110,$T3032)/T$11+INDEX(TDU_Info!$F$5:$F$110,$T3032))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MATCH(1,(TDU_Info!$C$5:$C$110=$T$6)*(TDU_Info!$B$5:$B$110&lt;=$B3033),0)</f>
        <v>76</v>
      </c>
      <c r="U3033" s="152">
        <f>100*(INDEX(TDU_Info!$E$5:$E$110,$T3033)/T$11+INDEX(TDU_Info!$F$5:$F$110,$T3033))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MATCH(1,(TDU_Info!$C$5:$C$110=$T$6)*(TDU_Info!$B$5:$B$110&lt;=$B3034),0)</f>
        <v>76</v>
      </c>
      <c r="U3034" s="152">
        <f>100*(INDEX(TDU_Info!$E$5:$E$110,$T3034)/T$11+INDEX(TDU_Info!$F$5:$F$110,$T3034))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MATCH(1,(TDU_Info!$C$5:$C$110=$T$6)*(TDU_Info!$B$5:$B$110&lt;=$B3035),0)</f>
        <v>76</v>
      </c>
      <c r="U3035" s="152">
        <f>100*(INDEX(TDU_Info!$E$5:$E$110,$T3035)/T$11+INDEX(TDU_Info!$F$5:$F$110,$T3035))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MATCH(1,(TDU_Info!$C$5:$C$110=$T$6)*(TDU_Info!$B$5:$B$110&lt;=$B3036),0)</f>
        <v>76</v>
      </c>
      <c r="U3036" s="152">
        <f>100*(INDEX(TDU_Info!$E$5:$E$110,$T3036)/T$11+INDEX(TDU_Info!$F$5:$F$110,$T3036))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MATCH(1,(TDU_Info!$C$5:$C$110=$T$6)*(TDU_Info!$B$5:$B$110&lt;=$B3037),0)</f>
        <v>76</v>
      </c>
      <c r="U3037" s="152">
        <f>100*(INDEX(TDU_Info!$E$5:$E$110,$T3037)/T$11+INDEX(TDU_Info!$F$5:$F$110,$T3037))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MATCH(1,(TDU_Info!$C$5:$C$110=$T$6)*(TDU_Info!$B$5:$B$110&lt;=$B3038),0)</f>
        <v>76</v>
      </c>
      <c r="U3038" s="152">
        <f>100*(INDEX(TDU_Info!$E$5:$E$110,$T3038)/T$11+INDEX(TDU_Info!$F$5:$F$110,$T3038))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MATCH(1,(TDU_Info!$C$5:$C$110=$T$6)*(TDU_Info!$B$5:$B$110&lt;=$B3039),0)</f>
        <v>76</v>
      </c>
      <c r="U3039" s="152">
        <f>100*(INDEX(TDU_Info!$E$5:$E$110,$T3039)/T$11+INDEX(TDU_Info!$F$5:$F$110,$T3039))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MATCH(1,(TDU_Info!$C$5:$C$110=$T$6)*(TDU_Info!$B$5:$B$110&lt;=$B3040),0)</f>
        <v>76</v>
      </c>
      <c r="U3040" s="152">
        <f>100*(INDEX(TDU_Info!$E$5:$E$110,$T3040)/T$11+INDEX(TDU_Info!$F$5:$F$110,$T3040))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MATCH(1,(TDU_Info!$C$5:$C$110=$T$6)*(TDU_Info!$B$5:$B$110&lt;=$B3041),0)</f>
        <v>76</v>
      </c>
      <c r="U3041" s="152">
        <f>100*(INDEX(TDU_Info!$E$5:$E$110,$T3041)/T$11+INDEX(TDU_Info!$F$5:$F$110,$T3041))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MATCH(1,(TDU_Info!$C$5:$C$110=$T$6)*(TDU_Info!$B$5:$B$110&lt;=$B3042),0)</f>
        <v>76</v>
      </c>
      <c r="U3042" s="152">
        <f>100*(INDEX(TDU_Info!$E$5:$E$110,$T3042)/T$11+INDEX(TDU_Info!$F$5:$F$110,$T3042))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MATCH(1,(TDU_Info!$C$5:$C$110=$T$6)*(TDU_Info!$B$5:$B$110&lt;=$B3043),0)</f>
        <v>76</v>
      </c>
      <c r="U3043" s="152">
        <f>100*(INDEX(TDU_Info!$E$5:$E$110,$T3043)/T$11+INDEX(TDU_Info!$F$5:$F$110,$T3043))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MATCH(1,(TDU_Info!$C$5:$C$110=$T$6)*(TDU_Info!$B$5:$B$110&lt;=$B3044),0)</f>
        <v>76</v>
      </c>
      <c r="U3044" s="152">
        <f>100*(INDEX(TDU_Info!$E$5:$E$110,$T3044)/T$11+INDEX(TDU_Info!$F$5:$F$110,$T3044))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MATCH(1,(TDU_Info!$C$5:$C$110=$T$6)*(TDU_Info!$B$5:$B$110&lt;=$B3045),0)</f>
        <v>76</v>
      </c>
      <c r="U3045" s="152">
        <f>100*(INDEX(TDU_Info!$E$5:$E$110,$T3045)/T$11+INDEX(TDU_Info!$F$5:$F$110,$T3045))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MATCH(1,(TDU_Info!$C$5:$C$110=$T$6)*(TDU_Info!$B$5:$B$110&lt;=$B3046),0)</f>
        <v>76</v>
      </c>
      <c r="U3046" s="152">
        <f>100*(INDEX(TDU_Info!$E$5:$E$110,$T3046)/T$11+INDEX(TDU_Info!$F$5:$F$110,$T3046))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MATCH(1,(TDU_Info!$C$5:$C$110=$T$6)*(TDU_Info!$B$5:$B$110&lt;=$B3047),0)</f>
        <v>76</v>
      </c>
      <c r="U3047" s="152">
        <f>100*(INDEX(TDU_Info!$E$5:$E$110,$T3047)/T$11+INDEX(TDU_Info!$F$5:$F$110,$T3047))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MATCH(1,(TDU_Info!$C$5:$C$110=$T$6)*(TDU_Info!$B$5:$B$110&lt;=$B3048),0)</f>
        <v>76</v>
      </c>
      <c r="U3048" s="152">
        <f>100*(INDEX(TDU_Info!$E$5:$E$110,$T3048)/T$11+INDEX(TDU_Info!$F$5:$F$110,$T3048))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MATCH(1,(TDU_Info!$C$5:$C$110=$T$6)*(TDU_Info!$B$5:$B$110&lt;=$B3049),0)</f>
        <v>76</v>
      </c>
      <c r="U3049" s="152">
        <f>100*(INDEX(TDU_Info!$E$5:$E$110,$T3049)/T$11+INDEX(TDU_Info!$F$5:$F$110,$T3049))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MATCH(1,(TDU_Info!$C$5:$C$110=$T$6)*(TDU_Info!$B$5:$B$110&lt;=$B3050),0)</f>
        <v>76</v>
      </c>
      <c r="U3050" s="152">
        <f>100*(INDEX(TDU_Info!$E$5:$E$110,$T3050)/T$11+INDEX(TDU_Info!$F$5:$F$110,$T3050))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MATCH(1,(TDU_Info!$C$5:$C$110=$T$6)*(TDU_Info!$B$5:$B$110&lt;=$B3051),0)</f>
        <v>76</v>
      </c>
      <c r="U3051" s="152">
        <f>100*(INDEX(TDU_Info!$E$5:$E$110,$T3051)/T$11+INDEX(TDU_Info!$F$5:$F$110,$T3051))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MATCH(1,(TDU_Info!$C$5:$C$110=$T$6)*(TDU_Info!$B$5:$B$110&lt;=$B3052),0)</f>
        <v>76</v>
      </c>
      <c r="U3052" s="152">
        <f>100*(INDEX(TDU_Info!$E$5:$E$110,$T3052)/T$11+INDEX(TDU_Info!$F$5:$F$110,$T3052))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MATCH(1,(TDU_Info!$C$5:$C$110=$T$6)*(TDU_Info!$B$5:$B$110&lt;=$B3053),0)</f>
        <v>76</v>
      </c>
      <c r="U3053" s="152">
        <f>100*(INDEX(TDU_Info!$E$5:$E$110,$T3053)/T$11+INDEX(TDU_Info!$F$5:$F$110,$T3053))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MATCH(1,(TDU_Info!$C$5:$C$110=$T$6)*(TDU_Info!$B$5:$B$110&lt;=$B3054),0)</f>
        <v>76</v>
      </c>
      <c r="U3054" s="152">
        <f>100*(INDEX(TDU_Info!$E$5:$E$110,$T3054)/T$11+INDEX(TDU_Info!$F$5:$F$110,$T3054))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MATCH(1,(TDU_Info!$C$5:$C$110=$T$6)*(TDU_Info!$B$5:$B$110&lt;=$B3055),0)</f>
        <v>76</v>
      </c>
      <c r="U3055" s="152">
        <f>100*(INDEX(TDU_Info!$E$5:$E$110,$T3055)/T$11+INDEX(TDU_Info!$F$5:$F$110,$T3055))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MATCH(1,(TDU_Info!$C$5:$C$110=$T$6)*(TDU_Info!$B$5:$B$110&lt;=$B3056),0)</f>
        <v>76</v>
      </c>
      <c r="U3056" s="152">
        <f>100*(INDEX(TDU_Info!$E$5:$E$110,$T3056)/T$11+INDEX(TDU_Info!$F$5:$F$110,$T3056))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MATCH(1,(TDU_Info!$C$5:$C$110=$T$6)*(TDU_Info!$B$5:$B$110&lt;=$B3057),0)</f>
        <v>76</v>
      </c>
      <c r="U3057" s="152">
        <f>100*(INDEX(TDU_Info!$E$5:$E$110,$T3057)/T$11+INDEX(TDU_Info!$F$5:$F$110,$T3057))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MATCH(1,(TDU_Info!$C$5:$C$110=$T$6)*(TDU_Info!$B$5:$B$110&lt;=$B3058),0)</f>
        <v>76</v>
      </c>
      <c r="U3058" s="152">
        <f>100*(INDEX(TDU_Info!$E$5:$E$110,$T3058)/T$11+INDEX(TDU_Info!$F$5:$F$110,$T3058))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MATCH(1,(TDU_Info!$C$5:$C$110=$T$6)*(TDU_Info!$B$5:$B$110&lt;=$B3059),0)</f>
        <v>76</v>
      </c>
      <c r="U3059" s="152">
        <f>100*(INDEX(TDU_Info!$E$5:$E$110,$T3059)/T$11+INDEX(TDU_Info!$F$5:$F$110,$T3059))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MATCH(1,(TDU_Info!$C$5:$C$110=$T$6)*(TDU_Info!$B$5:$B$110&lt;=$B3060),0)</f>
        <v>76</v>
      </c>
      <c r="U3060" s="152">
        <f>100*(INDEX(TDU_Info!$E$5:$E$110,$T3060)/T$11+INDEX(TDU_Info!$F$5:$F$110,$T3060))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MATCH(1,(TDU_Info!$C$5:$C$110=$T$6)*(TDU_Info!$B$5:$B$110&lt;=$B3061),0)</f>
        <v>76</v>
      </c>
      <c r="U3061" s="152">
        <f>100*(INDEX(TDU_Info!$E$5:$E$110,$T3061)/T$11+INDEX(TDU_Info!$F$5:$F$110,$T3061))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MATCH(1,(TDU_Info!$C$5:$C$110=$T$6)*(TDU_Info!$B$5:$B$110&lt;=$B3062),0)</f>
        <v>76</v>
      </c>
      <c r="U3062" s="152">
        <f>100*(INDEX(TDU_Info!$E$5:$E$110,$T3062)/T$11+INDEX(TDU_Info!$F$5:$F$110,$T3062))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MATCH(1,(TDU_Info!$C$5:$C$110=$T$6)*(TDU_Info!$B$5:$B$110&lt;=$B3063),0)</f>
        <v>76</v>
      </c>
      <c r="U3063" s="152">
        <f>100*(INDEX(TDU_Info!$E$5:$E$110,$T3063)/T$11+INDEX(TDU_Info!$F$5:$F$110,$T3063))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MATCH(1,(TDU_Info!$C$5:$C$110=$T$6)*(TDU_Info!$B$5:$B$110&lt;=$B3064),0)</f>
        <v>76</v>
      </c>
      <c r="U3064" s="152">
        <f>100*(INDEX(TDU_Info!$E$5:$E$110,$T3064)/T$11+INDEX(TDU_Info!$F$5:$F$110,$T3064))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MATCH(1,(TDU_Info!$C$5:$C$110=$T$6)*(TDU_Info!$B$5:$B$110&lt;=$B3065),0)</f>
        <v>76</v>
      </c>
      <c r="U3065" s="152">
        <f>100*(INDEX(TDU_Info!$E$5:$E$110,$T3065)/T$11+INDEX(TDU_Info!$F$5:$F$110,$T3065))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MATCH(1,(TDU_Info!$C$5:$C$110=$T$6)*(TDU_Info!$B$5:$B$110&lt;=$B3066),0)</f>
        <v>76</v>
      </c>
      <c r="U3066" s="152">
        <f>100*(INDEX(TDU_Info!$E$5:$E$110,$T3066)/T$11+INDEX(TDU_Info!$F$5:$F$110,$T3066))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MATCH(1,(TDU_Info!$C$5:$C$110=$T$6)*(TDU_Info!$B$5:$B$110&lt;=$B3067),0)</f>
        <v>76</v>
      </c>
      <c r="U3067" s="152">
        <f>100*(INDEX(TDU_Info!$E$5:$E$110,$T3067)/T$11+INDEX(TDU_Info!$F$5:$F$110,$T3067))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MATCH(1,(TDU_Info!$C$5:$C$110=$T$6)*(TDU_Info!$B$5:$B$110&lt;=$B3068),0)</f>
        <v>75</v>
      </c>
      <c r="U3068" s="152">
        <f>100*(INDEX(TDU_Info!$E$5:$E$110,$T3068)/T$11+INDEX(TDU_Info!$F$5:$F$110,$T3068))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MATCH(1,(TDU_Info!$C$5:$C$110=$T$6)*(TDU_Info!$B$5:$B$110&lt;=$B3069),0)</f>
        <v>75</v>
      </c>
      <c r="U3069" s="152">
        <f>100*(INDEX(TDU_Info!$E$5:$E$110,$T3069)/T$11+INDEX(TDU_Info!$F$5:$F$110,$T3069))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MATCH(1,(TDU_Info!$C$5:$C$110=$T$6)*(TDU_Info!$B$5:$B$110&lt;=$B3070),0)</f>
        <v>75</v>
      </c>
      <c r="U3070" s="152">
        <f>100*(INDEX(TDU_Info!$E$5:$E$110,$T3070)/T$11+INDEX(TDU_Info!$F$5:$F$110,$T3070))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MATCH(1,(TDU_Info!$C$5:$C$110=$T$6)*(TDU_Info!$B$5:$B$110&lt;=$B3071),0)</f>
        <v>75</v>
      </c>
      <c r="U3071" s="152">
        <f>100*(INDEX(TDU_Info!$E$5:$E$110,$T3071)/T$11+INDEX(TDU_Info!$F$5:$F$110,$T3071))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MATCH(1,(TDU_Info!$C$5:$C$110=$T$6)*(TDU_Info!$B$5:$B$110&lt;=$B3072),0)</f>
        <v>75</v>
      </c>
      <c r="U3072" s="152">
        <f>100*(INDEX(TDU_Info!$E$5:$E$110,$T3072)/T$11+INDEX(TDU_Info!$F$5:$F$110,$T3072))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MATCH(1,(TDU_Info!$C$5:$C$110=$T$6)*(TDU_Info!$B$5:$B$110&lt;=$B3073),0)</f>
        <v>75</v>
      </c>
      <c r="U3073" s="152">
        <f>100*(INDEX(TDU_Info!$E$5:$E$110,$T3073)/T$11+INDEX(TDU_Info!$F$5:$F$110,$T3073))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MATCH(1,(TDU_Info!$C$5:$C$110=$T$6)*(TDU_Info!$B$5:$B$110&lt;=$B3074),0)</f>
        <v>75</v>
      </c>
      <c r="U3074" s="152">
        <f>100*(INDEX(TDU_Info!$E$5:$E$110,$T3074)/T$11+INDEX(TDU_Info!$F$5:$F$110,$T3074))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MATCH(1,(TDU_Info!$C$5:$C$110=$T$6)*(TDU_Info!$B$5:$B$110&lt;=$B3075),0)</f>
        <v>75</v>
      </c>
      <c r="U3075" s="152">
        <f>100*(INDEX(TDU_Info!$E$5:$E$110,$T3075)/T$11+INDEX(TDU_Info!$F$5:$F$110,$T3075))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MATCH(1,(TDU_Info!$C$5:$C$110=$T$6)*(TDU_Info!$B$5:$B$110&lt;=$B3076),0)</f>
        <v>75</v>
      </c>
      <c r="U3076" s="152">
        <f>100*(INDEX(TDU_Info!$E$5:$E$110,$T3076)/T$11+INDEX(TDU_Info!$F$5:$F$110,$T3076))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MATCH(1,(TDU_Info!$C$5:$C$110=$T$6)*(TDU_Info!$B$5:$B$110&lt;=$B3077),0)</f>
        <v>75</v>
      </c>
      <c r="U3077" s="152">
        <f>100*(INDEX(TDU_Info!$E$5:$E$110,$T3077)/T$11+INDEX(TDU_Info!$F$5:$F$110,$T3077))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MATCH(1,(TDU_Info!$C$5:$C$110=$T$6)*(TDU_Info!$B$5:$B$110&lt;=$B3078),0)</f>
        <v>75</v>
      </c>
      <c r="U3078" s="152">
        <f>100*(INDEX(TDU_Info!$E$5:$E$110,$T3078)/T$11+INDEX(TDU_Info!$F$5:$F$110,$T3078))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MATCH(1,(TDU_Info!$C$5:$C$110=$T$6)*(TDU_Info!$B$5:$B$110&lt;=$B3079),0)</f>
        <v>75</v>
      </c>
      <c r="U3079" s="152">
        <f>100*(INDEX(TDU_Info!$E$5:$E$110,$T3079)/T$11+INDEX(TDU_Info!$F$5:$F$110,$T3079))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MATCH(1,(TDU_Info!$C$5:$C$110=$T$6)*(TDU_Info!$B$5:$B$110&lt;=$B3080),0)</f>
        <v>75</v>
      </c>
      <c r="U3080" s="152">
        <f>100*(INDEX(TDU_Info!$E$5:$E$110,$T3080)/T$11+INDEX(TDU_Info!$F$5:$F$110,$T3080))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MATCH(1,(TDU_Info!$C$5:$C$110=$T$6)*(TDU_Info!$B$5:$B$110&lt;=$B3081),0)</f>
        <v>75</v>
      </c>
      <c r="U3081" s="152">
        <f>100*(INDEX(TDU_Info!$E$5:$E$110,$T3081)/T$11+INDEX(TDU_Info!$F$5:$F$110,$T3081))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MATCH(1,(TDU_Info!$C$5:$C$110=$T$6)*(TDU_Info!$B$5:$B$110&lt;=$B3082),0)</f>
        <v>75</v>
      </c>
      <c r="U3082" s="152">
        <f>100*(INDEX(TDU_Info!$E$5:$E$110,$T3082)/T$11+INDEX(TDU_Info!$F$5:$F$110,$T3082))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MATCH(1,(TDU_Info!$C$5:$C$110=$T$6)*(TDU_Info!$B$5:$B$110&lt;=$B3083),0)</f>
        <v>75</v>
      </c>
      <c r="U3083" s="152">
        <f>100*(INDEX(TDU_Info!$E$5:$E$110,$T3083)/T$11+INDEX(TDU_Info!$F$5:$F$110,$T3083))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MATCH(1,(TDU_Info!$C$5:$C$110=$T$6)*(TDU_Info!$B$5:$B$110&lt;=$B3084),0)</f>
        <v>75</v>
      </c>
      <c r="U3084" s="152">
        <f>100*(INDEX(TDU_Info!$E$5:$E$110,$T3084)/T$11+INDEX(TDU_Info!$F$5:$F$110,$T3084))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MATCH(1,(TDU_Info!$C$5:$C$110=$T$6)*(TDU_Info!$B$5:$B$110&lt;=$B3085),0)</f>
        <v>75</v>
      </c>
      <c r="U3085" s="152">
        <f>100*(INDEX(TDU_Info!$E$5:$E$110,$T3085)/T$11+INDEX(TDU_Info!$F$5:$F$110,$T3085))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MATCH(1,(TDU_Info!$C$5:$C$110=$T$6)*(TDU_Info!$B$5:$B$110&lt;=$B3086),0)</f>
        <v>75</v>
      </c>
      <c r="U3086" s="152">
        <f>100*(INDEX(TDU_Info!$E$5:$E$110,$T3086)/T$11+INDEX(TDU_Info!$F$5:$F$110,$T3086))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MATCH(1,(TDU_Info!$C$5:$C$110=$T$6)*(TDU_Info!$B$5:$B$110&lt;=$B3087),0)</f>
        <v>75</v>
      </c>
      <c r="U3087" s="152">
        <f>100*(INDEX(TDU_Info!$E$5:$E$110,$T3087)/T$11+INDEX(TDU_Info!$F$5:$F$110,$T3087))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MATCH(1,(TDU_Info!$C$5:$C$110=$T$6)*(TDU_Info!$B$5:$B$110&lt;=$B3088),0)</f>
        <v>75</v>
      </c>
      <c r="U3088" s="152">
        <f>100*(INDEX(TDU_Info!$E$5:$E$110,$T3088)/T$11+INDEX(TDU_Info!$F$5:$F$110,$T3088))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MATCH(1,(TDU_Info!$C$5:$C$110=$T$6)*(TDU_Info!$B$5:$B$110&lt;=$B3089),0)</f>
        <v>75</v>
      </c>
      <c r="U3089" s="152">
        <f>100*(INDEX(TDU_Info!$E$5:$E$110,$T3089)/T$11+INDEX(TDU_Info!$F$5:$F$110,$T3089))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MATCH(1,(TDU_Info!$C$5:$C$110=$T$6)*(TDU_Info!$B$5:$B$110&lt;=$B3090),0)</f>
        <v>75</v>
      </c>
      <c r="U3090" s="152">
        <f>100*(INDEX(TDU_Info!$E$5:$E$110,$T3090)/T$11+INDEX(TDU_Info!$F$5:$F$110,$T3090))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MATCH(1,(TDU_Info!$C$5:$C$110=$T$6)*(TDU_Info!$B$5:$B$110&lt;=$B3091),0)</f>
        <v>75</v>
      </c>
      <c r="U3091" s="152">
        <f>100*(INDEX(TDU_Info!$E$5:$E$110,$T3091)/T$11+INDEX(TDU_Info!$F$5:$F$110,$T3091))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MATCH(1,(TDU_Info!$C$5:$C$110=$T$6)*(TDU_Info!$B$5:$B$110&lt;=$B3092),0)</f>
        <v>75</v>
      </c>
      <c r="U3092" s="152">
        <f>100*(INDEX(TDU_Info!$E$5:$E$110,$T3092)/T$11+INDEX(TDU_Info!$F$5:$F$110,$T3092))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MATCH(1,(TDU_Info!$C$5:$C$110=$T$6)*(TDU_Info!$B$5:$B$110&lt;=$B3093),0)</f>
        <v>75</v>
      </c>
      <c r="U3093" s="152">
        <f>100*(INDEX(TDU_Info!$E$5:$E$110,$T3093)/T$11+INDEX(TDU_Info!$F$5:$F$110,$T3093))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MATCH(1,(TDU_Info!$C$5:$C$110=$T$6)*(TDU_Info!$B$5:$B$110&lt;=$B3094),0)</f>
        <v>75</v>
      </c>
      <c r="U3094" s="152">
        <f>100*(INDEX(TDU_Info!$E$5:$E$110,$T3094)/T$11+INDEX(TDU_Info!$F$5:$F$110,$T3094))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MATCH(1,(TDU_Info!$C$5:$C$110=$T$6)*(TDU_Info!$B$5:$B$110&lt;=$B3095),0)</f>
        <v>75</v>
      </c>
      <c r="U3095" s="152">
        <f>100*(INDEX(TDU_Info!$E$5:$E$110,$T3095)/T$11+INDEX(TDU_Info!$F$5:$F$110,$T3095))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MATCH(1,(TDU_Info!$C$5:$C$110=$T$6)*(TDU_Info!$B$5:$B$110&lt;=$B3096),0)</f>
        <v>75</v>
      </c>
      <c r="U3096" s="152">
        <f>100*(INDEX(TDU_Info!$E$5:$E$110,$T3096)/T$11+INDEX(TDU_Info!$F$5:$F$110,$T3096))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MATCH(1,(TDU_Info!$C$5:$C$110=$T$6)*(TDU_Info!$B$5:$B$110&lt;=$B3097),0)</f>
        <v>75</v>
      </c>
      <c r="U3097" s="152">
        <f>100*(INDEX(TDU_Info!$E$5:$E$110,$T3097)/T$11+INDEX(TDU_Info!$F$5:$F$110,$T3097))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MATCH(1,(TDU_Info!$C$5:$C$110=$T$6)*(TDU_Info!$B$5:$B$110&lt;=$B3098),0)</f>
        <v>75</v>
      </c>
      <c r="U3098" s="152">
        <f>100*(INDEX(TDU_Info!$E$5:$E$110,$T3098)/T$11+INDEX(TDU_Info!$F$5:$F$110,$T3098))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MATCH(1,(TDU_Info!$C$5:$C$110=$T$6)*(TDU_Info!$B$5:$B$110&lt;=$B3099),0)</f>
        <v>75</v>
      </c>
      <c r="U3099" s="152">
        <f>100*(INDEX(TDU_Info!$E$5:$E$110,$T3099)/T$11+INDEX(TDU_Info!$F$5:$F$110,$T3099))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MATCH(1,(TDU_Info!$C$5:$C$110=$T$6)*(TDU_Info!$B$5:$B$110&lt;=$B3100),0)</f>
        <v>75</v>
      </c>
      <c r="U3100" s="152">
        <f>100*(INDEX(TDU_Info!$E$5:$E$110,$T3100)/T$11+INDEX(TDU_Info!$F$5:$F$110,$T3100))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MATCH(1,(TDU_Info!$C$5:$C$110=$T$6)*(TDU_Info!$B$5:$B$110&lt;=$B3101),0)</f>
        <v>75</v>
      </c>
      <c r="U3101" s="152">
        <f>100*(INDEX(TDU_Info!$E$5:$E$110,$T3101)/T$11+INDEX(TDU_Info!$F$5:$F$110,$T3101))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MATCH(1,(TDU_Info!$C$5:$C$110=$T$6)*(TDU_Info!$B$5:$B$110&lt;=$B3102),0)</f>
        <v>75</v>
      </c>
      <c r="U3102" s="152">
        <f>100*(INDEX(TDU_Info!$E$5:$E$110,$T3102)/T$11+INDEX(TDU_Info!$F$5:$F$110,$T3102))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MATCH(1,(TDU_Info!$C$5:$C$110=$T$6)*(TDU_Info!$B$5:$B$110&lt;=$B3103),0)</f>
        <v>75</v>
      </c>
      <c r="U3103" s="152">
        <f>100*(INDEX(TDU_Info!$E$5:$E$110,$T3103)/T$11+INDEX(TDU_Info!$F$5:$F$110,$T3103))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MATCH(1,(TDU_Info!$C$5:$C$110=$T$6)*(TDU_Info!$B$5:$B$110&lt;=$B3104),0)</f>
        <v>75</v>
      </c>
      <c r="U3104" s="152">
        <f>100*(INDEX(TDU_Info!$E$5:$E$110,$T3104)/T$11+INDEX(TDU_Info!$F$5:$F$110,$T3104))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MATCH(1,(TDU_Info!$C$5:$C$110=$T$6)*(TDU_Info!$B$5:$B$110&lt;=$B3105),0)</f>
        <v>75</v>
      </c>
      <c r="U3105" s="152">
        <f>100*(INDEX(TDU_Info!$E$5:$E$110,$T3105)/T$11+INDEX(TDU_Info!$F$5:$F$110,$T3105))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MATCH(1,(TDU_Info!$C$5:$C$110=$T$6)*(TDU_Info!$B$5:$B$110&lt;=$B3106),0)</f>
        <v>75</v>
      </c>
      <c r="U3106" s="152">
        <f>100*(INDEX(TDU_Info!$E$5:$E$110,$T3106)/T$11+INDEX(TDU_Info!$F$5:$F$110,$T3106))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MATCH(1,(TDU_Info!$C$5:$C$110=$T$6)*(TDU_Info!$B$5:$B$110&lt;=$B3107),0)</f>
        <v>75</v>
      </c>
      <c r="U3107" s="152">
        <f>100*(INDEX(TDU_Info!$E$5:$E$110,$T3107)/T$11+INDEX(TDU_Info!$F$5:$F$110,$T3107))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MATCH(1,(TDU_Info!$C$5:$C$110=$T$6)*(TDU_Info!$B$5:$B$110&lt;=$B3108),0)</f>
        <v>75</v>
      </c>
      <c r="U3108" s="152">
        <f>100*(INDEX(TDU_Info!$E$5:$E$110,$T3108)/T$11+INDEX(TDU_Info!$F$5:$F$110,$T3108))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MATCH(1,(TDU_Info!$C$5:$C$110=$T$6)*(TDU_Info!$B$5:$B$110&lt;=$B3109),0)</f>
        <v>75</v>
      </c>
      <c r="U3109" s="152">
        <f>100*(INDEX(TDU_Info!$E$5:$E$110,$T3109)/T$11+INDEX(TDU_Info!$F$5:$F$110,$T3109))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MATCH(1,(TDU_Info!$C$5:$C$110=$T$6)*(TDU_Info!$B$5:$B$110&lt;=$B3110),0)</f>
        <v>75</v>
      </c>
      <c r="U3110" s="152">
        <f>100*(INDEX(TDU_Info!$E$5:$E$110,$T3110)/T$11+INDEX(TDU_Info!$F$5:$F$110,$T3110))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MATCH(1,(TDU_Info!$C$5:$C$110=$T$6)*(TDU_Info!$B$5:$B$110&lt;=$B3111),0)</f>
        <v>75</v>
      </c>
      <c r="U3111" s="152">
        <f>100*(INDEX(TDU_Info!$E$5:$E$110,$T3111)/T$11+INDEX(TDU_Info!$F$5:$F$110,$T3111))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MATCH(1,(TDU_Info!$C$5:$C$110=$T$6)*(TDU_Info!$B$5:$B$110&lt;=$B3112),0)</f>
        <v>75</v>
      </c>
      <c r="U3112" s="152">
        <f>100*(INDEX(TDU_Info!$E$5:$E$110,$T3112)/T$11+INDEX(TDU_Info!$F$5:$F$110,$T3112))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MATCH(1,(TDU_Info!$C$5:$C$110=$T$6)*(TDU_Info!$B$5:$B$110&lt;=$B3113),0)</f>
        <v>75</v>
      </c>
      <c r="U3113" s="152">
        <f>100*(INDEX(TDU_Info!$E$5:$E$110,$T3113)/T$11+INDEX(TDU_Info!$F$5:$F$110,$T3113))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MATCH(1,(TDU_Info!$C$5:$C$110=$T$6)*(TDU_Info!$B$5:$B$110&lt;=$B3114),0)</f>
        <v>75</v>
      </c>
      <c r="U3114" s="152">
        <f>100*(INDEX(TDU_Info!$E$5:$E$110,$T3114)/T$11+INDEX(TDU_Info!$F$5:$F$110,$T3114))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MATCH(1,(TDU_Info!$C$5:$C$110=$T$6)*(TDU_Info!$B$5:$B$110&lt;=$B3115),0)</f>
        <v>75</v>
      </c>
      <c r="U3115" s="152">
        <f>100*(INDEX(TDU_Info!$E$5:$E$110,$T3115)/T$11+INDEX(TDU_Info!$F$5:$F$110,$T3115))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MATCH(1,(TDU_Info!$C$5:$C$110=$T$6)*(TDU_Info!$B$5:$B$110&lt;=$B3116),0)</f>
        <v>75</v>
      </c>
      <c r="U3116" s="152">
        <f>100*(INDEX(TDU_Info!$E$5:$E$110,$T3116)/T$11+INDEX(TDU_Info!$F$5:$F$110,$T3116))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MATCH(1,(TDU_Info!$C$5:$C$110=$T$6)*(TDU_Info!$B$5:$B$110&lt;=$B3117),0)</f>
        <v>75</v>
      </c>
      <c r="U3117" s="152">
        <f>100*(INDEX(TDU_Info!$E$5:$E$110,$T3117)/T$11+INDEX(TDU_Info!$F$5:$F$110,$T3117))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MATCH(1,(TDU_Info!$C$5:$C$110=$T$6)*(TDU_Info!$B$5:$B$110&lt;=$B3118),0)</f>
        <v>75</v>
      </c>
      <c r="U3118" s="152">
        <f>100*(INDEX(TDU_Info!$E$5:$E$110,$T3118)/T$11+INDEX(TDU_Info!$F$5:$F$110,$T3118))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MATCH(1,(TDU_Info!$C$5:$C$110=$T$6)*(TDU_Info!$B$5:$B$110&lt;=$B3119),0)</f>
        <v>75</v>
      </c>
      <c r="U3119" s="152">
        <f>100*(INDEX(TDU_Info!$E$5:$E$110,$T3119)/T$11+INDEX(TDU_Info!$F$5:$F$110,$T3119))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MATCH(1,(TDU_Info!$C$5:$C$110=$T$6)*(TDU_Info!$B$5:$B$110&lt;=$B3120),0)</f>
        <v>75</v>
      </c>
      <c r="U3120" s="152">
        <f>100*(INDEX(TDU_Info!$E$5:$E$110,$T3120)/T$11+INDEX(TDU_Info!$F$5:$F$110,$T3120))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MATCH(1,(TDU_Info!$C$5:$C$110=$T$6)*(TDU_Info!$B$5:$B$110&lt;=$B3121),0)</f>
        <v>75</v>
      </c>
      <c r="U3121" s="152">
        <f>100*(INDEX(TDU_Info!$E$5:$E$110,$T3121)/T$11+INDEX(TDU_Info!$F$5:$F$110,$T3121))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MATCH(1,(TDU_Info!$C$5:$C$110=$T$6)*(TDU_Info!$B$5:$B$110&lt;=$B3122),0)</f>
        <v>75</v>
      </c>
      <c r="U3122" s="152">
        <f>100*(INDEX(TDU_Info!$E$5:$E$110,$T3122)/T$11+INDEX(TDU_Info!$F$5:$F$110,$T3122))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MATCH(1,(TDU_Info!$C$5:$C$110=$T$6)*(TDU_Info!$B$5:$B$110&lt;=$B3123),0)</f>
        <v>75</v>
      </c>
      <c r="U3123" s="152">
        <f>100*(INDEX(TDU_Info!$E$5:$E$110,$T3123)/T$11+INDEX(TDU_Info!$F$5:$F$110,$T3123))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MATCH(1,(TDU_Info!$C$5:$C$110=$T$6)*(TDU_Info!$B$5:$B$110&lt;=$B3124),0)</f>
        <v>75</v>
      </c>
      <c r="U3124" s="152">
        <f>100*(INDEX(TDU_Info!$E$5:$E$110,$T3124)/T$11+INDEX(TDU_Info!$F$5:$F$110,$T3124))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MATCH(1,(TDU_Info!$C$5:$C$110=$T$6)*(TDU_Info!$B$5:$B$110&lt;=$B3125),0)</f>
        <v>75</v>
      </c>
      <c r="U3125" s="152">
        <f>100*(INDEX(TDU_Info!$E$5:$E$110,$T3125)/T$11+INDEX(TDU_Info!$F$5:$F$110,$T3125))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MATCH(1,(TDU_Info!$C$5:$C$110=$T$6)*(TDU_Info!$B$5:$B$110&lt;=$B3126),0)</f>
        <v>75</v>
      </c>
      <c r="U3126" s="152">
        <f>100*(INDEX(TDU_Info!$E$5:$E$110,$T3126)/T$11+INDEX(TDU_Info!$F$5:$F$110,$T3126))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MATCH(1,(TDU_Info!$C$5:$C$110=$T$6)*(TDU_Info!$B$5:$B$110&lt;=$B3127),0)</f>
        <v>75</v>
      </c>
      <c r="U3127" s="152">
        <f>100*(INDEX(TDU_Info!$E$5:$E$110,$T3127)/T$11+INDEX(TDU_Info!$F$5:$F$110,$T3127))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MATCH(1,(TDU_Info!$C$5:$C$110=$T$6)*(TDU_Info!$B$5:$B$110&lt;=$B3128),0)</f>
        <v>75</v>
      </c>
      <c r="U3128" s="152">
        <f>100*(INDEX(TDU_Info!$E$5:$E$110,$T3128)/T$11+INDEX(TDU_Info!$F$5:$F$110,$T3128))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MATCH(1,(TDU_Info!$C$5:$C$110=$T$6)*(TDU_Info!$B$5:$B$110&lt;=$B3129),0)</f>
        <v>75</v>
      </c>
      <c r="U3129" s="152">
        <f>100*(INDEX(TDU_Info!$E$5:$E$110,$T3129)/T$11+INDEX(TDU_Info!$F$5:$F$110,$T3129))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MATCH(1,(TDU_Info!$C$5:$C$110=$T$6)*(TDU_Info!$B$5:$B$110&lt;=$B3130),0)</f>
        <v>75</v>
      </c>
      <c r="U3130" s="152">
        <f>100*(INDEX(TDU_Info!$E$5:$E$110,$T3130)/T$11+INDEX(TDU_Info!$F$5:$F$110,$T3130))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MATCH(1,(TDU_Info!$C$5:$C$110=$T$6)*(TDU_Info!$B$5:$B$110&lt;=$B3131),0)</f>
        <v>75</v>
      </c>
      <c r="U3131" s="152">
        <f>100*(INDEX(TDU_Info!$E$5:$E$110,$T3131)/T$11+INDEX(TDU_Info!$F$5:$F$110,$T3131))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MATCH(1,(TDU_Info!$C$5:$C$110=$T$6)*(TDU_Info!$B$5:$B$110&lt;=$B3132),0)</f>
        <v>75</v>
      </c>
      <c r="U3132" s="152">
        <f>100*(INDEX(TDU_Info!$E$5:$E$110,$T3132)/T$11+INDEX(TDU_Info!$F$5:$F$110,$T3132))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MATCH(1,(TDU_Info!$C$5:$C$110=$T$6)*(TDU_Info!$B$5:$B$110&lt;=$B3133),0)</f>
        <v>75</v>
      </c>
      <c r="U3133" s="152">
        <f>100*(INDEX(TDU_Info!$E$5:$E$110,$T3133)/T$11+INDEX(TDU_Info!$F$5:$F$110,$T3133))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MATCH(1,(TDU_Info!$C$5:$C$110=$T$6)*(TDU_Info!$B$5:$B$110&lt;=$B3134),0)</f>
        <v>75</v>
      </c>
      <c r="U3134" s="152">
        <f>100*(INDEX(TDU_Info!$E$5:$E$110,$T3134)/T$11+INDEX(TDU_Info!$F$5:$F$110,$T3134))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MATCH(1,(TDU_Info!$C$5:$C$110=$T$6)*(TDU_Info!$B$5:$B$110&lt;=$B3135),0)</f>
        <v>75</v>
      </c>
      <c r="U3135" s="152">
        <f>100*(INDEX(TDU_Info!$E$5:$E$110,$T3135)/T$11+INDEX(TDU_Info!$F$5:$F$110,$T3135))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MATCH(1,(TDU_Info!$C$5:$C$110=$T$6)*(TDU_Info!$B$5:$B$110&lt;=$B3136),0)</f>
        <v>75</v>
      </c>
      <c r="U3136" s="152">
        <f>100*(INDEX(TDU_Info!$E$5:$E$110,$T3136)/T$11+INDEX(TDU_Info!$F$5:$F$110,$T3136))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MATCH(1,(TDU_Info!$C$5:$C$110=$T$6)*(TDU_Info!$B$5:$B$110&lt;=$B3137),0)</f>
        <v>75</v>
      </c>
      <c r="U3137" s="152">
        <f>100*(INDEX(TDU_Info!$E$5:$E$110,$T3137)/T$11+INDEX(TDU_Info!$F$5:$F$110,$T3137))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MATCH(1,(TDU_Info!$C$5:$C$110=$T$6)*(TDU_Info!$B$5:$B$110&lt;=$B3138),0)</f>
        <v>75</v>
      </c>
      <c r="U3138" s="152">
        <f>100*(INDEX(TDU_Info!$E$5:$E$110,$T3138)/T$11+INDEX(TDU_Info!$F$5:$F$110,$T3138))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MATCH(1,(TDU_Info!$C$5:$C$110=$T$6)*(TDU_Info!$B$5:$B$110&lt;=$B3139),0)</f>
        <v>75</v>
      </c>
      <c r="U3139" s="152">
        <f>100*(INDEX(TDU_Info!$E$5:$E$110,$T3139)/T$11+INDEX(TDU_Info!$F$5:$F$110,$T3139))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MATCH(1,(TDU_Info!$C$5:$C$110=$T$6)*(TDU_Info!$B$5:$B$110&lt;=$B3140),0)</f>
        <v>75</v>
      </c>
      <c r="U3140" s="152">
        <f>100*(INDEX(TDU_Info!$E$5:$E$110,$T3140)/T$11+INDEX(TDU_Info!$F$5:$F$110,$T3140))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MATCH(1,(TDU_Info!$C$5:$C$110=$T$6)*(TDU_Info!$B$5:$B$110&lt;=$B3141),0)</f>
        <v>75</v>
      </c>
      <c r="U3141" s="152">
        <f>100*(INDEX(TDU_Info!$E$5:$E$110,$T3141)/T$11+INDEX(TDU_Info!$F$5:$F$110,$T3141))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MATCH(1,(TDU_Info!$C$5:$C$110=$T$6)*(TDU_Info!$B$5:$B$110&lt;=$B3142),0)</f>
        <v>75</v>
      </c>
      <c r="U3142" s="152">
        <f>100*(INDEX(TDU_Info!$E$5:$E$110,$T3142)/T$11+INDEX(TDU_Info!$F$5:$F$110,$T3142))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MATCH(1,(TDU_Info!$C$5:$C$110=$T$6)*(TDU_Info!$B$5:$B$110&lt;=$B3143),0)</f>
        <v>75</v>
      </c>
      <c r="U3143" s="152">
        <f>100*(INDEX(TDU_Info!$E$5:$E$110,$T3143)/T$11+INDEX(TDU_Info!$F$5:$F$110,$T3143))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MATCH(1,(TDU_Info!$C$5:$C$110=$T$6)*(TDU_Info!$B$5:$B$110&lt;=$B3144),0)</f>
        <v>75</v>
      </c>
      <c r="U3144" s="152">
        <f>100*(INDEX(TDU_Info!$E$5:$E$110,$T3144)/T$11+INDEX(TDU_Info!$F$5:$F$110,$T3144))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MATCH(1,(TDU_Info!$C$5:$C$110=$T$6)*(TDU_Info!$B$5:$B$110&lt;=$B3145),0)</f>
        <v>75</v>
      </c>
      <c r="U3145" s="152">
        <f>100*(INDEX(TDU_Info!$E$5:$E$110,$T3145)/T$11+INDEX(TDU_Info!$F$5:$F$110,$T3145))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MATCH(1,(TDU_Info!$C$5:$C$110=$T$6)*(TDU_Info!$B$5:$B$110&lt;=$B3146),0)</f>
        <v>75</v>
      </c>
      <c r="U3146" s="152">
        <f>100*(INDEX(TDU_Info!$E$5:$E$110,$T3146)/T$11+INDEX(TDU_Info!$F$5:$F$110,$T3146))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MATCH(1,(TDU_Info!$C$5:$C$110=$T$6)*(TDU_Info!$B$5:$B$110&lt;=$B3147),0)</f>
        <v>75</v>
      </c>
      <c r="U3147" s="152">
        <f>100*(INDEX(TDU_Info!$E$5:$E$110,$T3147)/T$11+INDEX(TDU_Info!$F$5:$F$110,$T3147))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MATCH(1,(TDU_Info!$C$5:$C$110=$T$6)*(TDU_Info!$B$5:$B$110&lt;=$B3148),0)</f>
        <v>75</v>
      </c>
      <c r="U3148" s="152">
        <f>100*(INDEX(TDU_Info!$E$5:$E$110,$T3148)/T$11+INDEX(TDU_Info!$F$5:$F$110,$T3148))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MATCH(1,(TDU_Info!$C$5:$C$110=$T$6)*(TDU_Info!$B$5:$B$110&lt;=$B3149),0)</f>
        <v>75</v>
      </c>
      <c r="U3149" s="152">
        <f>100*(INDEX(TDU_Info!$E$5:$E$110,$T3149)/T$11+INDEX(TDU_Info!$F$5:$F$110,$T3149))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MATCH(1,(TDU_Info!$C$5:$C$110=$T$6)*(TDU_Info!$B$5:$B$110&lt;=$B3150),0)</f>
        <v>75</v>
      </c>
      <c r="U3150" s="152">
        <f>100*(INDEX(TDU_Info!$E$5:$E$110,$T3150)/T$11+INDEX(TDU_Info!$F$5:$F$110,$T3150))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MATCH(1,(TDU_Info!$C$5:$C$110=$T$6)*(TDU_Info!$B$5:$B$110&lt;=$B3151),0)</f>
        <v>75</v>
      </c>
      <c r="U3151" s="152">
        <f>100*(INDEX(TDU_Info!$E$5:$E$110,$T3151)/T$11+INDEX(TDU_Info!$F$5:$F$110,$T3151))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MATCH(1,(TDU_Info!$C$5:$C$110=$T$6)*(TDU_Info!$B$5:$B$110&lt;=$B3152),0)</f>
        <v>75</v>
      </c>
      <c r="U3152" s="152">
        <f>100*(INDEX(TDU_Info!$E$5:$E$110,$T3152)/T$11+INDEX(TDU_Info!$F$5:$F$110,$T3152))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MATCH(1,(TDU_Info!$C$5:$C$110=$T$6)*(TDU_Info!$B$5:$B$110&lt;=$B3153),0)</f>
        <v>75</v>
      </c>
      <c r="U3153" s="152">
        <f>100*(INDEX(TDU_Info!$E$5:$E$110,$T3153)/T$11+INDEX(TDU_Info!$F$5:$F$110,$T3153))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MATCH(1,(TDU_Info!$C$5:$C$110=$T$6)*(TDU_Info!$B$5:$B$110&lt;=$B3154),0)</f>
        <v>75</v>
      </c>
      <c r="U3154" s="152">
        <f>100*(INDEX(TDU_Info!$E$5:$E$110,$T3154)/T$11+INDEX(TDU_Info!$F$5:$F$110,$T3154))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MATCH(1,(TDU_Info!$C$5:$C$110=$T$6)*(TDU_Info!$B$5:$B$110&lt;=$B3155),0)</f>
        <v>75</v>
      </c>
      <c r="U3155" s="152">
        <f>100*(INDEX(TDU_Info!$E$5:$E$110,$T3155)/T$11+INDEX(TDU_Info!$F$5:$F$110,$T3155))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MATCH(1,(TDU_Info!$C$5:$C$110=$T$6)*(TDU_Info!$B$5:$B$110&lt;=$B3156),0)</f>
        <v>75</v>
      </c>
      <c r="U3156" s="152">
        <f>100*(INDEX(TDU_Info!$E$5:$E$110,$T3156)/T$11+INDEX(TDU_Info!$F$5:$F$110,$T3156))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MATCH(1,(TDU_Info!$C$5:$C$110=$T$6)*(TDU_Info!$B$5:$B$110&lt;=$B3157),0)</f>
        <v>75</v>
      </c>
      <c r="U3157" s="152">
        <f>100*(INDEX(TDU_Info!$E$5:$E$110,$T3157)/T$11+INDEX(TDU_Info!$F$5:$F$110,$T3157))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MATCH(1,(TDU_Info!$C$5:$C$110=$T$6)*(TDU_Info!$B$5:$B$110&lt;=$B3158),0)</f>
        <v>75</v>
      </c>
      <c r="U3158" s="152">
        <f>100*(INDEX(TDU_Info!$E$5:$E$110,$T3158)/T$11+INDEX(TDU_Info!$F$5:$F$110,$T3158))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MATCH(1,(TDU_Info!$C$5:$C$110=$T$6)*(TDU_Info!$B$5:$B$110&lt;=$B3159),0)</f>
        <v>75</v>
      </c>
      <c r="U3159" s="152">
        <f>100*(INDEX(TDU_Info!$E$5:$E$110,$T3159)/T$11+INDEX(TDU_Info!$F$5:$F$110,$T3159))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MATCH(1,(TDU_Info!$C$5:$C$110=$T$6)*(TDU_Info!$B$5:$B$110&lt;=$B3160),0)</f>
        <v>75</v>
      </c>
      <c r="U3160" s="152">
        <f>100*(INDEX(TDU_Info!$E$5:$E$110,$T3160)/T$11+INDEX(TDU_Info!$F$5:$F$110,$T3160))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MATCH(1,(TDU_Info!$C$5:$C$110=$T$6)*(TDU_Info!$B$5:$B$110&lt;=$B3161),0)</f>
        <v>75</v>
      </c>
      <c r="U3161" s="152">
        <f>100*(INDEX(TDU_Info!$E$5:$E$110,$T3161)/T$11+INDEX(TDU_Info!$F$5:$F$110,$T3161))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MATCH(1,(TDU_Info!$C$5:$C$110=$T$6)*(TDU_Info!$B$5:$B$110&lt;=$B3162),0)</f>
        <v>75</v>
      </c>
      <c r="U3162" s="152">
        <f>100*(INDEX(TDU_Info!$E$5:$E$110,$T3162)/T$11+INDEX(TDU_Info!$F$5:$F$110,$T3162))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MATCH(1,(TDU_Info!$C$5:$C$110=$T$6)*(TDU_Info!$B$5:$B$110&lt;=$B3163),0)</f>
        <v>75</v>
      </c>
      <c r="U3163" s="152">
        <f>100*(INDEX(TDU_Info!$E$5:$E$110,$T3163)/T$11+INDEX(TDU_Info!$F$5:$F$110,$T3163))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MATCH(1,(TDU_Info!$C$5:$C$110=$T$6)*(TDU_Info!$B$5:$B$110&lt;=$B3164),0)</f>
        <v>75</v>
      </c>
      <c r="U3164" s="152">
        <f>100*(INDEX(TDU_Info!$E$5:$E$110,$T3164)/T$11+INDEX(TDU_Info!$F$5:$F$110,$T3164))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MATCH(1,(TDU_Info!$C$5:$C$110=$T$6)*(TDU_Info!$B$5:$B$110&lt;=$B3165),0)</f>
        <v>75</v>
      </c>
      <c r="U3165" s="152">
        <f>100*(INDEX(TDU_Info!$E$5:$E$110,$T3165)/T$11+INDEX(TDU_Info!$F$5:$F$110,$T3165))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MATCH(1,(TDU_Info!$C$5:$C$110=$T$6)*(TDU_Info!$B$5:$B$110&lt;=$B3166),0)</f>
        <v>75</v>
      </c>
      <c r="U3166" s="152">
        <f>100*(INDEX(TDU_Info!$E$5:$E$110,$T3166)/T$11+INDEX(TDU_Info!$F$5:$F$110,$T3166))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MATCH(1,(TDU_Info!$C$5:$C$110=$T$6)*(TDU_Info!$B$5:$B$110&lt;=$B3167),0)</f>
        <v>75</v>
      </c>
      <c r="U3167" s="152">
        <f>100*(INDEX(TDU_Info!$E$5:$E$110,$T3167)/T$11+INDEX(TDU_Info!$F$5:$F$110,$T3167))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MATCH(1,(TDU_Info!$C$5:$C$110=$T$6)*(TDU_Info!$B$5:$B$110&lt;=$B3168),0)</f>
        <v>75</v>
      </c>
      <c r="U3168" s="152">
        <f>100*(INDEX(TDU_Info!$E$5:$E$110,$T3168)/T$11+INDEX(TDU_Info!$F$5:$F$110,$T3168))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MATCH(1,(TDU_Info!$C$5:$C$110=$T$6)*(TDU_Info!$B$5:$B$110&lt;=$B3169),0)</f>
        <v>75</v>
      </c>
      <c r="U3169" s="152">
        <f>100*(INDEX(TDU_Info!$E$5:$E$110,$T3169)/T$11+INDEX(TDU_Info!$F$5:$F$110,$T3169))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MATCH(1,(TDU_Info!$C$5:$C$110=$T$6)*(TDU_Info!$B$5:$B$110&lt;=$B3170),0)</f>
        <v>75</v>
      </c>
      <c r="U3170" s="152">
        <f>100*(INDEX(TDU_Info!$E$5:$E$110,$T3170)/T$11+INDEX(TDU_Info!$F$5:$F$110,$T3170))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MATCH(1,(TDU_Info!$C$5:$C$110=$T$6)*(TDU_Info!$B$5:$B$110&lt;=$B3171),0)</f>
        <v>75</v>
      </c>
      <c r="U3171" s="152">
        <f>100*(INDEX(TDU_Info!$E$5:$E$110,$T3171)/T$11+INDEX(TDU_Info!$F$5:$F$110,$T3171))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MATCH(1,(TDU_Info!$C$5:$C$110=$T$6)*(TDU_Info!$B$5:$B$110&lt;=$B3172),0)</f>
        <v>75</v>
      </c>
      <c r="U3172" s="152">
        <f>100*(INDEX(TDU_Info!$E$5:$E$110,$T3172)/T$11+INDEX(TDU_Info!$F$5:$F$110,$T3172))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MATCH(1,(TDU_Info!$C$5:$C$110=$T$6)*(TDU_Info!$B$5:$B$110&lt;=$B3173),0)</f>
        <v>75</v>
      </c>
      <c r="U3173" s="152">
        <f>100*(INDEX(TDU_Info!$E$5:$E$110,$T3173)/T$11+INDEX(TDU_Info!$F$5:$F$110,$T3173))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MATCH(1,(TDU_Info!$C$5:$C$110=$T$6)*(TDU_Info!$B$5:$B$110&lt;=$B3174),0)</f>
        <v>75</v>
      </c>
      <c r="U3174" s="152">
        <f>100*(INDEX(TDU_Info!$E$5:$E$110,$T3174)/T$11+INDEX(TDU_Info!$F$5:$F$110,$T3174))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MATCH(1,(TDU_Info!$C$5:$C$110=$T$6)*(TDU_Info!$B$5:$B$110&lt;=$B3175),0)</f>
        <v>75</v>
      </c>
      <c r="U3175" s="152">
        <f>100*(INDEX(TDU_Info!$E$5:$E$110,$T3175)/T$11+INDEX(TDU_Info!$F$5:$F$110,$T3175))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MATCH(1,(TDU_Info!$C$5:$C$110=$T$6)*(TDU_Info!$B$5:$B$110&lt;=$B3176),0)</f>
        <v>75</v>
      </c>
      <c r="U3176" s="152">
        <f>100*(INDEX(TDU_Info!$E$5:$E$110,$T3176)/T$11+INDEX(TDU_Info!$F$5:$F$110,$T3176))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MATCH(1,(TDU_Info!$C$5:$C$110=$T$6)*(TDU_Info!$B$5:$B$110&lt;=$B3177),0)</f>
        <v>75</v>
      </c>
      <c r="U3177" s="152">
        <f>100*(INDEX(TDU_Info!$E$5:$E$110,$T3177)/T$11+INDEX(TDU_Info!$F$5:$F$110,$T3177))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MATCH(1,(TDU_Info!$C$5:$C$110=$T$6)*(TDU_Info!$B$5:$B$110&lt;=$B3178),0)</f>
        <v>75</v>
      </c>
      <c r="U3178" s="152">
        <f>100*(INDEX(TDU_Info!$E$5:$E$110,$T3178)/T$11+INDEX(TDU_Info!$F$5:$F$110,$T3178))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MATCH(1,(TDU_Info!$C$5:$C$110=$T$6)*(TDU_Info!$B$5:$B$110&lt;=$B3179),0)</f>
        <v>75</v>
      </c>
      <c r="U3179" s="152">
        <f>100*(INDEX(TDU_Info!$E$5:$E$110,$T3179)/T$11+INDEX(TDU_Info!$F$5:$F$110,$T3179))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MATCH(1,(TDU_Info!$C$5:$C$110=$T$6)*(TDU_Info!$B$5:$B$110&lt;=$B3180),0)</f>
        <v>75</v>
      </c>
      <c r="U3180" s="152">
        <f>100*(INDEX(TDU_Info!$E$5:$E$110,$T3180)/T$11+INDEX(TDU_Info!$F$5:$F$110,$T3180))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MATCH(1,(TDU_Info!$C$5:$C$110=$T$6)*(TDU_Info!$B$5:$B$110&lt;=$B3181),0)</f>
        <v>75</v>
      </c>
      <c r="U3181" s="152">
        <f>100*(INDEX(TDU_Info!$E$5:$E$110,$T3181)/T$11+INDEX(TDU_Info!$F$5:$F$110,$T3181))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MATCH(1,(TDU_Info!$C$5:$C$110=$T$6)*(TDU_Info!$B$5:$B$110&lt;=$B3182),0)</f>
        <v>74</v>
      </c>
      <c r="U3182" s="152">
        <f>100*(INDEX(TDU_Info!$E$5:$E$110,$T3182)/T$11+INDEX(TDU_Info!$F$5:$F$110,$T3182))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MATCH(1,(TDU_Info!$C$5:$C$110=$T$6)*(TDU_Info!$B$5:$B$110&lt;=$B3183),0)</f>
        <v>74</v>
      </c>
      <c r="U3183" s="152">
        <f>100*(INDEX(TDU_Info!$E$5:$E$110,$T3183)/T$11+INDEX(TDU_Info!$F$5:$F$110,$T3183))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MATCH(1,(TDU_Info!$C$5:$C$110=$T$6)*(TDU_Info!$B$5:$B$110&lt;=$B3184),0)</f>
        <v>74</v>
      </c>
      <c r="U3184" s="152">
        <f>100*(INDEX(TDU_Info!$E$5:$E$110,$T3184)/T$11+INDEX(TDU_Info!$F$5:$F$110,$T3184))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MATCH(1,(TDU_Info!$C$5:$C$110=$T$6)*(TDU_Info!$B$5:$B$110&lt;=$B3185),0)</f>
        <v>74</v>
      </c>
      <c r="U3185" s="152">
        <f>100*(INDEX(TDU_Info!$E$5:$E$110,$T3185)/T$11+INDEX(TDU_Info!$F$5:$F$110,$T3185))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MATCH(1,(TDU_Info!$C$5:$C$110=$T$6)*(TDU_Info!$B$5:$B$110&lt;=$B3186),0)</f>
        <v>74</v>
      </c>
      <c r="U3186" s="152">
        <f>100*(INDEX(TDU_Info!$E$5:$E$110,$T3186)/T$11+INDEX(TDU_Info!$F$5:$F$110,$T3186))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MATCH(1,(TDU_Info!$C$5:$C$110=$T$6)*(TDU_Info!$B$5:$B$110&lt;=$B3187),0)</f>
        <v>74</v>
      </c>
      <c r="U3187" s="152">
        <f>100*(INDEX(TDU_Info!$E$5:$E$110,$T3187)/T$11+INDEX(TDU_Info!$F$5:$F$110,$T3187))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MATCH(1,(TDU_Info!$C$5:$C$110=$T$6)*(TDU_Info!$B$5:$B$110&lt;=$B3188),0)</f>
        <v>74</v>
      </c>
      <c r="U3188" s="152">
        <f>100*(INDEX(TDU_Info!$E$5:$E$110,$T3188)/T$11+INDEX(TDU_Info!$F$5:$F$110,$T3188))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MATCH(1,(TDU_Info!$C$5:$C$110=$T$6)*(TDU_Info!$B$5:$B$110&lt;=$B3189),0)</f>
        <v>74</v>
      </c>
      <c r="U3189" s="152">
        <f>100*(INDEX(TDU_Info!$E$5:$E$110,$T3189)/T$11+INDEX(TDU_Info!$F$5:$F$110,$T3189))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MATCH(1,(TDU_Info!$C$5:$C$110=$T$6)*(TDU_Info!$B$5:$B$110&lt;=$B3190),0)</f>
        <v>74</v>
      </c>
      <c r="U3190" s="152">
        <f>100*(INDEX(TDU_Info!$E$5:$E$110,$T3190)/T$11+INDEX(TDU_Info!$F$5:$F$110,$T3190))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MATCH(1,(TDU_Info!$C$5:$C$110=$T$6)*(TDU_Info!$B$5:$B$110&lt;=$B3191),0)</f>
        <v>74</v>
      </c>
      <c r="U3191" s="152">
        <f>100*(INDEX(TDU_Info!$E$5:$E$110,$T3191)/T$11+INDEX(TDU_Info!$F$5:$F$110,$T3191))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MATCH(1,(TDU_Info!$C$5:$C$110=$T$6)*(TDU_Info!$B$5:$B$110&lt;=$B3192),0)</f>
        <v>74</v>
      </c>
      <c r="U3192" s="152">
        <f>100*(INDEX(TDU_Info!$E$5:$E$110,$T3192)/T$11+INDEX(TDU_Info!$F$5:$F$110,$T3192))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MATCH(1,(TDU_Info!$C$5:$C$110=$T$6)*(TDU_Info!$B$5:$B$110&lt;=$B3193),0)</f>
        <v>74</v>
      </c>
      <c r="U3193" s="152">
        <f>100*(INDEX(TDU_Info!$E$5:$E$110,$T3193)/T$11+INDEX(TDU_Info!$F$5:$F$110,$T3193))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MATCH(1,(TDU_Info!$C$5:$C$110=$T$6)*(TDU_Info!$B$5:$B$110&lt;=$B3194),0)</f>
        <v>74</v>
      </c>
      <c r="U3194" s="152">
        <f>100*(INDEX(TDU_Info!$E$5:$E$110,$T3194)/T$11+INDEX(TDU_Info!$F$5:$F$110,$T3194))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MATCH(1,(TDU_Info!$C$5:$C$110=$T$6)*(TDU_Info!$B$5:$B$110&lt;=$B3195),0)</f>
        <v>74</v>
      </c>
      <c r="U3195" s="152">
        <f>100*(INDEX(TDU_Info!$E$5:$E$110,$T3195)/T$11+INDEX(TDU_Info!$F$5:$F$110,$T3195))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MATCH(1,(TDU_Info!$C$5:$C$110=$T$6)*(TDU_Info!$B$5:$B$110&lt;=$B3196),0)</f>
        <v>74</v>
      </c>
      <c r="U3196" s="152">
        <f>100*(INDEX(TDU_Info!$E$5:$E$110,$T3196)/T$11+INDEX(TDU_Info!$F$5:$F$110,$T3196))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MATCH(1,(TDU_Info!$C$5:$C$110=$T$6)*(TDU_Info!$B$5:$B$110&lt;=$B3197),0)</f>
        <v>74</v>
      </c>
      <c r="U3197" s="152">
        <f>100*(INDEX(TDU_Info!$E$5:$E$110,$T3197)/T$11+INDEX(TDU_Info!$F$5:$F$110,$T3197))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MATCH(1,(TDU_Info!$C$5:$C$110=$T$6)*(TDU_Info!$B$5:$B$110&lt;=$B3198),0)</f>
        <v>74</v>
      </c>
      <c r="U3198" s="152">
        <f>100*(INDEX(TDU_Info!$E$5:$E$110,$T3198)/T$11+INDEX(TDU_Info!$F$5:$F$110,$T3198))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MATCH(1,(TDU_Info!$C$5:$C$110=$T$6)*(TDU_Info!$B$5:$B$110&lt;=$B3199),0)</f>
        <v>74</v>
      </c>
      <c r="U3199" s="152">
        <f>100*(INDEX(TDU_Info!$E$5:$E$110,$T3199)/T$11+INDEX(TDU_Info!$F$5:$F$110,$T3199))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MATCH(1,(TDU_Info!$C$5:$C$110=$T$6)*(TDU_Info!$B$5:$B$110&lt;=$B3200),0)</f>
        <v>74</v>
      </c>
      <c r="U3200" s="152">
        <f>100*(INDEX(TDU_Info!$E$5:$E$110,$T3200)/T$11+INDEX(TDU_Info!$F$5:$F$110,$T3200))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MATCH(1,(TDU_Info!$C$5:$C$110=$T$6)*(TDU_Info!$B$5:$B$110&lt;=$B3201),0)</f>
        <v>74</v>
      </c>
      <c r="U3201" s="152">
        <f>100*(INDEX(TDU_Info!$E$5:$E$110,$T3201)/T$11+INDEX(TDU_Info!$F$5:$F$110,$T3201))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MATCH(1,(TDU_Info!$C$5:$C$110=$T$6)*(TDU_Info!$B$5:$B$110&lt;=$B3202),0)</f>
        <v>74</v>
      </c>
      <c r="U3202" s="152">
        <f>100*(INDEX(TDU_Info!$E$5:$E$110,$T3202)/T$11+INDEX(TDU_Info!$F$5:$F$110,$T3202))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MATCH(1,(TDU_Info!$C$5:$C$110=$T$6)*(TDU_Info!$B$5:$B$110&lt;=$B3203),0)</f>
        <v>74</v>
      </c>
      <c r="U3203" s="152">
        <f>100*(INDEX(TDU_Info!$E$5:$E$110,$T3203)/T$11+INDEX(TDU_Info!$F$5:$F$110,$T3203))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MATCH(1,(TDU_Info!$C$5:$C$110=$T$6)*(TDU_Info!$B$5:$B$110&lt;=$B3204),0)</f>
        <v>74</v>
      </c>
      <c r="U3204" s="152">
        <f>100*(INDEX(TDU_Info!$E$5:$E$110,$T3204)/T$11+INDEX(TDU_Info!$F$5:$F$110,$T3204))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MATCH(1,(TDU_Info!$C$5:$C$110=$T$6)*(TDU_Info!$B$5:$B$110&lt;=$B3205),0)</f>
        <v>74</v>
      </c>
      <c r="U3205" s="152">
        <f>100*(INDEX(TDU_Info!$E$5:$E$110,$T3205)/T$11+INDEX(TDU_Info!$F$5:$F$110,$T3205))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MATCH(1,(TDU_Info!$C$5:$C$110=$T$6)*(TDU_Info!$B$5:$B$110&lt;=$B3206),0)</f>
        <v>74</v>
      </c>
      <c r="U3206" s="152">
        <f>100*(INDEX(TDU_Info!$E$5:$E$110,$T3206)/T$11+INDEX(TDU_Info!$F$5:$F$110,$T3206))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MATCH(1,(TDU_Info!$C$5:$C$110=$T$6)*(TDU_Info!$B$5:$B$110&lt;=$B3207),0)</f>
        <v>74</v>
      </c>
      <c r="U3207" s="152">
        <f>100*(INDEX(TDU_Info!$E$5:$E$110,$T3207)/T$11+INDEX(TDU_Info!$F$5:$F$110,$T3207))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MATCH(1,(TDU_Info!$C$5:$C$110=$T$6)*(TDU_Info!$B$5:$B$110&lt;=$B3208),0)</f>
        <v>74</v>
      </c>
      <c r="U3208" s="152">
        <f>100*(INDEX(TDU_Info!$E$5:$E$110,$T3208)/T$11+INDEX(TDU_Info!$F$5:$F$110,$T3208))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MATCH(1,(TDU_Info!$C$5:$C$110=$T$6)*(TDU_Info!$B$5:$B$110&lt;=$B3209),0)</f>
        <v>74</v>
      </c>
      <c r="U3209" s="152">
        <f>100*(INDEX(TDU_Info!$E$5:$E$110,$T3209)/T$11+INDEX(TDU_Info!$F$5:$F$110,$T3209))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MATCH(1,(TDU_Info!$C$5:$C$110=$T$6)*(TDU_Info!$B$5:$B$110&lt;=$B3210),0)</f>
        <v>74</v>
      </c>
      <c r="U3210" s="152">
        <f>100*(INDEX(TDU_Info!$E$5:$E$110,$T3210)/T$11+INDEX(TDU_Info!$F$5:$F$110,$T3210))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MATCH(1,(TDU_Info!$C$5:$C$110=$T$6)*(TDU_Info!$B$5:$B$110&lt;=$B3211),0)</f>
        <v>74</v>
      </c>
      <c r="U3211" s="152">
        <f>100*(INDEX(TDU_Info!$E$5:$E$110,$T3211)/T$11+INDEX(TDU_Info!$F$5:$F$110,$T3211))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MATCH(1,(TDU_Info!$C$5:$C$110=$T$6)*(TDU_Info!$B$5:$B$110&lt;=$B3212),0)</f>
        <v>74</v>
      </c>
      <c r="U3212" s="152">
        <f>100*(INDEX(TDU_Info!$E$5:$E$110,$T3212)/T$11+INDEX(TDU_Info!$F$5:$F$110,$T3212))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MATCH(1,(TDU_Info!$C$5:$C$110=$T$6)*(TDU_Info!$B$5:$B$110&lt;=$B3213),0)</f>
        <v>74</v>
      </c>
      <c r="U3213" s="152">
        <f>100*(INDEX(TDU_Info!$E$5:$E$110,$T3213)/T$11+INDEX(TDU_Info!$F$5:$F$110,$T3213))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MATCH(1,(TDU_Info!$C$5:$C$110=$T$6)*(TDU_Info!$B$5:$B$110&lt;=$B3214),0)</f>
        <v>74</v>
      </c>
      <c r="U3214" s="152">
        <f>100*(INDEX(TDU_Info!$E$5:$E$110,$T3214)/T$11+INDEX(TDU_Info!$F$5:$F$110,$T3214))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MATCH(1,(TDU_Info!$C$5:$C$110=$T$6)*(TDU_Info!$B$5:$B$110&lt;=$B3215),0)</f>
        <v>74</v>
      </c>
      <c r="U3215" s="152">
        <f>100*(INDEX(TDU_Info!$E$5:$E$110,$T3215)/T$11+INDEX(TDU_Info!$F$5:$F$110,$T3215))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MATCH(1,(TDU_Info!$C$5:$C$110=$T$6)*(TDU_Info!$B$5:$B$110&lt;=$B3216),0)</f>
        <v>74</v>
      </c>
      <c r="U3216" s="152">
        <f>100*(INDEX(TDU_Info!$E$5:$E$110,$T3216)/T$11+INDEX(TDU_Info!$F$5:$F$110,$T3216))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MATCH(1,(TDU_Info!$C$5:$C$110=$T$6)*(TDU_Info!$B$5:$B$110&lt;=$B3217),0)</f>
        <v>74</v>
      </c>
      <c r="U3217" s="152">
        <f>100*(INDEX(TDU_Info!$E$5:$E$110,$T3217)/T$11+INDEX(TDU_Info!$F$5:$F$110,$T3217))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MATCH(1,(TDU_Info!$C$5:$C$110=$T$6)*(TDU_Info!$B$5:$B$110&lt;=$B3218),0)</f>
        <v>74</v>
      </c>
      <c r="U3218" s="152">
        <f>100*(INDEX(TDU_Info!$E$5:$E$110,$T3218)/T$11+INDEX(TDU_Info!$F$5:$F$110,$T3218))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MATCH(1,(TDU_Info!$C$5:$C$110=$T$6)*(TDU_Info!$B$5:$B$110&lt;=$B3219),0)</f>
        <v>74</v>
      </c>
      <c r="U3219" s="152">
        <f>100*(INDEX(TDU_Info!$E$5:$E$110,$T3219)/T$11+INDEX(TDU_Info!$F$5:$F$110,$T3219))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MATCH(1,(TDU_Info!$C$5:$C$110=$T$6)*(TDU_Info!$B$5:$B$110&lt;=$B3220),0)</f>
        <v>74</v>
      </c>
      <c r="U3220" s="152">
        <f>100*(INDEX(TDU_Info!$E$5:$E$110,$T3220)/T$11+INDEX(TDU_Info!$F$5:$F$110,$T3220))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MATCH(1,(TDU_Info!$C$5:$C$110=$T$6)*(TDU_Info!$B$5:$B$110&lt;=$B3221),0)</f>
        <v>74</v>
      </c>
      <c r="U3221" s="152">
        <f>100*(INDEX(TDU_Info!$E$5:$E$110,$T3221)/T$11+INDEX(TDU_Info!$F$5:$F$110,$T3221))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MATCH(1,(TDU_Info!$C$5:$C$110=$T$6)*(TDU_Info!$B$5:$B$110&lt;=$B3222),0)</f>
        <v>74</v>
      </c>
      <c r="U3222" s="152">
        <f>100*(INDEX(TDU_Info!$E$5:$E$110,$T3222)/T$11+INDEX(TDU_Info!$F$5:$F$110,$T3222))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MATCH(1,(TDU_Info!$C$5:$C$110=$T$6)*(TDU_Info!$B$5:$B$110&lt;=$B3223),0)</f>
        <v>74</v>
      </c>
      <c r="U3223" s="152">
        <f>100*(INDEX(TDU_Info!$E$5:$E$110,$T3223)/T$11+INDEX(TDU_Info!$F$5:$F$110,$T3223))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MATCH(1,(TDU_Info!$C$5:$C$110=$T$6)*(TDU_Info!$B$5:$B$110&lt;=$B3224),0)</f>
        <v>74</v>
      </c>
      <c r="U3224" s="152">
        <f>100*(INDEX(TDU_Info!$E$5:$E$110,$T3224)/T$11+INDEX(TDU_Info!$F$5:$F$110,$T3224))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MATCH(1,(TDU_Info!$C$5:$C$110=$T$6)*(TDU_Info!$B$5:$B$110&lt;=$B3225),0)</f>
        <v>74</v>
      </c>
      <c r="U3225" s="152">
        <f>100*(INDEX(TDU_Info!$E$5:$E$110,$T3225)/T$11+INDEX(TDU_Info!$F$5:$F$110,$T3225))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MATCH(1,(TDU_Info!$C$5:$C$110=$T$6)*(TDU_Info!$B$5:$B$110&lt;=$B3226),0)</f>
        <v>74</v>
      </c>
      <c r="U3226" s="152">
        <f>100*(INDEX(TDU_Info!$E$5:$E$110,$T3226)/T$11+INDEX(TDU_Info!$F$5:$F$110,$T3226))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MATCH(1,(TDU_Info!$C$5:$C$110=$T$6)*(TDU_Info!$B$5:$B$110&lt;=$B3227),0)</f>
        <v>74</v>
      </c>
      <c r="U3227" s="152">
        <f>100*(INDEX(TDU_Info!$E$5:$E$110,$T3227)/T$11+INDEX(TDU_Info!$F$5:$F$110,$T3227))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MATCH(1,(TDU_Info!$C$5:$C$110=$T$6)*(TDU_Info!$B$5:$B$110&lt;=$B3228),0)</f>
        <v>74</v>
      </c>
      <c r="U3228" s="152">
        <f>100*(INDEX(TDU_Info!$E$5:$E$110,$T3228)/T$11+INDEX(TDU_Info!$F$5:$F$110,$T3228))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MATCH(1,(TDU_Info!$C$5:$C$110=$T$6)*(TDU_Info!$B$5:$B$110&lt;=$B3229),0)</f>
        <v>74</v>
      </c>
      <c r="U3229" s="152">
        <f>100*(INDEX(TDU_Info!$E$5:$E$110,$T3229)/T$11+INDEX(TDU_Info!$F$5:$F$110,$T3229))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MATCH(1,(TDU_Info!$C$5:$C$110=$T$6)*(TDU_Info!$B$5:$B$110&lt;=$B3230),0)</f>
        <v>74</v>
      </c>
      <c r="U3230" s="152">
        <f>100*(INDEX(TDU_Info!$E$5:$E$110,$T3230)/T$11+INDEX(TDU_Info!$F$5:$F$110,$T3230))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MATCH(1,(TDU_Info!$C$5:$C$110=$T$6)*(TDU_Info!$B$5:$B$110&lt;=$B3231),0)</f>
        <v>74</v>
      </c>
      <c r="U3231" s="152">
        <f>100*(INDEX(TDU_Info!$E$5:$E$110,$T3231)/T$11+INDEX(TDU_Info!$F$5:$F$110,$T3231))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MATCH(1,(TDU_Info!$C$5:$C$110=$T$6)*(TDU_Info!$B$5:$B$110&lt;=$B3232),0)</f>
        <v>74</v>
      </c>
      <c r="U3232" s="152">
        <f>100*(INDEX(TDU_Info!$E$5:$E$110,$T3232)/T$11+INDEX(TDU_Info!$F$5:$F$110,$T3232))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MATCH(1,(TDU_Info!$C$5:$C$110=$T$6)*(TDU_Info!$B$5:$B$110&lt;=$B3233),0)</f>
        <v>74</v>
      </c>
      <c r="U3233" s="152">
        <f>100*(INDEX(TDU_Info!$E$5:$E$110,$T3233)/T$11+INDEX(TDU_Info!$F$5:$F$110,$T3233))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MATCH(1,(TDU_Info!$C$5:$C$110=$T$6)*(TDU_Info!$B$5:$B$110&lt;=$B3234),0)</f>
        <v>74</v>
      </c>
      <c r="U3234" s="152">
        <f>100*(INDEX(TDU_Info!$E$5:$E$110,$T3234)/T$11+INDEX(TDU_Info!$F$5:$F$110,$T3234))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MATCH(1,(TDU_Info!$C$5:$C$110=$T$6)*(TDU_Info!$B$5:$B$110&lt;=$B3235),0)</f>
        <v>74</v>
      </c>
      <c r="U3235" s="152">
        <f>100*(INDEX(TDU_Info!$E$5:$E$110,$T3235)/T$11+INDEX(TDU_Info!$F$5:$F$110,$T3235))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MATCH(1,(TDU_Info!$C$5:$C$110=$T$6)*(TDU_Info!$B$5:$B$110&lt;=$B3236),0)</f>
        <v>74</v>
      </c>
      <c r="U3236" s="152">
        <f>100*(INDEX(TDU_Info!$E$5:$E$110,$T3236)/T$11+INDEX(TDU_Info!$F$5:$F$110,$T3236))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MATCH(1,(TDU_Info!$C$5:$C$110=$T$6)*(TDU_Info!$B$5:$B$110&lt;=$B3237),0)</f>
        <v>74</v>
      </c>
      <c r="U3237" s="152">
        <f>100*(INDEX(TDU_Info!$E$5:$E$110,$T3237)/T$11+INDEX(TDU_Info!$F$5:$F$110,$T3237))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MATCH(1,(TDU_Info!$C$5:$C$110=$T$6)*(TDU_Info!$B$5:$B$110&lt;=$B3238),0)</f>
        <v>74</v>
      </c>
      <c r="U3238" s="152">
        <f>100*(INDEX(TDU_Info!$E$5:$E$110,$T3238)/T$11+INDEX(TDU_Info!$F$5:$F$110,$T3238))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MATCH(1,(TDU_Info!$C$5:$C$110=$T$6)*(TDU_Info!$B$5:$B$110&lt;=$B3239),0)</f>
        <v>74</v>
      </c>
      <c r="U3239" s="152">
        <f>100*(INDEX(TDU_Info!$E$5:$E$110,$T3239)/T$11+INDEX(TDU_Info!$F$5:$F$110,$T3239))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MATCH(1,(TDU_Info!$C$5:$C$110=$T$6)*(TDU_Info!$B$5:$B$110&lt;=$B3240),0)</f>
        <v>74</v>
      </c>
      <c r="U3240" s="152">
        <f>100*(INDEX(TDU_Info!$E$5:$E$110,$T3240)/T$11+INDEX(TDU_Info!$F$5:$F$110,$T3240))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MATCH(1,(TDU_Info!$C$5:$C$110=$T$6)*(TDU_Info!$B$5:$B$110&lt;=$B3241),0)</f>
        <v>74</v>
      </c>
      <c r="U3241" s="152">
        <f>100*(INDEX(TDU_Info!$E$5:$E$110,$T3241)/T$11+INDEX(TDU_Info!$F$5:$F$110,$T3241))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MATCH(1,(TDU_Info!$C$5:$C$110=$T$6)*(TDU_Info!$B$5:$B$110&lt;=$B3242),0)</f>
        <v>74</v>
      </c>
      <c r="U3242" s="152">
        <f>100*(INDEX(TDU_Info!$E$5:$E$110,$T3242)/T$11+INDEX(TDU_Info!$F$5:$F$110,$T3242))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MATCH(1,(TDU_Info!$C$5:$C$110=$T$6)*(TDU_Info!$B$5:$B$110&lt;=$B3243),0)</f>
        <v>74</v>
      </c>
      <c r="U3243" s="152">
        <f>100*(INDEX(TDU_Info!$E$5:$E$110,$T3243)/T$11+INDEX(TDU_Info!$F$5:$F$110,$T3243))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MATCH(1,(TDU_Info!$C$5:$C$110=$T$6)*(TDU_Info!$B$5:$B$110&lt;=$B3244),0)</f>
        <v>74</v>
      </c>
      <c r="U3244" s="152">
        <f>100*(INDEX(TDU_Info!$E$5:$E$110,$T3244)/T$11+INDEX(TDU_Info!$F$5:$F$110,$T3244))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MATCH(1,(TDU_Info!$C$5:$C$110=$T$6)*(TDU_Info!$B$5:$B$110&lt;=$B3245),0)</f>
        <v>74</v>
      </c>
      <c r="U3245" s="152">
        <f>100*(INDEX(TDU_Info!$E$5:$E$110,$T3245)/T$11+INDEX(TDU_Info!$F$5:$F$110,$T3245))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MATCH(1,(TDU_Info!$C$5:$C$110=$T$6)*(TDU_Info!$B$5:$B$110&lt;=$B3246),0)</f>
        <v>74</v>
      </c>
      <c r="U3246" s="152">
        <f>100*(INDEX(TDU_Info!$E$5:$E$110,$T3246)/T$11+INDEX(TDU_Info!$F$5:$F$110,$T3246))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MATCH(1,(TDU_Info!$C$5:$C$110=$T$6)*(TDU_Info!$B$5:$B$110&lt;=$B3247),0)</f>
        <v>74</v>
      </c>
      <c r="U3247" s="152">
        <f>100*(INDEX(TDU_Info!$E$5:$E$110,$T3247)/T$11+INDEX(TDU_Info!$F$5:$F$110,$T3247))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MATCH(1,(TDU_Info!$C$5:$C$110=$T$6)*(TDU_Info!$B$5:$B$110&lt;=$B3248),0)</f>
        <v>74</v>
      </c>
      <c r="U3248" s="152">
        <f>100*(INDEX(TDU_Info!$E$5:$E$110,$T3248)/T$11+INDEX(TDU_Info!$F$5:$F$110,$T3248))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MATCH(1,(TDU_Info!$C$5:$C$110=$T$6)*(TDU_Info!$B$5:$B$110&lt;=$B3249),0)</f>
        <v>74</v>
      </c>
      <c r="U3249" s="152">
        <f>100*(INDEX(TDU_Info!$E$5:$E$110,$T3249)/T$11+INDEX(TDU_Info!$F$5:$F$110,$T3249))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MATCH(1,(TDU_Info!$C$5:$C$110=$T$6)*(TDU_Info!$B$5:$B$110&lt;=$B3250),0)</f>
        <v>74</v>
      </c>
      <c r="U3250" s="152">
        <f>100*(INDEX(TDU_Info!$E$5:$E$110,$T3250)/T$11+INDEX(TDU_Info!$F$5:$F$110,$T3250))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MATCH(1,(TDU_Info!$C$5:$C$110=$T$6)*(TDU_Info!$B$5:$B$110&lt;=$B3251),0)</f>
        <v>74</v>
      </c>
      <c r="U3251" s="152">
        <f>100*(INDEX(TDU_Info!$E$5:$E$110,$T3251)/T$11+INDEX(TDU_Info!$F$5:$F$110,$T3251))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MATCH(1,(TDU_Info!$C$5:$C$110=$T$6)*(TDU_Info!$B$5:$B$110&lt;=$B3252),0)</f>
        <v>74</v>
      </c>
      <c r="U3252" s="152">
        <f>100*(INDEX(TDU_Info!$E$5:$E$110,$T3252)/T$11+INDEX(TDU_Info!$F$5:$F$110,$T3252))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MATCH(1,(TDU_Info!$C$5:$C$110=$T$6)*(TDU_Info!$B$5:$B$110&lt;=$B3253),0)</f>
        <v>74</v>
      </c>
      <c r="U3253" s="152">
        <f>100*(INDEX(TDU_Info!$E$5:$E$110,$T3253)/T$11+INDEX(TDU_Info!$F$5:$F$110,$T3253))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MATCH(1,(TDU_Info!$C$5:$C$110=$T$6)*(TDU_Info!$B$5:$B$110&lt;=$B3254),0)</f>
        <v>74</v>
      </c>
      <c r="U3254" s="152">
        <f>100*(INDEX(TDU_Info!$E$5:$E$110,$T3254)/T$11+INDEX(TDU_Info!$F$5:$F$110,$T3254))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MATCH(1,(TDU_Info!$C$5:$C$110=$T$6)*(TDU_Info!$B$5:$B$110&lt;=$B3255),0)</f>
        <v>74</v>
      </c>
      <c r="U3255" s="152">
        <f>100*(INDEX(TDU_Info!$E$5:$E$110,$T3255)/T$11+INDEX(TDU_Info!$F$5:$F$110,$T3255))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MATCH(1,(TDU_Info!$C$5:$C$110=$T$6)*(TDU_Info!$B$5:$B$110&lt;=$B3256),0)</f>
        <v>74</v>
      </c>
      <c r="U3256" s="152">
        <f>100*(INDEX(TDU_Info!$E$5:$E$110,$T3256)/T$11+INDEX(TDU_Info!$F$5:$F$110,$T3256))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MATCH(1,(TDU_Info!$C$5:$C$110=$T$6)*(TDU_Info!$B$5:$B$110&lt;=$B3257),0)</f>
        <v>74</v>
      </c>
      <c r="U3257" s="152">
        <f>100*(INDEX(TDU_Info!$E$5:$E$110,$T3257)/T$11+INDEX(TDU_Info!$F$5:$F$110,$T3257))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MATCH(1,(TDU_Info!$C$5:$C$110=$T$6)*(TDU_Info!$B$5:$B$110&lt;=$B3258),0)</f>
        <v>74</v>
      </c>
      <c r="U3258" s="152">
        <f>100*(INDEX(TDU_Info!$E$5:$E$110,$T3258)/T$11+INDEX(TDU_Info!$F$5:$F$110,$T3258))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MATCH(1,(TDU_Info!$C$5:$C$110=$T$6)*(TDU_Info!$B$5:$B$110&lt;=$B3259),0)</f>
        <v>74</v>
      </c>
      <c r="U3259" s="152">
        <f>100*(INDEX(TDU_Info!$E$5:$E$110,$T3259)/T$11+INDEX(TDU_Info!$F$5:$F$110,$T3259))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MATCH(1,(TDU_Info!$C$5:$C$110=$T$6)*(TDU_Info!$B$5:$B$110&lt;=$B3260),0)</f>
        <v>74</v>
      </c>
      <c r="U3260" s="152">
        <f>100*(INDEX(TDU_Info!$E$5:$E$110,$T3260)/T$11+INDEX(TDU_Info!$F$5:$F$110,$T3260))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MATCH(1,(TDU_Info!$C$5:$C$110=$T$6)*(TDU_Info!$B$5:$B$110&lt;=$B3261),0)</f>
        <v>74</v>
      </c>
      <c r="U3261" s="152">
        <f>100*(INDEX(TDU_Info!$E$5:$E$110,$T3261)/T$11+INDEX(TDU_Info!$F$5:$F$110,$T3261))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MATCH(1,(TDU_Info!$C$5:$C$110=$T$6)*(TDU_Info!$B$5:$B$110&lt;=$B3262),0)</f>
        <v>74</v>
      </c>
      <c r="U3262" s="152">
        <f>100*(INDEX(TDU_Info!$E$5:$E$110,$T3262)/T$11+INDEX(TDU_Info!$F$5:$F$110,$T3262))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MATCH(1,(TDU_Info!$C$5:$C$110=$T$6)*(TDU_Info!$B$5:$B$110&lt;=$B3263),0)</f>
        <v>74</v>
      </c>
      <c r="U3263" s="152">
        <f>100*(INDEX(TDU_Info!$E$5:$E$110,$T3263)/T$11+INDEX(TDU_Info!$F$5:$F$110,$T3263))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MATCH(1,(TDU_Info!$C$5:$C$110=$T$6)*(TDU_Info!$B$5:$B$110&lt;=$B3264),0)</f>
        <v>74</v>
      </c>
      <c r="U3264" s="152">
        <f>100*(INDEX(TDU_Info!$E$5:$E$110,$T3264)/T$11+INDEX(TDU_Info!$F$5:$F$110,$T3264))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MATCH(1,(TDU_Info!$C$5:$C$110=$T$6)*(TDU_Info!$B$5:$B$110&lt;=$B3265),0)</f>
        <v>74</v>
      </c>
      <c r="U3265" s="152">
        <f>100*(INDEX(TDU_Info!$E$5:$E$110,$T3265)/T$11+INDEX(TDU_Info!$F$5:$F$110,$T3265))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MATCH(1,(TDU_Info!$C$5:$C$110=$T$6)*(TDU_Info!$B$5:$B$110&lt;=$B3266),0)</f>
        <v>74</v>
      </c>
      <c r="U3266" s="152">
        <f>100*(INDEX(TDU_Info!$E$5:$E$110,$T3266)/T$11+INDEX(TDU_Info!$F$5:$F$110,$T3266))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MATCH(1,(TDU_Info!$C$5:$C$110=$T$6)*(TDU_Info!$B$5:$B$110&lt;=$B3267),0)</f>
        <v>74</v>
      </c>
      <c r="U3267" s="152">
        <f>100*(INDEX(TDU_Info!$E$5:$E$110,$T3267)/T$11+INDEX(TDU_Info!$F$5:$F$110,$T3267))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MATCH(1,(TDU_Info!$C$5:$C$110=$T$6)*(TDU_Info!$B$5:$B$110&lt;=$B3268),0)</f>
        <v>74</v>
      </c>
      <c r="U3268" s="152">
        <f>100*(INDEX(TDU_Info!$E$5:$E$110,$T3268)/T$11+INDEX(TDU_Info!$F$5:$F$110,$T3268))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MATCH(1,(TDU_Info!$C$5:$C$110=$T$6)*(TDU_Info!$B$5:$B$110&lt;=$B3269),0)</f>
        <v>74</v>
      </c>
      <c r="U3269" s="152">
        <f>100*(INDEX(TDU_Info!$E$5:$E$110,$T3269)/T$11+INDEX(TDU_Info!$F$5:$F$110,$T3269))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MATCH(1,(TDU_Info!$C$5:$C$110=$T$6)*(TDU_Info!$B$5:$B$110&lt;=$B3270),0)</f>
        <v>74</v>
      </c>
      <c r="U3270" s="152">
        <f>100*(INDEX(TDU_Info!$E$5:$E$110,$T3270)/T$11+INDEX(TDU_Info!$F$5:$F$110,$T3270))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MATCH(1,(TDU_Info!$C$5:$C$110=$T$6)*(TDU_Info!$B$5:$B$110&lt;=$B3271),0)</f>
        <v>74</v>
      </c>
      <c r="U3271" s="152">
        <f>100*(INDEX(TDU_Info!$E$5:$E$110,$T3271)/T$11+INDEX(TDU_Info!$F$5:$F$110,$T3271))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MATCH(1,(TDU_Info!$C$5:$C$110=$T$6)*(TDU_Info!$B$5:$B$110&lt;=$B3272),0)</f>
        <v>74</v>
      </c>
      <c r="U3272" s="152">
        <f>100*(INDEX(TDU_Info!$E$5:$E$110,$T3272)/T$11+INDEX(TDU_Info!$F$5:$F$110,$T3272))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MATCH(1,(TDU_Info!$C$5:$C$110=$T$6)*(TDU_Info!$B$5:$B$110&lt;=$B3273),0)</f>
        <v>74</v>
      </c>
      <c r="U3273" s="152">
        <f>100*(INDEX(TDU_Info!$E$5:$E$110,$T3273)/T$11+INDEX(TDU_Info!$F$5:$F$110,$T3273))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MATCH(1,(TDU_Info!$C$5:$C$110=$T$6)*(TDU_Info!$B$5:$B$110&lt;=$B3274),0)</f>
        <v>74</v>
      </c>
      <c r="U3274" s="152">
        <f>100*(INDEX(TDU_Info!$E$5:$E$110,$T3274)/T$11+INDEX(TDU_Info!$F$5:$F$110,$T3274))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MATCH(1,(TDU_Info!$C$5:$C$110=$T$6)*(TDU_Info!$B$5:$B$110&lt;=$B3275),0)</f>
        <v>74</v>
      </c>
      <c r="U3275" s="152">
        <f>100*(INDEX(TDU_Info!$E$5:$E$110,$T3275)/T$11+INDEX(TDU_Info!$F$5:$F$110,$T3275))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MATCH(1,(TDU_Info!$C$5:$C$110=$T$6)*(TDU_Info!$B$5:$B$110&lt;=$B3276),0)</f>
        <v>74</v>
      </c>
      <c r="U3276" s="152">
        <f>100*(INDEX(TDU_Info!$E$5:$E$110,$T3276)/T$11+INDEX(TDU_Info!$F$5:$F$110,$T3276))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MATCH(1,(TDU_Info!$C$5:$C$110=$T$6)*(TDU_Info!$B$5:$B$110&lt;=$B3277),0)</f>
        <v>74</v>
      </c>
      <c r="U3277" s="152">
        <f>100*(INDEX(TDU_Info!$E$5:$E$110,$T3277)/T$11+INDEX(TDU_Info!$F$5:$F$110,$T3277))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MATCH(1,(TDU_Info!$C$5:$C$110=$T$6)*(TDU_Info!$B$5:$B$110&lt;=$B3278),0)</f>
        <v>74</v>
      </c>
      <c r="U3278" s="152">
        <f>100*(INDEX(TDU_Info!$E$5:$E$110,$T3278)/T$11+INDEX(TDU_Info!$F$5:$F$110,$T3278))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MATCH(1,(TDU_Info!$C$5:$C$110=$T$6)*(TDU_Info!$B$5:$B$110&lt;=$B3279),0)</f>
        <v>74</v>
      </c>
      <c r="U3279" s="152">
        <f>100*(INDEX(TDU_Info!$E$5:$E$110,$T3279)/T$11+INDEX(TDU_Info!$F$5:$F$110,$T3279))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MATCH(1,(TDU_Info!$C$5:$C$110=$T$6)*(TDU_Info!$B$5:$B$110&lt;=$B3280),0)</f>
        <v>74</v>
      </c>
      <c r="U3280" s="152">
        <f>100*(INDEX(TDU_Info!$E$5:$E$110,$T3280)/T$11+INDEX(TDU_Info!$F$5:$F$110,$T3280))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MATCH(1,(TDU_Info!$C$5:$C$110=$T$6)*(TDU_Info!$B$5:$B$110&lt;=$B3281),0)</f>
        <v>74</v>
      </c>
      <c r="U3281" s="152">
        <f>100*(INDEX(TDU_Info!$E$5:$E$110,$T3281)/T$11+INDEX(TDU_Info!$F$5:$F$110,$T3281))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MATCH(1,(TDU_Info!$C$5:$C$110=$T$6)*(TDU_Info!$B$5:$B$110&lt;=$B3282),0)</f>
        <v>74</v>
      </c>
      <c r="U3282" s="152">
        <f>100*(INDEX(TDU_Info!$E$5:$E$110,$T3282)/T$11+INDEX(TDU_Info!$F$5:$F$110,$T3282))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MATCH(1,(TDU_Info!$C$5:$C$110=$T$6)*(TDU_Info!$B$5:$B$110&lt;=$B3283),0)</f>
        <v>74</v>
      </c>
      <c r="U3283" s="152">
        <f>100*(INDEX(TDU_Info!$E$5:$E$110,$T3283)/T$11+INDEX(TDU_Info!$F$5:$F$110,$T3283))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MATCH(1,(TDU_Info!$C$5:$C$110=$T$6)*(TDU_Info!$B$5:$B$110&lt;=$B3284),0)</f>
        <v>74</v>
      </c>
      <c r="U3284" s="152">
        <f>100*(INDEX(TDU_Info!$E$5:$E$110,$T3284)/T$11+INDEX(TDU_Info!$F$5:$F$110,$T3284))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MATCH(1,(TDU_Info!$C$5:$C$110=$T$6)*(TDU_Info!$B$5:$B$110&lt;=$B3285),0)</f>
        <v>74</v>
      </c>
      <c r="U3285" s="152">
        <f>100*(INDEX(TDU_Info!$E$5:$E$110,$T3285)/T$11+INDEX(TDU_Info!$F$5:$F$110,$T3285))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MATCH(1,(TDU_Info!$C$5:$C$110=$T$6)*(TDU_Info!$B$5:$B$110&lt;=$B3286),0)</f>
        <v>74</v>
      </c>
      <c r="U3286" s="152">
        <f>100*(INDEX(TDU_Info!$E$5:$E$110,$T3286)/T$11+INDEX(TDU_Info!$F$5:$F$110,$T3286))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MATCH(1,(TDU_Info!$C$5:$C$110=$T$6)*(TDU_Info!$B$5:$B$110&lt;=$B3287),0)</f>
        <v>73</v>
      </c>
      <c r="U3287" s="152">
        <f>100*(INDEX(TDU_Info!$E$5:$E$110,$T3287)/T$11+INDEX(TDU_Info!$F$5:$F$110,$T3287))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MATCH(1,(TDU_Info!$C$5:$C$110=$T$6)*(TDU_Info!$B$5:$B$110&lt;=$B3288),0)</f>
        <v>73</v>
      </c>
      <c r="U3288" s="152">
        <f>100*(INDEX(TDU_Info!$E$5:$E$110,$T3288)/T$11+INDEX(TDU_Info!$F$5:$F$110,$T3288))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MATCH(1,(TDU_Info!$C$5:$C$110=$T$6)*(TDU_Info!$B$5:$B$110&lt;=$B3289),0)</f>
        <v>73</v>
      </c>
      <c r="U3289" s="152">
        <f>100*(INDEX(TDU_Info!$E$5:$E$110,$T3289)/T$11+INDEX(TDU_Info!$F$5:$F$110,$T3289))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MATCH(1,(TDU_Info!$C$5:$C$110=$T$6)*(TDU_Info!$B$5:$B$110&lt;=$B3290),0)</f>
        <v>73</v>
      </c>
      <c r="U3290" s="152">
        <f>100*(INDEX(TDU_Info!$E$5:$E$110,$T3290)/T$11+INDEX(TDU_Info!$F$5:$F$110,$T3290))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MATCH(1,(TDU_Info!$C$5:$C$110=$T$6)*(TDU_Info!$B$5:$B$110&lt;=$B3291),0)</f>
        <v>73</v>
      </c>
      <c r="U3291" s="152">
        <f>100*(INDEX(TDU_Info!$E$5:$E$110,$T3291)/T$11+INDEX(TDU_Info!$F$5:$F$110,$T3291))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MATCH(1,(TDU_Info!$C$5:$C$110=$T$6)*(TDU_Info!$B$5:$B$110&lt;=$B3292),0)</f>
        <v>73</v>
      </c>
      <c r="U3292" s="152">
        <f>100*(INDEX(TDU_Info!$E$5:$E$110,$T3292)/T$11+INDEX(TDU_Info!$F$5:$F$110,$T3292))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MATCH(1,(TDU_Info!$C$5:$C$110=$T$6)*(TDU_Info!$B$5:$B$110&lt;=$B3293),0)</f>
        <v>73</v>
      </c>
      <c r="U3293" s="152">
        <f>100*(INDEX(TDU_Info!$E$5:$E$110,$T3293)/T$11+INDEX(TDU_Info!$F$5:$F$110,$T3293))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MATCH(1,(TDU_Info!$C$5:$C$110=$T$6)*(TDU_Info!$B$5:$B$110&lt;=$B3294),0)</f>
        <v>73</v>
      </c>
      <c r="U3294" s="152">
        <f>100*(INDEX(TDU_Info!$E$5:$E$110,$T3294)/T$11+INDEX(TDU_Info!$F$5:$F$110,$T3294))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MATCH(1,(TDU_Info!$C$5:$C$110=$T$6)*(TDU_Info!$B$5:$B$110&lt;=$B3295),0)</f>
        <v>73</v>
      </c>
      <c r="U3295" s="152">
        <f>100*(INDEX(TDU_Info!$E$5:$E$110,$T3295)/T$11+INDEX(TDU_Info!$F$5:$F$110,$T3295))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MATCH(1,(TDU_Info!$C$5:$C$110=$T$6)*(TDU_Info!$B$5:$B$110&lt;=$B3296),0)</f>
        <v>73</v>
      </c>
      <c r="U3296" s="152">
        <f>100*(INDEX(TDU_Info!$E$5:$E$110,$T3296)/T$11+INDEX(TDU_Info!$F$5:$F$110,$T3296))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MATCH(1,(TDU_Info!$C$5:$C$110=$T$6)*(TDU_Info!$B$5:$B$110&lt;=$B3297),0)</f>
        <v>73</v>
      </c>
      <c r="U3297" s="152">
        <f>100*(INDEX(TDU_Info!$E$5:$E$110,$T3297)/T$11+INDEX(TDU_Info!$F$5:$F$110,$T3297))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MATCH(1,(TDU_Info!$C$5:$C$110=$T$6)*(TDU_Info!$B$5:$B$110&lt;=$B3298),0)</f>
        <v>73</v>
      </c>
      <c r="U3298" s="152">
        <f>100*(INDEX(TDU_Info!$E$5:$E$110,$T3298)/T$11+INDEX(TDU_Info!$F$5:$F$110,$T3298))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MATCH(1,(TDU_Info!$C$5:$C$110=$T$6)*(TDU_Info!$B$5:$B$110&lt;=$B3299),0)</f>
        <v>73</v>
      </c>
      <c r="U3299" s="152">
        <f>100*(INDEX(TDU_Info!$E$5:$E$110,$T3299)/T$11+INDEX(TDU_Info!$F$5:$F$110,$T3299))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MATCH(1,(TDU_Info!$C$5:$C$110=$T$6)*(TDU_Info!$B$5:$B$110&lt;=$B3300),0)</f>
        <v>73</v>
      </c>
      <c r="U3300" s="152">
        <f>100*(INDEX(TDU_Info!$E$5:$E$110,$T3300)/T$11+INDEX(TDU_Info!$F$5:$F$110,$T3300))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MATCH(1,(TDU_Info!$C$5:$C$110=$T$6)*(TDU_Info!$B$5:$B$110&lt;=$B3301),0)</f>
        <v>73</v>
      </c>
      <c r="U3301" s="152">
        <f>100*(INDEX(TDU_Info!$E$5:$E$110,$T3301)/T$11+INDEX(TDU_Info!$F$5:$F$110,$T3301))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MATCH(1,(TDU_Info!$C$5:$C$110=$T$6)*(TDU_Info!$B$5:$B$110&lt;=$B3302),0)</f>
        <v>73</v>
      </c>
      <c r="U3302" s="152">
        <f>100*(INDEX(TDU_Info!$E$5:$E$110,$T3302)/T$11+INDEX(TDU_Info!$F$5:$F$110,$T3302))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MATCH(1,(TDU_Info!$C$5:$C$110=$T$6)*(TDU_Info!$B$5:$B$110&lt;=$B3303),0)</f>
        <v>73</v>
      </c>
      <c r="U3303" s="152">
        <f>100*(INDEX(TDU_Info!$E$5:$E$110,$T3303)/T$11+INDEX(TDU_Info!$F$5:$F$110,$T3303))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MATCH(1,(TDU_Info!$C$5:$C$110=$T$6)*(TDU_Info!$B$5:$B$110&lt;=$B3304),0)</f>
        <v>73</v>
      </c>
      <c r="U3304" s="152">
        <f>100*(INDEX(TDU_Info!$E$5:$E$110,$T3304)/T$11+INDEX(TDU_Info!$F$5:$F$110,$T3304))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MATCH(1,(TDU_Info!$C$5:$C$110=$T$6)*(TDU_Info!$B$5:$B$110&lt;=$B3305),0)</f>
        <v>73</v>
      </c>
      <c r="U3305" s="152">
        <f>100*(INDEX(TDU_Info!$E$5:$E$110,$T3305)/T$11+INDEX(TDU_Info!$F$5:$F$110,$T3305))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MATCH(1,(TDU_Info!$C$5:$C$110=$T$6)*(TDU_Info!$B$5:$B$110&lt;=$B3306),0)</f>
        <v>73</v>
      </c>
      <c r="U3306" s="152">
        <f>100*(INDEX(TDU_Info!$E$5:$E$110,$T3306)/T$11+INDEX(TDU_Info!$F$5:$F$110,$T3306))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MATCH(1,(TDU_Info!$C$5:$C$110=$T$6)*(TDU_Info!$B$5:$B$110&lt;=$B3307),0)</f>
        <v>73</v>
      </c>
      <c r="U3307" s="152">
        <f>100*(INDEX(TDU_Info!$E$5:$E$110,$T3307)/T$11+INDEX(TDU_Info!$F$5:$F$110,$T3307))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MATCH(1,(TDU_Info!$C$5:$C$110=$T$6)*(TDU_Info!$B$5:$B$110&lt;=$B3308),0)</f>
        <v>73</v>
      </c>
      <c r="U3308" s="152">
        <f>100*(INDEX(TDU_Info!$E$5:$E$110,$T3308)/T$11+INDEX(TDU_Info!$F$5:$F$110,$T3308))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MATCH(1,(TDU_Info!$C$5:$C$110=$T$6)*(TDU_Info!$B$5:$B$110&lt;=$B3309),0)</f>
        <v>73</v>
      </c>
      <c r="U3309" s="152">
        <f>100*(INDEX(TDU_Info!$E$5:$E$110,$T3309)/T$11+INDEX(TDU_Info!$F$5:$F$110,$T3309))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MATCH(1,(TDU_Info!$C$5:$C$110=$T$6)*(TDU_Info!$B$5:$B$110&lt;=$B3310),0)</f>
        <v>73</v>
      </c>
      <c r="U3310" s="152">
        <f>100*(INDEX(TDU_Info!$E$5:$E$110,$T3310)/T$11+INDEX(TDU_Info!$F$5:$F$110,$T3310))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MATCH(1,(TDU_Info!$C$5:$C$110=$T$6)*(TDU_Info!$B$5:$B$110&lt;=$B3311),0)</f>
        <v>73</v>
      </c>
      <c r="U3311" s="152">
        <f>100*(INDEX(TDU_Info!$E$5:$E$110,$T3311)/T$11+INDEX(TDU_Info!$F$5:$F$110,$T3311))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MATCH(1,(TDU_Info!$C$5:$C$110=$T$6)*(TDU_Info!$B$5:$B$110&lt;=$B3312),0)</f>
        <v>73</v>
      </c>
      <c r="U3312" s="152">
        <f>100*(INDEX(TDU_Info!$E$5:$E$110,$T3312)/T$11+INDEX(TDU_Info!$F$5:$F$110,$T3312))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MATCH(1,(TDU_Info!$C$5:$C$110=$T$6)*(TDU_Info!$B$5:$B$110&lt;=$B3313),0)</f>
        <v>73</v>
      </c>
      <c r="U3313" s="152">
        <f>100*(INDEX(TDU_Info!$E$5:$E$110,$T3313)/T$11+INDEX(TDU_Info!$F$5:$F$110,$T3313))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MATCH(1,(TDU_Info!$C$5:$C$110=$T$6)*(TDU_Info!$B$5:$B$110&lt;=$B3314),0)</f>
        <v>73</v>
      </c>
      <c r="U3314" s="152">
        <f>100*(INDEX(TDU_Info!$E$5:$E$110,$T3314)/T$11+INDEX(TDU_Info!$F$5:$F$110,$T3314))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MATCH(1,(TDU_Info!$C$5:$C$110=$T$6)*(TDU_Info!$B$5:$B$110&lt;=$B3315),0)</f>
        <v>73</v>
      </c>
      <c r="U3315" s="152">
        <f>100*(INDEX(TDU_Info!$E$5:$E$110,$T3315)/T$11+INDEX(TDU_Info!$F$5:$F$110,$T3315))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MATCH(1,(TDU_Info!$C$5:$C$110=$T$6)*(TDU_Info!$B$5:$B$110&lt;=$B3316),0)</f>
        <v>73</v>
      </c>
      <c r="U3316" s="152">
        <f>100*(INDEX(TDU_Info!$E$5:$E$110,$T3316)/T$11+INDEX(TDU_Info!$F$5:$F$110,$T3316))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MATCH(1,(TDU_Info!$C$5:$C$110=$T$6)*(TDU_Info!$B$5:$B$110&lt;=$B3317),0)</f>
        <v>73</v>
      </c>
      <c r="U3317" s="152">
        <f>100*(INDEX(TDU_Info!$E$5:$E$110,$T3317)/T$11+INDEX(TDU_Info!$F$5:$F$110,$T3317))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MATCH(1,(TDU_Info!$C$5:$C$110=$T$6)*(TDU_Info!$B$5:$B$110&lt;=$B3318),0)</f>
        <v>73</v>
      </c>
      <c r="U3318" s="152">
        <f>100*(INDEX(TDU_Info!$E$5:$E$110,$T3318)/T$11+INDEX(TDU_Info!$F$5:$F$110,$T3318))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MATCH(1,(TDU_Info!$C$5:$C$110=$T$6)*(TDU_Info!$B$5:$B$110&lt;=$B3319),0)</f>
        <v>73</v>
      </c>
      <c r="U3319" s="152">
        <f>100*(INDEX(TDU_Info!$E$5:$E$110,$T3319)/T$11+INDEX(TDU_Info!$F$5:$F$110,$T3319))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MATCH(1,(TDU_Info!$C$5:$C$110=$T$6)*(TDU_Info!$B$5:$B$110&lt;=$B3320),0)</f>
        <v>73</v>
      </c>
      <c r="U3320" s="152">
        <f>100*(INDEX(TDU_Info!$E$5:$E$110,$T3320)/T$11+INDEX(TDU_Info!$F$5:$F$110,$T3320))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MATCH(1,(TDU_Info!$C$5:$C$110=$T$6)*(TDU_Info!$B$5:$B$110&lt;=$B3321),0)</f>
        <v>73</v>
      </c>
      <c r="U3321" s="152">
        <f>100*(INDEX(TDU_Info!$E$5:$E$110,$T3321)/T$11+INDEX(TDU_Info!$F$5:$F$110,$T3321))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MATCH(1,(TDU_Info!$C$5:$C$110=$T$6)*(TDU_Info!$B$5:$B$110&lt;=$B3322),0)</f>
        <v>73</v>
      </c>
      <c r="U3322" s="152">
        <f>100*(INDEX(TDU_Info!$E$5:$E$110,$T3322)/T$11+INDEX(TDU_Info!$F$5:$F$110,$T3322))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MATCH(1,(TDU_Info!$C$5:$C$110=$T$6)*(TDU_Info!$B$5:$B$110&lt;=$B3323),0)</f>
        <v>73</v>
      </c>
      <c r="U3323" s="152">
        <f>100*(INDEX(TDU_Info!$E$5:$E$110,$T3323)/T$11+INDEX(TDU_Info!$F$5:$F$110,$T3323))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MATCH(1,(TDU_Info!$C$5:$C$110=$T$6)*(TDU_Info!$B$5:$B$110&lt;=$B3324),0)</f>
        <v>73</v>
      </c>
      <c r="U3324" s="152">
        <f>100*(INDEX(TDU_Info!$E$5:$E$110,$T3324)/T$11+INDEX(TDU_Info!$F$5:$F$110,$T3324))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MATCH(1,(TDU_Info!$C$5:$C$110=$T$6)*(TDU_Info!$B$5:$B$110&lt;=$B3325),0)</f>
        <v>73</v>
      </c>
      <c r="U3325" s="152">
        <f>100*(INDEX(TDU_Info!$E$5:$E$110,$T3325)/T$11+INDEX(TDU_Info!$F$5:$F$110,$T3325))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MATCH(1,(TDU_Info!$C$5:$C$110=$T$6)*(TDU_Info!$B$5:$B$110&lt;=$B3326),0)</f>
        <v>73</v>
      </c>
      <c r="U3326" s="152">
        <f>100*(INDEX(TDU_Info!$E$5:$E$110,$T3326)/T$11+INDEX(TDU_Info!$F$5:$F$110,$T3326))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MATCH(1,(TDU_Info!$C$5:$C$110=$T$6)*(TDU_Info!$B$5:$B$110&lt;=$B3327),0)</f>
        <v>73</v>
      </c>
      <c r="U3327" s="152">
        <f>100*(INDEX(TDU_Info!$E$5:$E$110,$T3327)/T$11+INDEX(TDU_Info!$F$5:$F$110,$T3327))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MATCH(1,(TDU_Info!$C$5:$C$110=$T$6)*(TDU_Info!$B$5:$B$110&lt;=$B3328),0)</f>
        <v>73</v>
      </c>
      <c r="U3328" s="152">
        <f>100*(INDEX(TDU_Info!$E$5:$E$110,$T3328)/T$11+INDEX(TDU_Info!$F$5:$F$110,$T3328))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MATCH(1,(TDU_Info!$C$5:$C$110=$T$6)*(TDU_Info!$B$5:$B$110&lt;=$B3329),0)</f>
        <v>73</v>
      </c>
      <c r="U3329" s="152">
        <f>100*(INDEX(TDU_Info!$E$5:$E$110,$T3329)/T$11+INDEX(TDU_Info!$F$5:$F$110,$T3329))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MATCH(1,(TDU_Info!$C$5:$C$110=$T$6)*(TDU_Info!$B$5:$B$110&lt;=$B3330),0)</f>
        <v>73</v>
      </c>
      <c r="U3330" s="152">
        <f>100*(INDEX(TDU_Info!$E$5:$E$110,$T3330)/T$11+INDEX(TDU_Info!$F$5:$F$110,$T3330))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MATCH(1,(TDU_Info!$C$5:$C$110=$T$6)*(TDU_Info!$B$5:$B$110&lt;=$B3331),0)</f>
        <v>73</v>
      </c>
      <c r="U3331" s="152">
        <f>100*(INDEX(TDU_Info!$E$5:$E$110,$T3331)/T$11+INDEX(TDU_Info!$F$5:$F$110,$T3331))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MATCH(1,(TDU_Info!$C$5:$C$110=$T$6)*(TDU_Info!$B$5:$B$110&lt;=$B3332),0)</f>
        <v>73</v>
      </c>
      <c r="U3332" s="152">
        <f>100*(INDEX(TDU_Info!$E$5:$E$110,$T3332)/T$11+INDEX(TDU_Info!$F$5:$F$110,$T3332))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MATCH(1,(TDU_Info!$C$5:$C$110=$T$6)*(TDU_Info!$B$5:$B$110&lt;=$B3333),0)</f>
        <v>73</v>
      </c>
      <c r="U3333" s="152">
        <f>100*(INDEX(TDU_Info!$E$5:$E$110,$T3333)/T$11+INDEX(TDU_Info!$F$5:$F$110,$T3333))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MATCH(1,(TDU_Info!$C$5:$C$110=$T$6)*(TDU_Info!$B$5:$B$110&lt;=$B3334),0)</f>
        <v>73</v>
      </c>
      <c r="U3334" s="152">
        <f>100*(INDEX(TDU_Info!$E$5:$E$110,$T3334)/T$11+INDEX(TDU_Info!$F$5:$F$110,$T3334))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MATCH(1,(TDU_Info!$C$5:$C$110=$T$6)*(TDU_Info!$B$5:$B$110&lt;=$B3335),0)</f>
        <v>73</v>
      </c>
      <c r="U3335" s="152">
        <f>100*(INDEX(TDU_Info!$E$5:$E$110,$T3335)/T$11+INDEX(TDU_Info!$F$5:$F$110,$T3335))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MATCH(1,(TDU_Info!$C$5:$C$110=$T$6)*(TDU_Info!$B$5:$B$110&lt;=$B3336),0)</f>
        <v>73</v>
      </c>
      <c r="U3336" s="152">
        <f>100*(INDEX(TDU_Info!$E$5:$E$110,$T3336)/T$11+INDEX(TDU_Info!$F$5:$F$110,$T3336))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MATCH(1,(TDU_Info!$C$5:$C$110=$T$6)*(TDU_Info!$B$5:$B$110&lt;=$B3337),0)</f>
        <v>73</v>
      </c>
      <c r="U3337" s="152">
        <f>100*(INDEX(TDU_Info!$E$5:$E$110,$T3337)/T$11+INDEX(TDU_Info!$F$5:$F$110,$T3337))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MATCH(1,(TDU_Info!$C$5:$C$110=$T$6)*(TDU_Info!$B$5:$B$110&lt;=$B3338),0)</f>
        <v>73</v>
      </c>
      <c r="U3338" s="152">
        <f>100*(INDEX(TDU_Info!$E$5:$E$110,$T3338)/T$11+INDEX(TDU_Info!$F$5:$F$110,$T3338))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MATCH(1,(TDU_Info!$C$5:$C$110=$T$6)*(TDU_Info!$B$5:$B$110&lt;=$B3339),0)</f>
        <v>73</v>
      </c>
      <c r="U3339" s="152">
        <f>100*(INDEX(TDU_Info!$E$5:$E$110,$T3339)/T$11+INDEX(TDU_Info!$F$5:$F$110,$T3339))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MATCH(1,(TDU_Info!$C$5:$C$110=$T$6)*(TDU_Info!$B$5:$B$110&lt;=$B3340),0)</f>
        <v>73</v>
      </c>
      <c r="U3340" s="152">
        <f>100*(INDEX(TDU_Info!$E$5:$E$110,$T3340)/T$11+INDEX(TDU_Info!$F$5:$F$110,$T3340))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MATCH(1,(TDU_Info!$C$5:$C$110=$T$6)*(TDU_Info!$B$5:$B$110&lt;=$B3341),0)</f>
        <v>73</v>
      </c>
      <c r="U3341" s="152">
        <f>100*(INDEX(TDU_Info!$E$5:$E$110,$T3341)/T$11+INDEX(TDU_Info!$F$5:$F$110,$T3341))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16" si="581">1-$AU3341-$AV3341</f>
        <v>1</v>
      </c>
      <c r="AU3341" s="153">
        <f t="shared" ref="AU3341:AU3516" si="582">IF(AND($AS3341&gt;=AU$12,$AS3341&lt;=AU$13),1-$AV3341,0)</f>
        <v>0</v>
      </c>
      <c r="AV3341" s="153">
        <f t="shared" ref="AV3341:AV351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MATCH(1,(TDU_Info!$C$5:$C$110=$T$6)*(TDU_Info!$B$5:$B$110&lt;=$B3342),0)</f>
        <v>73</v>
      </c>
      <c r="U3342" s="152">
        <f>100*(INDEX(TDU_Info!$E$5:$E$110,$T3342)/T$11+INDEX(TDU_Info!$F$5:$F$110,$T3342))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MATCH(1,(TDU_Info!$C$5:$C$110=$T$6)*(TDU_Info!$B$5:$B$110&lt;=$B3343),0)</f>
        <v>73</v>
      </c>
      <c r="U3343" s="152">
        <f>100*(INDEX(TDU_Info!$E$5:$E$110,$T3343)/T$11+INDEX(TDU_Info!$F$5:$F$110,$T3343))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MATCH(1,(TDU_Info!$C$5:$C$110=$T$6)*(TDU_Info!$B$5:$B$110&lt;=$B3344),0)</f>
        <v>73</v>
      </c>
      <c r="U3344" s="152">
        <f>100*(INDEX(TDU_Info!$E$5:$E$110,$T3344)/T$11+INDEX(TDU_Info!$F$5:$F$110,$T3344))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MATCH(1,(TDU_Info!$C$5:$C$110=$T$6)*(TDU_Info!$B$5:$B$110&lt;=$B3345),0)</f>
        <v>73</v>
      </c>
      <c r="U3345" s="152">
        <f>100*(INDEX(TDU_Info!$E$5:$E$110,$T3345)/T$11+INDEX(TDU_Info!$F$5:$F$110,$T3345))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MATCH(1,(TDU_Info!$C$5:$C$110=$T$6)*(TDU_Info!$B$5:$B$110&lt;=$B3346),0)</f>
        <v>73</v>
      </c>
      <c r="U3346" s="152">
        <f>100*(INDEX(TDU_Info!$E$5:$E$110,$T3346)/T$11+INDEX(TDU_Info!$F$5:$F$110,$T3346))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MATCH(1,(TDU_Info!$C$5:$C$110=$T$6)*(TDU_Info!$B$5:$B$110&lt;=$B3347),0)</f>
        <v>73</v>
      </c>
      <c r="U3347" s="152">
        <f>100*(INDEX(TDU_Info!$E$5:$E$110,$T3347)/T$11+INDEX(TDU_Info!$F$5:$F$110,$T3347))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MATCH(1,(TDU_Info!$C$5:$C$110=$T$6)*(TDU_Info!$B$5:$B$110&lt;=$B3348),0)</f>
        <v>73</v>
      </c>
      <c r="U3348" s="152">
        <f>100*(INDEX(TDU_Info!$E$5:$E$110,$T3348)/T$11+INDEX(TDU_Info!$F$5:$F$110,$T3348))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MATCH(1,(TDU_Info!$C$5:$C$110=$T$6)*(TDU_Info!$B$5:$B$110&lt;=$B3349),0)</f>
        <v>73</v>
      </c>
      <c r="U3349" s="152">
        <f>100*(INDEX(TDU_Info!$E$5:$E$110,$T3349)/T$11+INDEX(TDU_Info!$F$5:$F$110,$T3349))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MATCH(1,(TDU_Info!$C$5:$C$110=$T$6)*(TDU_Info!$B$5:$B$110&lt;=$B3350),0)</f>
        <v>73</v>
      </c>
      <c r="U3350" s="152">
        <f>100*(INDEX(TDU_Info!$E$5:$E$110,$T3350)/T$11+INDEX(TDU_Info!$F$5:$F$110,$T3350))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MATCH(1,(TDU_Info!$C$5:$C$110=$T$6)*(TDU_Info!$B$5:$B$110&lt;=$B3351),0)</f>
        <v>73</v>
      </c>
      <c r="U3351" s="152">
        <f>100*(INDEX(TDU_Info!$E$5:$E$110,$T3351)/T$11+INDEX(TDU_Info!$F$5:$F$110,$T3351))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MATCH(1,(TDU_Info!$C$5:$C$110=$T$6)*(TDU_Info!$B$5:$B$110&lt;=$B3352),0)</f>
        <v>73</v>
      </c>
      <c r="U3352" s="152">
        <f>100*(INDEX(TDU_Info!$E$5:$E$110,$T3352)/T$11+INDEX(TDU_Info!$F$5:$F$110,$T3352))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MATCH(1,(TDU_Info!$C$5:$C$110=$T$6)*(TDU_Info!$B$5:$B$110&lt;=$B3353),0)</f>
        <v>73</v>
      </c>
      <c r="U3353" s="152">
        <f>100*(INDEX(TDU_Info!$E$5:$E$110,$T3353)/T$11+INDEX(TDU_Info!$F$5:$F$110,$T3353))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MATCH(1,(TDU_Info!$C$5:$C$110=$T$6)*(TDU_Info!$B$5:$B$110&lt;=$B3354),0)</f>
        <v>73</v>
      </c>
      <c r="U3354" s="152">
        <f>100*(INDEX(TDU_Info!$E$5:$E$110,$T3354)/T$11+INDEX(TDU_Info!$F$5:$F$110,$T3354))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MATCH(1,(TDU_Info!$C$5:$C$110=$T$6)*(TDU_Info!$B$5:$B$110&lt;=$B3355),0)</f>
        <v>73</v>
      </c>
      <c r="U3355" s="152">
        <f>100*(INDEX(TDU_Info!$E$5:$E$110,$T3355)/T$11+INDEX(TDU_Info!$F$5:$F$110,$T3355))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MATCH(1,(TDU_Info!$C$5:$C$110=$T$6)*(TDU_Info!$B$5:$B$110&lt;=$B3356),0)</f>
        <v>73</v>
      </c>
      <c r="U3356" s="152">
        <f>100*(INDEX(TDU_Info!$E$5:$E$110,$T3356)/T$11+INDEX(TDU_Info!$F$5:$F$110,$T3356))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MATCH(1,(TDU_Info!$C$5:$C$110=$T$6)*(TDU_Info!$B$5:$B$110&lt;=$B3357),0)</f>
        <v>73</v>
      </c>
      <c r="U3357" s="152">
        <f>100*(INDEX(TDU_Info!$E$5:$E$110,$T3357)/T$11+INDEX(TDU_Info!$F$5:$F$110,$T3357))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MATCH(1,(TDU_Info!$C$5:$C$110=$T$6)*(TDU_Info!$B$5:$B$110&lt;=$B3358),0)</f>
        <v>73</v>
      </c>
      <c r="U3358" s="152">
        <f>100*(INDEX(TDU_Info!$E$5:$E$110,$T3358)/T$11+INDEX(TDU_Info!$F$5:$F$110,$T3358))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MATCH(1,(TDU_Info!$C$5:$C$110=$T$6)*(TDU_Info!$B$5:$B$110&lt;=$B3359),0)</f>
        <v>73</v>
      </c>
      <c r="U3359" s="152">
        <f>100*(INDEX(TDU_Info!$E$5:$E$110,$T3359)/T$11+INDEX(TDU_Info!$F$5:$F$110,$T3359))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MATCH(1,(TDU_Info!$C$5:$C$110=$T$6)*(TDU_Info!$B$5:$B$110&lt;=$B3360),0)</f>
        <v>73</v>
      </c>
      <c r="U3360" s="152">
        <f>100*(INDEX(TDU_Info!$E$5:$E$110,$T3360)/T$11+INDEX(TDU_Info!$F$5:$F$110,$T3360))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MATCH(1,(TDU_Info!$C$5:$C$110=$T$6)*(TDU_Info!$B$5:$B$110&lt;=$B3361),0)</f>
        <v>73</v>
      </c>
      <c r="U3361" s="152">
        <f>100*(INDEX(TDU_Info!$E$5:$E$110,$T3361)/T$11+INDEX(TDU_Info!$F$5:$F$110,$T3361))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MATCH(1,(TDU_Info!$C$5:$C$110=$T$6)*(TDU_Info!$B$5:$B$110&lt;=$B3362),0)</f>
        <v>73</v>
      </c>
      <c r="U3362" s="152">
        <f>100*(INDEX(TDU_Info!$E$5:$E$110,$T3362)/T$11+INDEX(TDU_Info!$F$5:$F$110,$T3362))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MATCH(1,(TDU_Info!$C$5:$C$110=$T$6)*(TDU_Info!$B$5:$B$110&lt;=$B3363),0)</f>
        <v>72</v>
      </c>
      <c r="U3363" s="152">
        <f>100*(INDEX(TDU_Info!$E$5:$E$110,$T3363)/T$11+INDEX(TDU_Info!$F$5:$F$110,$T3363))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MATCH(1,(TDU_Info!$C$5:$C$110=$T$6)*(TDU_Info!$B$5:$B$110&lt;=$B3364),0)</f>
        <v>72</v>
      </c>
      <c r="U3364" s="152">
        <f>100*(INDEX(TDU_Info!$E$5:$E$110,$T3364)/T$11+INDEX(TDU_Info!$F$5:$F$110,$T3364))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MATCH(1,(TDU_Info!$C$5:$C$110=$T$6)*(TDU_Info!$B$5:$B$110&lt;=$B3365),0)</f>
        <v>72</v>
      </c>
      <c r="U3365" s="152">
        <f>100*(INDEX(TDU_Info!$E$5:$E$110,$T3365)/T$11+INDEX(TDU_Info!$F$5:$F$110,$T3365))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MATCH(1,(TDU_Info!$C$5:$C$110=$T$6)*(TDU_Info!$B$5:$B$110&lt;=$B3366),0)</f>
        <v>72</v>
      </c>
      <c r="U3366" s="152">
        <f>100*(INDEX(TDU_Info!$E$5:$E$110,$T3366)/T$11+INDEX(TDU_Info!$F$5:$F$110,$T3366))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MATCH(1,(TDU_Info!$C$5:$C$110=$T$6)*(TDU_Info!$B$5:$B$110&lt;=$B3367),0)</f>
        <v>72</v>
      </c>
      <c r="U3367" s="152">
        <f>100*(INDEX(TDU_Info!$E$5:$E$110,$T3367)/T$11+INDEX(TDU_Info!$F$5:$F$110,$T3367))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MATCH(1,(TDU_Info!$C$5:$C$110=$T$6)*(TDU_Info!$B$5:$B$110&lt;=$B3368),0)</f>
        <v>72</v>
      </c>
      <c r="U3368" s="152">
        <f>100*(INDEX(TDU_Info!$E$5:$E$110,$T3368)/T$11+INDEX(TDU_Info!$F$5:$F$110,$T3368))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MATCH(1,(TDU_Info!$C$5:$C$110=$T$6)*(TDU_Info!$B$5:$B$110&lt;=$B3369),0)</f>
        <v>72</v>
      </c>
      <c r="U3369" s="152">
        <f>100*(INDEX(TDU_Info!$E$5:$E$110,$T3369)/T$11+INDEX(TDU_Info!$F$5:$F$110,$T3369))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MATCH(1,(TDU_Info!$C$5:$C$110=$T$6)*(TDU_Info!$B$5:$B$110&lt;=$B3370),0)</f>
        <v>72</v>
      </c>
      <c r="U3370" s="152">
        <f>100*(INDEX(TDU_Info!$E$5:$E$110,$T3370)/T$11+INDEX(TDU_Info!$F$5:$F$110,$T3370))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MATCH(1,(TDU_Info!$C$5:$C$110=$T$6)*(TDU_Info!$B$5:$B$110&lt;=$B3371),0)</f>
        <v>72</v>
      </c>
      <c r="U3371" s="152">
        <f>100*(INDEX(TDU_Info!$E$5:$E$110,$T3371)/T$11+INDEX(TDU_Info!$F$5:$F$110,$T3371))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MATCH(1,(TDU_Info!$C$5:$C$110=$T$6)*(TDU_Info!$B$5:$B$110&lt;=$B3372),0)</f>
        <v>72</v>
      </c>
      <c r="U3372" s="152">
        <f>100*(INDEX(TDU_Info!$E$5:$E$110,$T3372)/T$11+INDEX(TDU_Info!$F$5:$F$110,$T3372))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MATCH(1,(TDU_Info!$C$5:$C$110=$T$6)*(TDU_Info!$B$5:$B$110&lt;=$B3373),0)</f>
        <v>72</v>
      </c>
      <c r="U3373" s="152">
        <f>100*(INDEX(TDU_Info!$E$5:$E$110,$T3373)/T$11+INDEX(TDU_Info!$F$5:$F$110,$T3373))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MATCH(1,(TDU_Info!$C$5:$C$110=$T$6)*(TDU_Info!$B$5:$B$110&lt;=$B3374),0)</f>
        <v>72</v>
      </c>
      <c r="U3374" s="152">
        <f>100*(INDEX(TDU_Info!$E$5:$E$110,$T3374)/T$11+INDEX(TDU_Info!$F$5:$F$110,$T3374))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MATCH(1,(TDU_Info!$C$5:$C$110=$T$6)*(TDU_Info!$B$5:$B$110&lt;=$B3375),0)</f>
        <v>72</v>
      </c>
      <c r="U3375" s="152">
        <f>100*(INDEX(TDU_Info!$E$5:$E$110,$T3375)/T$11+INDEX(TDU_Info!$F$5:$F$110,$T3375))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MATCH(1,(TDU_Info!$C$5:$C$110=$T$6)*(TDU_Info!$B$5:$B$110&lt;=$B3376),0)</f>
        <v>72</v>
      </c>
      <c r="U3376" s="152">
        <f>100*(INDEX(TDU_Info!$E$5:$E$110,$T3376)/T$11+INDEX(TDU_Info!$F$5:$F$110,$T3376))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MATCH(1,(TDU_Info!$C$5:$C$110=$T$6)*(TDU_Info!$B$5:$B$110&lt;=$B3377),0)</f>
        <v>72</v>
      </c>
      <c r="U3377" s="152">
        <f>100*(INDEX(TDU_Info!$E$5:$E$110,$T3377)/T$11+INDEX(TDU_Info!$F$5:$F$110,$T3377))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MATCH(1,(TDU_Info!$C$5:$C$110=$T$6)*(TDU_Info!$B$5:$B$110&lt;=$B3378),0)</f>
        <v>72</v>
      </c>
      <c r="U3378" s="152">
        <f>100*(INDEX(TDU_Info!$E$5:$E$110,$T3378)/T$11+INDEX(TDU_Info!$F$5:$F$110,$T3378))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MATCH(1,(TDU_Info!$C$5:$C$110=$T$6)*(TDU_Info!$B$5:$B$110&lt;=$B3379),0)</f>
        <v>72</v>
      </c>
      <c r="U3379" s="152">
        <f>100*(INDEX(TDU_Info!$E$5:$E$110,$T3379)/T$11+INDEX(TDU_Info!$F$5:$F$110,$T3379))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MATCH(1,(TDU_Info!$C$5:$C$110=$T$6)*(TDU_Info!$B$5:$B$110&lt;=$B3380),0)</f>
        <v>72</v>
      </c>
      <c r="U3380" s="152">
        <f>100*(INDEX(TDU_Info!$E$5:$E$110,$T3380)/T$11+INDEX(TDU_Info!$F$5:$F$110,$T3380))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MATCH(1,(TDU_Info!$C$5:$C$110=$T$6)*(TDU_Info!$B$5:$B$110&lt;=$B3381),0)</f>
        <v>72</v>
      </c>
      <c r="U3381" s="152">
        <f>100*(INDEX(TDU_Info!$E$5:$E$110,$T3381)/T$11+INDEX(TDU_Info!$F$5:$F$110,$T3381))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MATCH(1,(TDU_Info!$C$5:$C$110=$T$6)*(TDU_Info!$B$5:$B$110&lt;=$B3382),0)</f>
        <v>72</v>
      </c>
      <c r="U3382" s="152">
        <f>100*(INDEX(TDU_Info!$E$5:$E$110,$T3382)/T$11+INDEX(TDU_Info!$F$5:$F$110,$T3382))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MATCH(1,(TDU_Info!$C$5:$C$110=$T$6)*(TDU_Info!$B$5:$B$110&lt;=$B3383),0)</f>
        <v>72</v>
      </c>
      <c r="U3383" s="152">
        <f>100*(INDEX(TDU_Info!$E$5:$E$110,$T3383)/T$11+INDEX(TDU_Info!$F$5:$F$110,$T3383))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MATCH(1,(TDU_Info!$C$5:$C$110=$T$6)*(TDU_Info!$B$5:$B$110&lt;=$B3384),0)</f>
        <v>72</v>
      </c>
      <c r="U3384" s="152">
        <f>100*(INDEX(TDU_Info!$E$5:$E$110,$T3384)/T$11+INDEX(TDU_Info!$F$5:$F$110,$T3384))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1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MATCH(1,(TDU_Info!$C$5:$C$110=$T$6)*(TDU_Info!$B$5:$B$110&lt;=$B3385),0)</f>
        <v>72</v>
      </c>
      <c r="U3385" s="152">
        <f>100*(INDEX(TDU_Info!$E$5:$E$110,$T3385)/T$11+INDEX(TDU_Info!$F$5:$F$110,$T3385))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MATCH(1,(TDU_Info!$C$5:$C$110=$T$6)*(TDU_Info!$B$5:$B$110&lt;=$B3386),0)</f>
        <v>72</v>
      </c>
      <c r="U3386" s="152">
        <f>100*(INDEX(TDU_Info!$E$5:$E$110,$T3386)/T$11+INDEX(TDU_Info!$F$5:$F$110,$T3386))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MATCH(1,(TDU_Info!$C$5:$C$110=$T$6)*(TDU_Info!$B$5:$B$110&lt;=$B3387),0)</f>
        <v>72</v>
      </c>
      <c r="U3387" s="152">
        <f>100*(INDEX(TDU_Info!$E$5:$E$110,$T3387)/T$11+INDEX(TDU_Info!$F$5:$F$110,$T3387))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MATCH(1,(TDU_Info!$C$5:$C$110=$T$6)*(TDU_Info!$B$5:$B$110&lt;=$B3388),0)</f>
        <v>72</v>
      </c>
      <c r="U3388" s="152">
        <f>100*(INDEX(TDU_Info!$E$5:$E$110,$T3388)/T$11+INDEX(TDU_Info!$F$5:$F$110,$T3388))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MATCH(1,(TDU_Info!$C$5:$C$110=$T$6)*(TDU_Info!$B$5:$B$110&lt;=$B3389),0)</f>
        <v>72</v>
      </c>
      <c r="U3389" s="152">
        <f>100*(INDEX(TDU_Info!$E$5:$E$110,$T3389)/T$11+INDEX(TDU_Info!$F$5:$F$110,$T3389))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MATCH(1,(TDU_Info!$C$5:$C$110=$T$6)*(TDU_Info!$B$5:$B$110&lt;=$B3390),0)</f>
        <v>72</v>
      </c>
      <c r="U3390" s="152">
        <f>100*(INDEX(TDU_Info!$E$5:$E$110,$T3390)/T$11+INDEX(TDU_Info!$F$5:$F$110,$T3390))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MATCH(1,(TDU_Info!$C$5:$C$110=$T$6)*(TDU_Info!$B$5:$B$110&lt;=$B3391),0)</f>
        <v>72</v>
      </c>
      <c r="U3391" s="152">
        <f>100*(INDEX(TDU_Info!$E$5:$E$110,$T3391)/T$11+INDEX(TDU_Info!$F$5:$F$110,$T3391))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MATCH(1,(TDU_Info!$C$5:$C$110=$T$6)*(TDU_Info!$B$5:$B$110&lt;=$B3392),0)</f>
        <v>72</v>
      </c>
      <c r="U3392" s="152">
        <f>100*(INDEX(TDU_Info!$E$5:$E$110,$T3392)/T$11+INDEX(TDU_Info!$F$5:$F$110,$T3392))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MATCH(1,(TDU_Info!$C$5:$C$110=$T$6)*(TDU_Info!$B$5:$B$110&lt;=$B3393),0)</f>
        <v>72</v>
      </c>
      <c r="U3393" s="152">
        <f>100*(INDEX(TDU_Info!$E$5:$E$110,$T3393)/T$11+INDEX(TDU_Info!$F$5:$F$110,$T3393))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MATCH(1,(TDU_Info!$C$5:$C$110=$T$6)*(TDU_Info!$B$5:$B$110&lt;=$B3394),0)</f>
        <v>72</v>
      </c>
      <c r="U3394" s="152">
        <f>100*(INDEX(TDU_Info!$E$5:$E$110,$T3394)/T$11+INDEX(TDU_Info!$F$5:$F$110,$T3394))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MATCH(1,(TDU_Info!$C$5:$C$110=$T$6)*(TDU_Info!$B$5:$B$110&lt;=$B3395),0)</f>
        <v>72</v>
      </c>
      <c r="U3395" s="152">
        <f>100*(INDEX(TDU_Info!$E$5:$E$110,$T3395)/T$11+INDEX(TDU_Info!$F$5:$F$110,$T3395))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MATCH(1,(TDU_Info!$C$5:$C$110=$T$6)*(TDU_Info!$B$5:$B$110&lt;=$B3396),0)</f>
        <v>72</v>
      </c>
      <c r="U3396" s="152">
        <f>100*(INDEX(TDU_Info!$E$5:$E$110,$T3396)/T$11+INDEX(TDU_Info!$F$5:$F$110,$T3396))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MATCH(1,(TDU_Info!$C$5:$C$110=$T$6)*(TDU_Info!$B$5:$B$110&lt;=$B3397),0)</f>
        <v>72</v>
      </c>
      <c r="U3397" s="152">
        <f>100*(INDEX(TDU_Info!$E$5:$E$110,$T3397)/T$11+INDEX(TDU_Info!$F$5:$F$110,$T3397))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MATCH(1,(TDU_Info!$C$5:$C$110=$T$6)*(TDU_Info!$B$5:$B$110&lt;=$B3398),0)</f>
        <v>72</v>
      </c>
      <c r="U3398" s="152">
        <f>100*(INDEX(TDU_Info!$E$5:$E$110,$T3398)/T$11+INDEX(TDU_Info!$F$5:$F$110,$T3398))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MATCH(1,(TDU_Info!$C$5:$C$110=$T$6)*(TDU_Info!$B$5:$B$110&lt;=$B3399),0)</f>
        <v>72</v>
      </c>
      <c r="U3399" s="152">
        <f>100*(INDEX(TDU_Info!$E$5:$E$110,$T3399)/T$11+INDEX(TDU_Info!$F$5:$F$110,$T3399))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16" si="589">(INDEX($V3400:$AP3400,D$7)*(1+D$8)+D$9*100/$T$11)*(1+D$10)+(D$11*100/$T$11)+($T$5+D$10)*$U3400</f>
        <v>6.3129999999999997</v>
      </c>
      <c r="E3400" s="152"/>
      <c r="F3400" s="152"/>
      <c r="G3400" s="152"/>
      <c r="H3400" s="152" t="e">
        <f t="shared" ref="H3400:H3516" si="590">IF(ISNA($C3400),NA(),(INDEX($V3400:$AP3400,H$7)*(1+H$8)+H$9*100/$T$11)*(1+H$10)+(H$11*100/$T$11)+($T$5+H$10)*$U3400)</f>
        <v>#N/A</v>
      </c>
      <c r="I3400" s="152"/>
      <c r="J3400" s="152" t="e">
        <f t="shared" ref="J3400:J3516" si="591">(INDEX($V3400:$AP3400,J$7)*(1+J$8)+J$9*100/$T$11)*(1+J$10)+(J$11*100/$T$11)+($T$5+J$10)*$U3400</f>
        <v>#N/A</v>
      </c>
      <c r="K3400" s="152"/>
      <c r="L3400" s="152"/>
      <c r="M3400" s="152"/>
      <c r="N3400" s="152"/>
      <c r="O3400" s="152"/>
      <c r="P3400" s="152"/>
      <c r="Q3400" s="152"/>
      <c r="R3400" s="152"/>
      <c r="S3400" s="152"/>
      <c r="T3400" s="153" cm="1">
        <f t="array" ref="T3400">MATCH(1,(TDU_Info!$C$5:$C$110=$T$6)*(TDU_Info!$B$5:$B$110&lt;=$B3400),0)</f>
        <v>72</v>
      </c>
      <c r="U3400" s="152">
        <f>100*(INDEX(TDU_Info!$E$5:$E$110,$T3400)/T$11+INDEX(TDU_Info!$F$5:$F$110,$T3400))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16" si="592">IF(DAY($B3400)=1,NA(),VLOOKUP($B3400,$BB$17:$BD$64,2,TRUE))</f>
        <v>#N/A</v>
      </c>
      <c r="AM3400" s="152" t="e">
        <f t="shared" ref="AM3400:AM351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MATCH(1,(TDU_Info!$C$5:$C$110=$T$6)*(TDU_Info!$B$5:$B$110&lt;=$B3401),0)</f>
        <v>72</v>
      </c>
      <c r="U3401" s="152">
        <f>100*(INDEX(TDU_Info!$E$5:$E$110,$T3401)/T$11+INDEX(TDU_Info!$F$5:$F$110,$T3401))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MATCH(1,(TDU_Info!$C$5:$C$110=$T$6)*(TDU_Info!$B$5:$B$110&lt;=$B3402),0)</f>
        <v>72</v>
      </c>
      <c r="U3402" s="152">
        <f>100*(INDEX(TDU_Info!$E$5:$E$110,$T3402)/T$11+INDEX(TDU_Info!$F$5:$F$110,$T3402))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MATCH(1,(TDU_Info!$C$5:$C$110=$T$6)*(TDU_Info!$B$5:$B$110&lt;=$B3403),0)</f>
        <v>72</v>
      </c>
      <c r="U3403" s="152">
        <f>100*(INDEX(TDU_Info!$E$5:$E$110,$T3403)/T$11+INDEX(TDU_Info!$F$5:$F$110,$T3403))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MATCH(1,(TDU_Info!$C$5:$C$110=$T$6)*(TDU_Info!$B$5:$B$110&lt;=$B3404),0)</f>
        <v>72</v>
      </c>
      <c r="U3404" s="152">
        <f>100*(INDEX(TDU_Info!$E$5:$E$110,$T3404)/T$11+INDEX(TDU_Info!$F$5:$F$110,$T3404))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MATCH(1,(TDU_Info!$C$5:$C$110=$T$6)*(TDU_Info!$B$5:$B$110&lt;=$B3405),0)</f>
        <v>72</v>
      </c>
      <c r="U3405" s="152">
        <f>100*(INDEX(TDU_Info!$E$5:$E$110,$T3405)/T$11+INDEX(TDU_Info!$F$5:$F$110,$T3405))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MATCH(1,(TDU_Info!$C$5:$C$110=$T$6)*(TDU_Info!$B$5:$B$110&lt;=$B3406),0)</f>
        <v>72</v>
      </c>
      <c r="U3406" s="152">
        <f>100*(INDEX(TDU_Info!$E$5:$E$110,$T3406)/T$11+INDEX(TDU_Info!$F$5:$F$110,$T3406))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MATCH(1,(TDU_Info!$C$5:$C$110=$T$6)*(TDU_Info!$B$5:$B$110&lt;=$B3407),0)</f>
        <v>72</v>
      </c>
      <c r="U3407" s="152">
        <f>100*(INDEX(TDU_Info!$E$5:$E$110,$T3407)/T$11+INDEX(TDU_Info!$F$5:$F$110,$T3407))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MATCH(1,(TDU_Info!$C$5:$C$110=$T$6)*(TDU_Info!$B$5:$B$110&lt;=$B3408),0)</f>
        <v>72</v>
      </c>
      <c r="U3408" s="152">
        <f>100*(INDEX(TDU_Info!$E$5:$E$110,$T3408)/T$11+INDEX(TDU_Info!$F$5:$F$110,$T3408))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MATCH(1,(TDU_Info!$C$5:$C$110=$T$6)*(TDU_Info!$B$5:$B$110&lt;=$B3409),0)</f>
        <v>72</v>
      </c>
      <c r="U3409" s="152">
        <f>100*(INDEX(TDU_Info!$E$5:$E$110,$T3409)/T$11+INDEX(TDU_Info!$F$5:$F$110,$T3409))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MATCH(1,(TDU_Info!$C$5:$C$110=$T$6)*(TDU_Info!$B$5:$B$110&lt;=$B3410),0)</f>
        <v>72</v>
      </c>
      <c r="U3410" s="152">
        <f>100*(INDEX(TDU_Info!$E$5:$E$110,$T3410)/T$11+INDEX(TDU_Info!$F$5:$F$110,$T3410))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MATCH(1,(TDU_Info!$C$5:$C$110=$T$6)*(TDU_Info!$B$5:$B$110&lt;=$B3411),0)</f>
        <v>72</v>
      </c>
      <c r="U3411" s="152">
        <f>100*(INDEX(TDU_Info!$E$5:$E$110,$T3411)/T$11+INDEX(TDU_Info!$F$5:$F$110,$T3411))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MATCH(1,(TDU_Info!$C$5:$C$110=$T$6)*(TDU_Info!$B$5:$B$110&lt;=$B3412),0)</f>
        <v>72</v>
      </c>
      <c r="U3412" s="152">
        <f>100*(INDEX(TDU_Info!$E$5:$E$110,$T3412)/T$11+INDEX(TDU_Info!$F$5:$F$110,$T3412))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MATCH(1,(TDU_Info!$C$5:$C$110=$T$6)*(TDU_Info!$B$5:$B$110&lt;=$B3413),0)</f>
        <v>72</v>
      </c>
      <c r="U3413" s="152">
        <f>100*(INDEX(TDU_Info!$E$5:$E$110,$T3413)/T$11+INDEX(TDU_Info!$F$5:$F$110,$T3413))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MATCH(1,(TDU_Info!$C$5:$C$110=$T$6)*(TDU_Info!$B$5:$B$110&lt;=$B3414),0)</f>
        <v>72</v>
      </c>
      <c r="U3414" s="152">
        <f>100*(INDEX(TDU_Info!$E$5:$E$110,$T3414)/T$11+INDEX(TDU_Info!$F$5:$F$110,$T3414))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MATCH(1,(TDU_Info!$C$5:$C$110=$T$6)*(TDU_Info!$B$5:$B$110&lt;=$B3415),0)</f>
        <v>72</v>
      </c>
      <c r="U3415" s="152">
        <f>100*(INDEX(TDU_Info!$E$5:$E$110,$T3415)/T$11+INDEX(TDU_Info!$F$5:$F$110,$T3415))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MATCH(1,(TDU_Info!$C$5:$C$110=$T$6)*(TDU_Info!$B$5:$B$110&lt;=$B3416),0)</f>
        <v>72</v>
      </c>
      <c r="U3416" s="152">
        <f>100*(INDEX(TDU_Info!$E$5:$E$110,$T3416)/T$11+INDEX(TDU_Info!$F$5:$F$110,$T3416))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MATCH(1,(TDU_Info!$C$5:$C$110=$T$6)*(TDU_Info!$B$5:$B$110&lt;=$B3417),0)</f>
        <v>72</v>
      </c>
      <c r="U3417" s="152">
        <f>100*(INDEX(TDU_Info!$E$5:$E$110,$T3417)/T$11+INDEX(TDU_Info!$F$5:$F$110,$T3417))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MATCH(1,(TDU_Info!$C$5:$C$110=$T$6)*(TDU_Info!$B$5:$B$110&lt;=$B3418),0)</f>
        <v>72</v>
      </c>
      <c r="U3418" s="152">
        <f>100*(INDEX(TDU_Info!$E$5:$E$110,$T3418)/T$11+INDEX(TDU_Info!$F$5:$F$110,$T3418))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MATCH(1,(TDU_Info!$C$5:$C$110=$T$6)*(TDU_Info!$B$5:$B$110&lt;=$B3419),0)</f>
        <v>72</v>
      </c>
      <c r="U3419" s="152">
        <f>100*(INDEX(TDU_Info!$E$5:$E$110,$T3419)/T$11+INDEX(TDU_Info!$F$5:$F$110,$T3419))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MATCH(1,(TDU_Info!$C$5:$C$110=$T$6)*(TDU_Info!$B$5:$B$110&lt;=$B3420),0)</f>
        <v>72</v>
      </c>
      <c r="U3420" s="152">
        <f>100*(INDEX(TDU_Info!$E$5:$E$110,$T3420)/T$11+INDEX(TDU_Info!$F$5:$F$110,$T3420))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MATCH(1,(TDU_Info!$C$5:$C$110=$T$6)*(TDU_Info!$B$5:$B$110&lt;=$B3421),0)</f>
        <v>72</v>
      </c>
      <c r="U3421" s="152">
        <f>100*(INDEX(TDU_Info!$E$5:$E$110,$T3421)/T$11+INDEX(TDU_Info!$F$5:$F$110,$T3421))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MATCH(1,(TDU_Info!$C$5:$C$110=$T$6)*(TDU_Info!$B$5:$B$110&lt;=$B3422),0)</f>
        <v>72</v>
      </c>
      <c r="U3422" s="152">
        <f>100*(INDEX(TDU_Info!$E$5:$E$110,$T3422)/T$11+INDEX(TDU_Info!$F$5:$F$110,$T3422))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MATCH(1,(TDU_Info!$C$5:$C$110=$T$6)*(TDU_Info!$B$5:$B$110&lt;=$B3423),0)</f>
        <v>72</v>
      </c>
      <c r="U3423" s="152">
        <f>100*(INDEX(TDU_Info!$E$5:$E$110,$T3423)/T$11+INDEX(TDU_Info!$F$5:$F$110,$T3423))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MATCH(1,(TDU_Info!$C$5:$C$110=$T$6)*(TDU_Info!$B$5:$B$110&lt;=$B3424),0)</f>
        <v>72</v>
      </c>
      <c r="U3424" s="152">
        <f>100*(INDEX(TDU_Info!$E$5:$E$110,$T3424)/T$11+INDEX(TDU_Info!$F$5:$F$110,$T3424))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MATCH(1,(TDU_Info!$C$5:$C$110=$T$6)*(TDU_Info!$B$5:$B$110&lt;=$B3425),0)</f>
        <v>72</v>
      </c>
      <c r="U3425" s="152">
        <f>100*(INDEX(TDU_Info!$E$5:$E$110,$T3425)/T$11+INDEX(TDU_Info!$F$5:$F$110,$T3425))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MATCH(1,(TDU_Info!$C$5:$C$110=$T$6)*(TDU_Info!$B$5:$B$110&lt;=$B3426),0)</f>
        <v>72</v>
      </c>
      <c r="U3426" s="152">
        <f>100*(INDEX(TDU_Info!$E$5:$E$110,$T3426)/T$11+INDEX(TDU_Info!$F$5:$F$110,$T3426))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MATCH(1,(TDU_Info!$C$5:$C$110=$T$6)*(TDU_Info!$B$5:$B$110&lt;=$B3427),0)</f>
        <v>72</v>
      </c>
      <c r="U3427" s="152">
        <f>100*(INDEX(TDU_Info!$E$5:$E$110,$T3427)/T$11+INDEX(TDU_Info!$F$5:$F$110,$T3427))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MATCH(1,(TDU_Info!$C$5:$C$110=$T$6)*(TDU_Info!$B$5:$B$110&lt;=$B3428),0)</f>
        <v>72</v>
      </c>
      <c r="U3428" s="152">
        <f>100*(INDEX(TDU_Info!$E$5:$E$110,$T3428)/T$11+INDEX(TDU_Info!$F$5:$F$110,$T3428))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MATCH(1,(TDU_Info!$C$5:$C$110=$T$6)*(TDU_Info!$B$5:$B$110&lt;=$B3429),0)</f>
        <v>72</v>
      </c>
      <c r="U3429" s="152">
        <f>100*(INDEX(TDU_Info!$E$5:$E$110,$T3429)/T$11+INDEX(TDU_Info!$F$5:$F$110,$T3429))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MATCH(1,(TDU_Info!$C$5:$C$110=$T$6)*(TDU_Info!$B$5:$B$110&lt;=$B3430),0)</f>
        <v>72</v>
      </c>
      <c r="U3430" s="152">
        <f>100*(INDEX(TDU_Info!$E$5:$E$110,$T3430)/T$11+INDEX(TDU_Info!$F$5:$F$110,$T3430))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1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MATCH(1,(TDU_Info!$C$5:$C$110=$T$6)*(TDU_Info!$B$5:$B$110&lt;=$B3431),0)</f>
        <v>72</v>
      </c>
      <c r="U3431" s="152">
        <f>100*(INDEX(TDU_Info!$E$5:$E$110,$T3431)/T$11+INDEX(TDU_Info!$F$5:$F$110,$T3431))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MATCH(1,(TDU_Info!$C$5:$C$110=$T$6)*(TDU_Info!$B$5:$B$110&lt;=$B3432),0)</f>
        <v>72</v>
      </c>
      <c r="U3432" s="152">
        <f>100*(INDEX(TDU_Info!$E$5:$E$110,$T3432)/T$11+INDEX(TDU_Info!$F$5:$F$110,$T3432))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MATCH(1,(TDU_Info!$C$5:$C$110=$T$6)*(TDU_Info!$B$5:$B$110&lt;=$B3433),0)</f>
        <v>72</v>
      </c>
      <c r="U3433" s="152">
        <f>100*(INDEX(TDU_Info!$E$5:$E$110,$T3433)/T$11+INDEX(TDU_Info!$F$5:$F$110,$T3433))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MATCH(1,(TDU_Info!$C$5:$C$110=$T$6)*(TDU_Info!$B$5:$B$110&lt;=$B3434),0)</f>
        <v>72</v>
      </c>
      <c r="U3434" s="152">
        <f>100*(INDEX(TDU_Info!$E$5:$E$110,$T3434)/T$11+INDEX(TDU_Info!$F$5:$F$110,$T3434))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MATCH(1,(TDU_Info!$C$5:$C$110=$T$6)*(TDU_Info!$B$5:$B$110&lt;=$B3435),0)</f>
        <v>72</v>
      </c>
      <c r="U3435" s="152">
        <f>100*(INDEX(TDU_Info!$E$5:$E$110,$T3435)/T$11+INDEX(TDU_Info!$F$5:$F$110,$T3435))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MATCH(1,(TDU_Info!$C$5:$C$110=$T$6)*(TDU_Info!$B$5:$B$110&lt;=$B3436),0)</f>
        <v>72</v>
      </c>
      <c r="U3436" s="152">
        <f>100*(INDEX(TDU_Info!$E$5:$E$110,$T3436)/T$11+INDEX(TDU_Info!$F$5:$F$110,$T3436))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MATCH(1,(TDU_Info!$C$5:$C$110=$T$6)*(TDU_Info!$B$5:$B$110&lt;=$B3437),0)</f>
        <v>72</v>
      </c>
      <c r="U3437" s="152">
        <f>100*(INDEX(TDU_Info!$E$5:$E$110,$T3437)/T$11+INDEX(TDU_Info!$F$5:$F$110,$T3437))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MATCH(1,(TDU_Info!$C$5:$C$110=$T$6)*(TDU_Info!$B$5:$B$110&lt;=$B3438),0)</f>
        <v>72</v>
      </c>
      <c r="U3438" s="152">
        <f>100*(INDEX(TDU_Info!$E$5:$E$110,$T3438)/T$11+INDEX(TDU_Info!$F$5:$F$110,$T3438))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MATCH(1,(TDU_Info!$C$5:$C$110=$T$6)*(TDU_Info!$B$5:$B$110&lt;=$B3439),0)</f>
        <v>72</v>
      </c>
      <c r="U3439" s="152">
        <f>100*(INDEX(TDU_Info!$E$5:$E$110,$T3439)/T$11+INDEX(TDU_Info!$F$5:$F$110,$T3439))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MATCH(1,(TDU_Info!$C$5:$C$110=$T$6)*(TDU_Info!$B$5:$B$110&lt;=$B3440),0)</f>
        <v>72</v>
      </c>
      <c r="U3440" s="152">
        <f>100*(INDEX(TDU_Info!$E$5:$E$110,$T3440)/T$11+INDEX(TDU_Info!$F$5:$F$110,$T3440))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MATCH(1,(TDU_Info!$C$5:$C$110=$T$6)*(TDU_Info!$B$5:$B$110&lt;=$B3441),0)</f>
        <v>72</v>
      </c>
      <c r="U3441" s="152">
        <f>100*(INDEX(TDU_Info!$E$5:$E$110,$T3441)/T$11+INDEX(TDU_Info!$F$5:$F$110,$T3441))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MATCH(1,(TDU_Info!$C$5:$C$110=$T$6)*(TDU_Info!$B$5:$B$110&lt;=$B3442),0)</f>
        <v>72</v>
      </c>
      <c r="U3442" s="152">
        <f>100*(INDEX(TDU_Info!$E$5:$E$110,$T3442)/T$11+INDEX(TDU_Info!$F$5:$F$110,$T3442))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MATCH(1,(TDU_Info!$C$5:$C$110=$T$6)*(TDU_Info!$B$5:$B$110&lt;=$B3443),0)</f>
        <v>72</v>
      </c>
      <c r="U3443" s="152">
        <f>100*(INDEX(TDU_Info!$E$5:$E$110,$T3443)/T$11+INDEX(TDU_Info!$F$5:$F$110,$T3443))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MATCH(1,(TDU_Info!$C$5:$C$110=$T$6)*(TDU_Info!$B$5:$B$110&lt;=$B3444),0)</f>
        <v>72</v>
      </c>
      <c r="U3444" s="152">
        <f>100*(INDEX(TDU_Info!$E$5:$E$110,$T3444)/T$11+INDEX(TDU_Info!$F$5:$F$110,$T3444))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MATCH(1,(TDU_Info!$C$5:$C$110=$T$6)*(TDU_Info!$B$5:$B$110&lt;=$B3445),0)</f>
        <v>72</v>
      </c>
      <c r="U3445" s="152">
        <f>100*(INDEX(TDU_Info!$E$5:$E$110,$T3445)/T$11+INDEX(TDU_Info!$F$5:$F$110,$T3445))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MATCH(1,(TDU_Info!$C$5:$C$110=$T$6)*(TDU_Info!$B$5:$B$110&lt;=$B3446),0)</f>
        <v>72</v>
      </c>
      <c r="U3446" s="152">
        <f>100*(INDEX(TDU_Info!$E$5:$E$110,$T3446)/T$11+INDEX(TDU_Info!$F$5:$F$110,$T3446))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MATCH(1,(TDU_Info!$C$5:$C$110=$T$6)*(TDU_Info!$B$5:$B$110&lt;=$B3447),0)</f>
        <v>72</v>
      </c>
      <c r="U3447" s="152">
        <f>100*(INDEX(TDU_Info!$E$5:$E$110,$T3447)/T$11+INDEX(TDU_Info!$F$5:$F$110,$T3447))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MATCH(1,(TDU_Info!$C$5:$C$110=$T$6)*(TDU_Info!$B$5:$B$110&lt;=$B3448),0)</f>
        <v>72</v>
      </c>
      <c r="U3448" s="152">
        <f>100*(INDEX(TDU_Info!$E$5:$E$110,$T3448)/T$11+INDEX(TDU_Info!$F$5:$F$110,$T3448))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MATCH(1,(TDU_Info!$C$5:$C$110=$T$6)*(TDU_Info!$B$5:$B$110&lt;=$B3449),0)</f>
        <v>72</v>
      </c>
      <c r="U3449" s="152">
        <f>100*(INDEX(TDU_Info!$E$5:$E$110,$T3449)/T$11+INDEX(TDU_Info!$F$5:$F$110,$T3449))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MATCH(1,(TDU_Info!$C$5:$C$110=$T$6)*(TDU_Info!$B$5:$B$110&lt;=$B3450),0)</f>
        <v>72</v>
      </c>
      <c r="U3450" s="152">
        <f>100*(INDEX(TDU_Info!$E$5:$E$110,$T3450)/T$11+INDEX(TDU_Info!$F$5:$F$110,$T3450))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MATCH(1,(TDU_Info!$C$5:$C$110=$T$6)*(TDU_Info!$B$5:$B$110&lt;=$B3451),0)</f>
        <v>72</v>
      </c>
      <c r="U3451" s="152">
        <f>100*(INDEX(TDU_Info!$E$5:$E$110,$T3451)/T$11+INDEX(TDU_Info!$F$5:$F$110,$T3451))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MATCH(1,(TDU_Info!$C$5:$C$110=$T$6)*(TDU_Info!$B$5:$B$110&lt;=$B3452),0)</f>
        <v>72</v>
      </c>
      <c r="U3452" s="152">
        <f>100*(INDEX(TDU_Info!$E$5:$E$110,$T3452)/T$11+INDEX(TDU_Info!$F$5:$F$110,$T3452))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MATCH(1,(TDU_Info!$C$5:$C$110=$T$6)*(TDU_Info!$B$5:$B$110&lt;=$B3453),0)</f>
        <v>72</v>
      </c>
      <c r="U3453" s="152">
        <f>100*(INDEX(TDU_Info!$E$5:$E$110,$T3453)/T$11+INDEX(TDU_Info!$F$5:$F$110,$T3453))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MATCH(1,(TDU_Info!$C$5:$C$110=$T$6)*(TDU_Info!$B$5:$B$110&lt;=$B3454),0)</f>
        <v>72</v>
      </c>
      <c r="U3454" s="152">
        <f>100*(INDEX(TDU_Info!$E$5:$E$110,$T3454)/T$11+INDEX(TDU_Info!$F$5:$F$110,$T3454))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MATCH(1,(TDU_Info!$C$5:$C$110=$T$6)*(TDU_Info!$B$5:$B$110&lt;=$B3455),0)</f>
        <v>71</v>
      </c>
      <c r="U3455" s="152">
        <f>100*(INDEX(TDU_Info!$E$5:$E$110,$T3455)/T$11+INDEX(TDU_Info!$F$5:$F$110,$T3455))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MATCH(1,(TDU_Info!$C$5:$C$110=$T$6)*(TDU_Info!$B$5:$B$110&lt;=$B3456),0)</f>
        <v>71</v>
      </c>
      <c r="U3456" s="152">
        <f>100*(INDEX(TDU_Info!$E$5:$E$110,$T3456)/T$11+INDEX(TDU_Info!$F$5:$F$110,$T3456))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MATCH(1,(TDU_Info!$C$5:$C$110=$T$6)*(TDU_Info!$B$5:$B$110&lt;=$B3457),0)</f>
        <v>71</v>
      </c>
      <c r="U3457" s="152">
        <f>100*(INDEX(TDU_Info!$E$5:$E$110,$T3457)/T$11+INDEX(TDU_Info!$F$5:$F$110,$T3457))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MATCH(1,(TDU_Info!$C$5:$C$110=$T$6)*(TDU_Info!$B$5:$B$110&lt;=$B3458),0)</f>
        <v>71</v>
      </c>
      <c r="U3458" s="152">
        <f>100*(INDEX(TDU_Info!$E$5:$E$110,$T3458)/T$11+INDEX(TDU_Info!$F$5:$F$110,$T3458))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MATCH(1,(TDU_Info!$C$5:$C$110=$T$6)*(TDU_Info!$B$5:$B$110&lt;=$B3459),0)</f>
        <v>71</v>
      </c>
      <c r="U3459" s="152">
        <f>100*(INDEX(TDU_Info!$E$5:$E$110,$T3459)/T$11+INDEX(TDU_Info!$F$5:$F$110,$T3459))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MATCH(1,(TDU_Info!$C$5:$C$110=$T$6)*(TDU_Info!$B$5:$B$110&lt;=$B3460),0)</f>
        <v>71</v>
      </c>
      <c r="U3460" s="152">
        <f>100*(INDEX(TDU_Info!$E$5:$E$110,$T3460)/T$11+INDEX(TDU_Info!$F$5:$F$110,$T3460))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MATCH(1,(TDU_Info!$C$5:$C$110=$T$6)*(TDU_Info!$B$5:$B$110&lt;=$B3461),0)</f>
        <v>71</v>
      </c>
      <c r="U3461" s="152">
        <f>100*(INDEX(TDU_Info!$E$5:$E$110,$T3461)/T$11+INDEX(TDU_Info!$F$5:$F$110,$T3461))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MATCH(1,(TDU_Info!$C$5:$C$110=$T$6)*(TDU_Info!$B$5:$B$110&lt;=$B3462),0)</f>
        <v>71</v>
      </c>
      <c r="U3462" s="152">
        <f>100*(INDEX(TDU_Info!$E$5:$E$110,$T3462)/T$11+INDEX(TDU_Info!$F$5:$F$110,$T3462))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MATCH(1,(TDU_Info!$C$5:$C$110=$T$6)*(TDU_Info!$B$5:$B$110&lt;=$B3463),0)</f>
        <v>71</v>
      </c>
      <c r="U3463" s="152">
        <f>100*(INDEX(TDU_Info!$E$5:$E$110,$T3463)/T$11+INDEX(TDU_Info!$F$5:$F$110,$T3463))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MATCH(1,(TDU_Info!$C$5:$C$110=$T$6)*(TDU_Info!$B$5:$B$110&lt;=$B3464),0)</f>
        <v>71</v>
      </c>
      <c r="U3464" s="152">
        <f>100*(INDEX(TDU_Info!$E$5:$E$110,$T3464)/T$11+INDEX(TDU_Info!$F$5:$F$110,$T3464))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MATCH(1,(TDU_Info!$C$5:$C$110=$T$6)*(TDU_Info!$B$5:$B$110&lt;=$B3465),0)</f>
        <v>71</v>
      </c>
      <c r="U3465" s="152">
        <f>100*(INDEX(TDU_Info!$E$5:$E$110,$T3465)/T$11+INDEX(TDU_Info!$F$5:$F$110,$T3465))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MATCH(1,(TDU_Info!$C$5:$C$110=$T$6)*(TDU_Info!$B$5:$B$110&lt;=$B3466),0)</f>
        <v>71</v>
      </c>
      <c r="U3466" s="152">
        <f>100*(INDEX(TDU_Info!$E$5:$E$110,$T3466)/T$11+INDEX(TDU_Info!$F$5:$F$110,$T3466))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MATCH(1,(TDU_Info!$C$5:$C$110=$T$6)*(TDU_Info!$B$5:$B$110&lt;=$B3467),0)</f>
        <v>71</v>
      </c>
      <c r="U3467" s="152">
        <f>100*(INDEX(TDU_Info!$E$5:$E$110,$T3467)/T$11+INDEX(TDU_Info!$F$5:$F$110,$T3467))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1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MATCH(1,(TDU_Info!$C$5:$C$110=$T$6)*(TDU_Info!$B$5:$B$110&lt;=$B3468),0)</f>
        <v>71</v>
      </c>
      <c r="U3468" s="152">
        <f>100*(INDEX(TDU_Info!$E$5:$E$110,$T3468)/T$11+INDEX(TDU_Info!$F$5:$F$110,$T3468))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MATCH(1,(TDU_Info!$C$5:$C$110=$T$6)*(TDU_Info!$B$5:$B$110&lt;=$B3469),0)</f>
        <v>71</v>
      </c>
      <c r="U3469" s="152">
        <f>100*(INDEX(TDU_Info!$E$5:$E$110,$T3469)/T$11+INDEX(TDU_Info!$F$5:$F$110,$T3469))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MATCH(1,(TDU_Info!$C$5:$C$110=$T$6)*(TDU_Info!$B$5:$B$110&lt;=$B3470),0)</f>
        <v>71</v>
      </c>
      <c r="U3470" s="152">
        <f>100*(INDEX(TDU_Info!$E$5:$E$110,$T3470)/T$11+INDEX(TDU_Info!$F$5:$F$110,$T3470))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MATCH(1,(TDU_Info!$C$5:$C$110=$T$6)*(TDU_Info!$B$5:$B$110&lt;=$B3471),0)</f>
        <v>71</v>
      </c>
      <c r="U3471" s="152">
        <f>100*(INDEX(TDU_Info!$E$5:$E$110,$T3471)/T$11+INDEX(TDU_Info!$F$5:$F$110,$T3471))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MATCH(1,(TDU_Info!$C$5:$C$110=$T$6)*(TDU_Info!$B$5:$B$110&lt;=$B3472),0)</f>
        <v>71</v>
      </c>
      <c r="U3472" s="152">
        <f>100*(INDEX(TDU_Info!$E$5:$E$110,$T3472)/T$11+INDEX(TDU_Info!$F$5:$F$110,$T3472))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MATCH(1,(TDU_Info!$C$5:$C$110=$T$6)*(TDU_Info!$B$5:$B$110&lt;=$B3473),0)</f>
        <v>71</v>
      </c>
      <c r="U3473" s="152">
        <f>100*(INDEX(TDU_Info!$E$5:$E$110,$T3473)/T$11+INDEX(TDU_Info!$F$5:$F$110,$T3473))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MATCH(1,(TDU_Info!$C$5:$C$110=$T$6)*(TDU_Info!$B$5:$B$110&lt;=$B3474),0)</f>
        <v>71</v>
      </c>
      <c r="U3474" s="152">
        <f>100*(INDEX(TDU_Info!$E$5:$E$110,$T3474)/T$11+INDEX(TDU_Info!$F$5:$F$110,$T3474))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MATCH(1,(TDU_Info!$C$5:$C$110=$T$6)*(TDU_Info!$B$5:$B$110&lt;=$B3475),0)</f>
        <v>71</v>
      </c>
      <c r="U3475" s="152">
        <f>100*(INDEX(TDU_Info!$E$5:$E$110,$T3475)/T$11+INDEX(TDU_Info!$F$5:$F$110,$T3475))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MATCH(1,(TDU_Info!$C$5:$C$110=$T$6)*(TDU_Info!$B$5:$B$110&lt;=$B3476),0)</f>
        <v>71</v>
      </c>
      <c r="U3476" s="152">
        <f>100*(INDEX(TDU_Info!$E$5:$E$110,$T3476)/T$11+INDEX(TDU_Info!$F$5:$F$110,$T3476))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MATCH(1,(TDU_Info!$C$5:$C$110=$T$6)*(TDU_Info!$B$5:$B$110&lt;=$B3477),0)</f>
        <v>71</v>
      </c>
      <c r="U3477" s="152">
        <f>100*(INDEX(TDU_Info!$E$5:$E$110,$T3477)/T$11+INDEX(TDU_Info!$F$5:$F$110,$T3477))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MATCH(1,(TDU_Info!$C$5:$C$110=$T$6)*(TDU_Info!$B$5:$B$110&lt;=$B3478),0)</f>
        <v>71</v>
      </c>
      <c r="U3478" s="152">
        <f>100*(INDEX(TDU_Info!$E$5:$E$110,$T3478)/T$11+INDEX(TDU_Info!$F$5:$F$110,$T3478))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MATCH(1,(TDU_Info!$C$5:$C$110=$T$6)*(TDU_Info!$B$5:$B$110&lt;=$B3479),0)</f>
        <v>71</v>
      </c>
      <c r="U3479" s="152">
        <f>100*(INDEX(TDU_Info!$E$5:$E$110,$T3479)/T$11+INDEX(TDU_Info!$F$5:$F$110,$T3479))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MATCH(1,(TDU_Info!$C$5:$C$110=$T$6)*(TDU_Info!$B$5:$B$110&lt;=$B3480),0)</f>
        <v>71</v>
      </c>
      <c r="U3480" s="152">
        <f>100*(INDEX(TDU_Info!$E$5:$E$110,$T3480)/T$11+INDEX(TDU_Info!$F$5:$F$110,$T3480))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MATCH(1,(TDU_Info!$C$5:$C$110=$T$6)*(TDU_Info!$B$5:$B$110&lt;=$B3481),0)</f>
        <v>71</v>
      </c>
      <c r="U3481" s="152">
        <f>100*(INDEX(TDU_Info!$E$5:$E$110,$T3481)/T$11+INDEX(TDU_Info!$F$5:$F$110,$T3481))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MATCH(1,(TDU_Info!$C$5:$C$110=$T$6)*(TDU_Info!$B$5:$B$110&lt;=$B3482),0)</f>
        <v>71</v>
      </c>
      <c r="U3482" s="152">
        <f>100*(INDEX(TDU_Info!$E$5:$E$110,$T3482)/T$11+INDEX(TDU_Info!$F$5:$F$110,$T3482))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MATCH(1,(TDU_Info!$C$5:$C$110=$T$6)*(TDU_Info!$B$5:$B$110&lt;=$B3483),0)</f>
        <v>71</v>
      </c>
      <c r="U3483" s="152">
        <f>100*(INDEX(TDU_Info!$E$5:$E$110,$T3483)/T$11+INDEX(TDU_Info!$F$5:$F$110,$T3483))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MATCH(1,(TDU_Info!$C$5:$C$110=$T$6)*(TDU_Info!$B$5:$B$110&lt;=$B3484),0)</f>
        <v>71</v>
      </c>
      <c r="U3484" s="152">
        <f>100*(INDEX(TDU_Info!$E$5:$E$110,$T3484)/T$11+INDEX(TDU_Info!$F$5:$F$110,$T3484))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MATCH(1,(TDU_Info!$C$5:$C$110=$T$6)*(TDU_Info!$B$5:$B$110&lt;=$B3485),0)</f>
        <v>71</v>
      </c>
      <c r="U3485" s="152">
        <f>100*(INDEX(TDU_Info!$E$5:$E$110,$T3485)/T$11+INDEX(TDU_Info!$F$5:$F$110,$T3485))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MATCH(1,(TDU_Info!$C$5:$C$110=$T$6)*(TDU_Info!$B$5:$B$110&lt;=$B3486),0)</f>
        <v>71</v>
      </c>
      <c r="U3486" s="152">
        <f>100*(INDEX(TDU_Info!$E$5:$E$110,$T3486)/T$11+INDEX(TDU_Info!$F$5:$F$110,$T3486))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MATCH(1,(TDU_Info!$C$5:$C$110=$T$6)*(TDU_Info!$B$5:$B$110&lt;=$B3487),0)</f>
        <v>71</v>
      </c>
      <c r="U3487" s="152">
        <f>100*(INDEX(TDU_Info!$E$5:$E$110,$T3487)/T$11+INDEX(TDU_Info!$F$5:$F$110,$T3487))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MATCH(1,(TDU_Info!$C$5:$C$110=$T$6)*(TDU_Info!$B$5:$B$110&lt;=$B3488),0)</f>
        <v>71</v>
      </c>
      <c r="U3488" s="152">
        <f>100*(INDEX(TDU_Info!$E$5:$E$110,$T3488)/T$11+INDEX(TDU_Info!$F$5:$F$110,$T3488))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MATCH(1,(TDU_Info!$C$5:$C$110=$T$6)*(TDU_Info!$B$5:$B$110&lt;=$B3489),0)</f>
        <v>71</v>
      </c>
      <c r="U3489" s="152">
        <f>100*(INDEX(TDU_Info!$E$5:$E$110,$T3489)/T$11+INDEX(TDU_Info!$F$5:$F$110,$T3489))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MATCH(1,(TDU_Info!$C$5:$C$110=$T$6)*(TDU_Info!$B$5:$B$110&lt;=$B3490),0)</f>
        <v>71</v>
      </c>
      <c r="U3490" s="152">
        <f>100*(INDEX(TDU_Info!$E$5:$E$110,$T3490)/T$11+INDEX(TDU_Info!$F$5:$F$110,$T3490))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MATCH(1,(TDU_Info!$C$5:$C$110=$T$6)*(TDU_Info!$B$5:$B$110&lt;=$B3491),0)</f>
        <v>71</v>
      </c>
      <c r="U3491" s="152">
        <f>100*(INDEX(TDU_Info!$E$5:$E$110,$T3491)/T$11+INDEX(TDU_Info!$F$5:$F$110,$T3491))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MATCH(1,(TDU_Info!$C$5:$C$110=$T$6)*(TDU_Info!$B$5:$B$110&lt;=$B3492),0)</f>
        <v>71</v>
      </c>
      <c r="U3492" s="152">
        <f>100*(INDEX(TDU_Info!$E$5:$E$110,$T3492)/T$11+INDEX(TDU_Info!$F$5:$F$110,$T3492))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MATCH(1,(TDU_Info!$C$5:$C$110=$T$6)*(TDU_Info!$B$5:$B$110&lt;=$B3493),0)</f>
        <v>71</v>
      </c>
      <c r="U3493" s="152">
        <f>100*(INDEX(TDU_Info!$E$5:$E$110,$T3493)/T$11+INDEX(TDU_Info!$F$5:$F$110,$T3493))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MATCH(1,(TDU_Info!$C$5:$C$110=$T$6)*(TDU_Info!$B$5:$B$110&lt;=$B3494),0)</f>
        <v>71</v>
      </c>
      <c r="U3494" s="152">
        <f>100*(INDEX(TDU_Info!$E$5:$E$110,$T3494)/T$11+INDEX(TDU_Info!$F$5:$F$110,$T3494))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MATCH(1,(TDU_Info!$C$5:$C$110=$T$6)*(TDU_Info!$B$5:$B$110&lt;=$B3495),0)</f>
        <v>71</v>
      </c>
      <c r="U3495" s="152">
        <f>100*(INDEX(TDU_Info!$E$5:$E$110,$T3495)/T$11+INDEX(TDU_Info!$F$5:$F$110,$T3495))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MATCH(1,(TDU_Info!$C$5:$C$110=$T$6)*(TDU_Info!$B$5:$B$110&lt;=$B3496),0)</f>
        <v>71</v>
      </c>
      <c r="U3496" s="152">
        <f>100*(INDEX(TDU_Info!$E$5:$E$110,$T3496)/T$11+INDEX(TDU_Info!$F$5:$F$110,$T3496))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MATCH(1,(TDU_Info!$C$5:$C$110=$T$6)*(TDU_Info!$B$5:$B$110&lt;=$B3497),0)</f>
        <v>71</v>
      </c>
      <c r="U3497" s="152">
        <f>100*(INDEX(TDU_Info!$E$5:$E$110,$T3497)/T$11+INDEX(TDU_Info!$F$5:$F$110,$T3497))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MATCH(1,(TDU_Info!$C$5:$C$110=$T$6)*(TDU_Info!$B$5:$B$110&lt;=$B3498),0)</f>
        <v>71</v>
      </c>
      <c r="U3498" s="152">
        <f>100*(INDEX(TDU_Info!$E$5:$E$110,$T3498)/T$11+INDEX(TDU_Info!$F$5:$F$110,$T3498))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MATCH(1,(TDU_Info!$C$5:$C$110=$T$6)*(TDU_Info!$B$5:$B$110&lt;=$B3499),0)</f>
        <v>71</v>
      </c>
      <c r="U3499" s="152">
        <f>100*(INDEX(TDU_Info!$E$5:$E$110,$T3499)/T$11+INDEX(TDU_Info!$F$5:$F$110,$T3499))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MATCH(1,(TDU_Info!$C$5:$C$110=$T$6)*(TDU_Info!$B$5:$B$110&lt;=$B3500),0)</f>
        <v>71</v>
      </c>
      <c r="U3500" s="152">
        <f>100*(INDEX(TDU_Info!$E$5:$E$110,$T3500)/T$11+INDEX(TDU_Info!$F$5:$F$110,$T3500))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MATCH(1,(TDU_Info!$C$5:$C$110=$T$6)*(TDU_Info!$B$5:$B$110&lt;=$B3501),0)</f>
        <v>71</v>
      </c>
      <c r="U3501" s="152">
        <f>100*(INDEX(TDU_Info!$E$5:$E$110,$T3501)/T$11+INDEX(TDU_Info!$F$5:$F$110,$T3501))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MATCH(1,(TDU_Info!$C$5:$C$110=$T$6)*(TDU_Info!$B$5:$B$110&lt;=$B3502),0)</f>
        <v>71</v>
      </c>
      <c r="U3502" s="152">
        <f>100*(INDEX(TDU_Info!$E$5:$E$110,$T3502)/T$11+INDEX(TDU_Info!$F$5:$F$110,$T3502))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MATCH(1,(TDU_Info!$C$5:$C$110=$T$6)*(TDU_Info!$B$5:$B$110&lt;=$B3503),0)</f>
        <v>71</v>
      </c>
      <c r="U3503" s="152">
        <f>100*(INDEX(TDU_Info!$E$5:$E$110,$T3503)/T$11+INDEX(TDU_Info!$F$5:$F$110,$T3503))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MATCH(1,(TDU_Info!$C$5:$C$110=$T$6)*(TDU_Info!$B$5:$B$110&lt;=$B3504),0)</f>
        <v>71</v>
      </c>
      <c r="U3504" s="152">
        <f>100*(INDEX(TDU_Info!$E$5:$E$110,$T3504)/T$11+INDEX(TDU_Info!$F$5:$F$110,$T3504))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1: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MATCH(1,(TDU_Info!$C$5:$C$110=$T$6)*(TDU_Info!$B$5:$B$110&lt;=$B3505),0)</f>
        <v>71</v>
      </c>
      <c r="U3505" s="152">
        <f>100*(INDEX(TDU_Info!$E$5:$E$110,$T3505)/T$11+INDEX(TDU_Info!$F$5:$F$110,$T3505))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1: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MATCH(1,(TDU_Info!$C$5:$C$110=$T$6)*(TDU_Info!$B$5:$B$110&lt;=$B3506),0)</f>
        <v>71</v>
      </c>
      <c r="U3506" s="152">
        <f>100*(INDEX(TDU_Info!$E$5:$E$110,$T3506)/T$11+INDEX(TDU_Info!$F$5:$F$110,$T3506))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1: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MATCH(1,(TDU_Info!$C$5:$C$110=$T$6)*(TDU_Info!$B$5:$B$110&lt;=$B3507),0)</f>
        <v>71</v>
      </c>
      <c r="U3507" s="152">
        <f>100*(INDEX(TDU_Info!$E$5:$E$110,$T3507)/T$11+INDEX(TDU_Info!$F$5:$F$110,$T3507))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1: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MATCH(1,(TDU_Info!$C$5:$C$110=$T$6)*(TDU_Info!$B$5:$B$110&lt;=$B3508),0)</f>
        <v>71</v>
      </c>
      <c r="U3508" s="152">
        <f>100*(INDEX(TDU_Info!$E$5:$E$110,$T3508)/T$11+INDEX(TDU_Info!$F$5:$F$110,$T3508))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1: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MATCH(1,(TDU_Info!$C$5:$C$110=$T$6)*(TDU_Info!$B$5:$B$110&lt;=$B3509),0)</f>
        <v>71</v>
      </c>
      <c r="U3509" s="152">
        <f>100*(INDEX(TDU_Info!$E$5:$E$110,$T3509)/T$11+INDEX(TDU_Info!$F$5:$F$110,$T3509))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1: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MATCH(1,(TDU_Info!$C$5:$C$110=$T$6)*(TDU_Info!$B$5:$B$110&lt;=$B3510),0)</f>
        <v>71</v>
      </c>
      <c r="U3510" s="152">
        <f>100*(INDEX(TDU_Info!$E$5:$E$110,$T3510)/T$11+INDEX(TDU_Info!$F$5:$F$110,$T3510))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1: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MATCH(1,(TDU_Info!$C$5:$C$110=$T$6)*(TDU_Info!$B$5:$B$110&lt;=$B3511),0)</f>
        <v>71</v>
      </c>
      <c r="U3511" s="152">
        <f>100*(INDEX(TDU_Info!$E$5:$E$110,$T3511)/T$11+INDEX(TDU_Info!$F$5:$F$110,$T3511))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1: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MATCH(1,(TDU_Info!$C$5:$C$110=$T$6)*(TDU_Info!$B$5:$B$110&lt;=$B3512),0)</f>
        <v>71</v>
      </c>
      <c r="U3512" s="152">
        <f>100*(INDEX(TDU_Info!$E$5:$E$110,$T3512)/T$11+INDEX(TDU_Info!$F$5:$F$110,$T3512))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1: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MATCH(1,(TDU_Info!$C$5:$C$110=$T$6)*(TDU_Info!$B$5:$B$110&lt;=$B3513),0)</f>
        <v>71</v>
      </c>
      <c r="U3513" s="152">
        <f>100*(INDEX(TDU_Info!$E$5:$E$110,$T3513)/T$11+INDEX(TDU_Info!$F$5:$F$110,$T3513))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1: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MATCH(1,(TDU_Info!$C$5:$C$110=$T$6)*(TDU_Info!$B$5:$B$110&lt;=$B3514),0)</f>
        <v>71</v>
      </c>
      <c r="U3514" s="152">
        <f>100*(INDEX(TDU_Info!$E$5:$E$110,$T3514)/T$11+INDEX(TDU_Info!$F$5:$F$110,$T3514))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1: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MATCH(1,(TDU_Info!$C$5:$C$110=$T$6)*(TDU_Info!$B$5:$B$110&lt;=$B3515),0)</f>
        <v>71</v>
      </c>
      <c r="U3515" s="152">
        <f>100*(INDEX(TDU_Info!$E$5:$E$110,$T3515)/T$11+INDEX(TDU_Info!$F$5:$F$110,$T3515))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1: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MATCH(1,(TDU_Info!$C$5:$C$110=$T$6)*(TDU_Info!$B$5:$B$110&lt;=$B3516),0)</f>
        <v>70</v>
      </c>
      <c r="U3516" s="152">
        <f>100*(INDEX(TDU_Info!$E$5:$E$110,$T3516)/T$11+INDEX(TDU_Info!$F$5:$F$110,$T3516))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1:53" x14ac:dyDescent="0.25">
      <c r="B3517" s="198">
        <f t="shared" si="596"/>
        <v>46236.999305555553</v>
      </c>
      <c r="C3517" s="198">
        <f t="shared" si="280"/>
        <v>46236.999305555553</v>
      </c>
      <c r="D3517" s="152">
        <f t="shared" si="273"/>
        <v>4.92</v>
      </c>
      <c r="E3517" s="152">
        <f t="shared" ref="E3517:E3534" si="600">IF($C3517-$C$3517&lt;(D$6*30+15),D$3517,NA())</f>
        <v>4.92</v>
      </c>
      <c r="F3517" s="152"/>
      <c r="G3517" s="152"/>
      <c r="H3517" s="152" t="e">
        <f t="shared" si="274"/>
        <v>#N/A</v>
      </c>
      <c r="I3517" s="152" t="e">
        <f t="shared" ref="I3517:I3534" si="601">IF($C3517-$C$3517&lt;(H$6*30+15),H$3517,NA())</f>
        <v>#N/A</v>
      </c>
      <c r="J3517" s="152" t="e">
        <f t="shared" si="275"/>
        <v>#N/A</v>
      </c>
      <c r="K3517" s="152" t="e">
        <f t="shared" ref="K3517:K3534" si="602">IF($C3517-$C$3517&lt;(J$6*30+15),J$3517,NA())</f>
        <v>#N/A</v>
      </c>
      <c r="L3517" s="152" t="e">
        <f>IF($L$13,0,NA())</f>
        <v>#N/A</v>
      </c>
      <c r="M3517" s="152"/>
      <c r="N3517" s="152" t="e">
        <f>N$13</f>
        <v>#N/A</v>
      </c>
      <c r="O3517" s="152"/>
      <c r="P3517" s="152"/>
      <c r="Q3517" s="152" t="e">
        <f>Q$13</f>
        <v>#N/A</v>
      </c>
      <c r="R3517" s="152"/>
      <c r="S3517" s="152" t="e">
        <f>$Q$13</f>
        <v>#N/A</v>
      </c>
      <c r="T3517" s="153" cm="1">
        <f t="array" ref="T3517">MATCH(1,(TDU_Info!$C$5:$C$110=$T$6)*(TDU_Info!$B$5:$B$110&lt;=$B3517),0)</f>
        <v>70</v>
      </c>
      <c r="U3517" s="152">
        <f>100*(INDEX(TDU_Info!$E$5:$E$110,$T3517)/T$11+INDEX(TDU_Info!$F$5:$F$110,$T3517))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276"/>
        <v>#N/A</v>
      </c>
      <c r="AM3517" s="152" t="e">
        <f t="shared" si="277"/>
        <v>#N/A</v>
      </c>
      <c r="AN3517" s="152" t="e">
        <f>NA()</f>
        <v>#N/A</v>
      </c>
      <c r="AO3517" s="152" t="e">
        <f>NA()</f>
        <v>#N/A</v>
      </c>
      <c r="AP3517" s="152">
        <f t="shared" si="391"/>
        <v>6.0474999999999994</v>
      </c>
      <c r="AQ3517" s="152"/>
      <c r="AR3517" s="152">
        <f>IF($T$5,12,7)</f>
        <v>7</v>
      </c>
      <c r="AS3517" s="153">
        <f t="shared" si="278"/>
        <v>214</v>
      </c>
      <c r="AT3517" s="153">
        <f t="shared" si="270"/>
        <v>0</v>
      </c>
      <c r="AU3517" s="153">
        <f t="shared" si="271"/>
        <v>0</v>
      </c>
      <c r="AV3517" s="153">
        <f t="shared" si="272"/>
        <v>1</v>
      </c>
      <c r="BA3517">
        <f t="shared" si="279"/>
        <v>2</v>
      </c>
    </row>
    <row r="3518" spans="1:53" x14ac:dyDescent="0.25">
      <c r="B3518" s="230">
        <f>B3517</f>
        <v>46236.999305555553</v>
      </c>
      <c r="C3518" s="230">
        <f t="shared" si="280"/>
        <v>46236.999305555553</v>
      </c>
      <c r="D3518" s="152"/>
      <c r="E3518" s="152">
        <f t="shared" si="600"/>
        <v>4.92</v>
      </c>
      <c r="F3518" s="152"/>
      <c r="G3518" s="152"/>
      <c r="H3518" s="152"/>
      <c r="I3518" s="152" t="e">
        <f t="shared" si="601"/>
        <v>#N/A</v>
      </c>
      <c r="J3518" s="152"/>
      <c r="K3518" s="152" t="e">
        <f t="shared" si="602"/>
        <v>#N/A</v>
      </c>
      <c r="L3518" s="152" t="e">
        <f>IF(L$13,1,NA())</f>
        <v>#N/A</v>
      </c>
      <c r="M3518" s="152"/>
      <c r="N3518" s="152"/>
      <c r="O3518" s="152"/>
      <c r="P3518" s="152"/>
      <c r="Q3518" s="152"/>
      <c r="R3518" s="152"/>
      <c r="S3518" s="152"/>
      <c r="T3518" s="153"/>
      <c r="U3518" s="152"/>
      <c r="V3518" s="152"/>
      <c r="W3518" s="152"/>
      <c r="X3518" s="152"/>
      <c r="Y3518" s="152"/>
      <c r="Z3518" s="152"/>
      <c r="AA3518" s="152"/>
      <c r="AB3518" s="152"/>
      <c r="AC3518" s="152"/>
      <c r="AD3518" s="152"/>
      <c r="AE3518" s="152"/>
      <c r="AF3518" s="152"/>
      <c r="AG3518" s="152"/>
      <c r="AH3518" s="152"/>
      <c r="AI3518" s="152"/>
      <c r="AJ3518" s="152"/>
      <c r="AK3518" s="152"/>
      <c r="AL3518" s="152"/>
      <c r="AM3518" s="152"/>
      <c r="AN3518" s="152"/>
      <c r="AO3518" s="152"/>
      <c r="AP3518" s="152"/>
      <c r="AQ3518" s="152"/>
      <c r="AR3518" s="152"/>
      <c r="AS3518" s="153"/>
      <c r="AT3518" s="153"/>
      <c r="AU3518" s="153"/>
      <c r="AV3518" s="153"/>
    </row>
    <row r="3519" spans="1:53" x14ac:dyDescent="0.25">
      <c r="A3519">
        <v>1</v>
      </c>
      <c r="B3519" s="155">
        <f t="shared" ref="B3519:B3531" si="603">EOMONTH(Rel_Date+Buffer_Days,A3519-2)+15</f>
        <v>46280</v>
      </c>
      <c r="C3519" s="155" t="e">
        <f t="shared" si="280"/>
        <v>#N/A</v>
      </c>
      <c r="D3519" s="152"/>
      <c r="E3519" s="152" t="e">
        <f t="shared" si="600"/>
        <v>#N/A</v>
      </c>
      <c r="F3519" s="152"/>
      <c r="G3519" s="152"/>
      <c r="H3519" s="152"/>
      <c r="I3519" s="152" t="e">
        <f t="shared" si="601"/>
        <v>#N/A</v>
      </c>
      <c r="J3519" s="152"/>
      <c r="K3519" s="152" t="e">
        <f t="shared" si="602"/>
        <v>#N/A</v>
      </c>
      <c r="L3519" s="152"/>
      <c r="M3519" s="152" t="e" cm="1">
        <f t="array" ref="M3519">IF(Show_Plan,IF(INDEX(Within_Plan,MONTH($C3519)),INDEX(IF($T$5,Rate_Nom,Energy_Nom),MONTH($C3519)),NA()),NA())</f>
        <v>#N/A</v>
      </c>
      <c r="N3519" s="152" t="e">
        <f>IF($A3519&lt;=N$12,N$13,NA())</f>
        <v>#N/A</v>
      </c>
      <c r="O3519" s="152" t="e">
        <f>IF($A3519=N$12,N$13,NA())</f>
        <v>#N/A</v>
      </c>
      <c r="P3519" s="152" t="e" cm="1">
        <f t="array" ref="P3519">IF(Show_Plan,IF(INDEX(Within_Max,MONTH($C3519)),INDEX(IF($T$5,Rate_Nom,Energy_Nom),MONTH($C3519)),NA()),NA())</f>
        <v>#N/A</v>
      </c>
      <c r="Q3519" s="152" t="e">
        <f>IF($A3519&lt;=Q$12,Q$13,NA())</f>
        <v>#N/A</v>
      </c>
      <c r="R3519" s="152" t="e">
        <f>IF($A3519=Q$12,Q$13,NA())</f>
        <v>#N/A</v>
      </c>
      <c r="T3519" s="153" cm="1">
        <f t="array" ref="T3519">MATCH(1,(TDU_Info!$C$5:$C$110=$T$6)*(TDU_Info!$B$5:$B$110&lt;=$B3519),0)</f>
        <v>70</v>
      </c>
      <c r="U3519" s="152">
        <f>100*(INDEX(TDU_Info!$E$5:$E$110,$T3519)/T$11+INDEX(TDU_Info!$F$5:$F$110,$T3519))</f>
        <v>6.2324999999999999</v>
      </c>
      <c r="V3519" s="152"/>
      <c r="W3519" s="152"/>
      <c r="X3519" s="152"/>
      <c r="Y3519" s="152"/>
      <c r="Z3519" s="152"/>
      <c r="AA3519" s="152"/>
      <c r="AB3519" s="152"/>
      <c r="AC3519" s="152"/>
      <c r="AD3519" s="152"/>
      <c r="AE3519" s="152"/>
      <c r="AF3519" s="152"/>
      <c r="AG3519" s="152"/>
      <c r="AH3519" s="152"/>
      <c r="AI3519" s="152"/>
      <c r="AJ3519" s="152"/>
      <c r="AK3519" s="152"/>
      <c r="AL3519" s="152"/>
      <c r="AM3519" s="152"/>
      <c r="AN3519" s="152"/>
      <c r="AO3519" s="152"/>
      <c r="AP3519" s="152"/>
      <c r="AQ3519" s="152" t="e" cm="1">
        <f t="array" ref="AQ3519">INDEX(Projd_Retail,MONTH($C3519))*100+$T$5*$U3519</f>
        <v>#N/A</v>
      </c>
      <c r="AR3519" s="152"/>
      <c r="AS3519" s="153"/>
      <c r="AT3519" s="153"/>
      <c r="AU3519" s="153"/>
      <c r="AV3519" s="153"/>
    </row>
    <row r="3520" spans="1:53" x14ac:dyDescent="0.25">
      <c r="A3520">
        <v>2</v>
      </c>
      <c r="B3520" s="155">
        <f t="shared" si="603"/>
        <v>46310</v>
      </c>
      <c r="C3520" s="155" t="e">
        <f t="shared" si="280"/>
        <v>#N/A</v>
      </c>
      <c r="D3520" s="152"/>
      <c r="E3520" s="152" t="e">
        <f t="shared" si="600"/>
        <v>#N/A</v>
      </c>
      <c r="F3520" s="152"/>
      <c r="G3520" s="152"/>
      <c r="H3520" s="152"/>
      <c r="I3520" s="152" t="e">
        <f t="shared" si="601"/>
        <v>#N/A</v>
      </c>
      <c r="J3520" s="152"/>
      <c r="K3520" s="152" t="e">
        <f t="shared" si="602"/>
        <v>#N/A</v>
      </c>
      <c r="L3520" s="152"/>
      <c r="M3520" s="152" t="e" cm="1">
        <f t="array" ref="M3520">IF(Show_Plan,IF(INDEX(Within_Plan,MONTH($C3520)),INDEX(IF($T$5,Rate_Nom,Energy_Nom),MONTH($C3520)),NA()),NA())</f>
        <v>#N/A</v>
      </c>
      <c r="N3520" s="152" t="e">
        <f t="shared" ref="N3520:N3530" si="604">IF($A3520&lt;=N$12,N$13,NA())</f>
        <v>#N/A</v>
      </c>
      <c r="O3520" s="152" t="e">
        <f t="shared" ref="O3520:O3531" si="605">IF($A3520=N$12,N$13,NA())</f>
        <v>#N/A</v>
      </c>
      <c r="P3520" s="152" t="e" cm="1">
        <f t="array" ref="P3520">IF(Show_Plan,IF(INDEX(Within_Max,MONTH($C3520)),INDEX(IF($T$5,Rate_Nom,Energy_Nom),MONTH($C3520)),NA()),NA())</f>
        <v>#N/A</v>
      </c>
      <c r="Q3520" s="152" t="e">
        <f t="shared" ref="Q3520:Q3530" si="606">IF($A3520&lt;=Q$12,Q$13,NA())</f>
        <v>#N/A</v>
      </c>
      <c r="R3520" s="152" t="e">
        <f t="shared" ref="R3520:R3531" si="607">IF($A3520=Q$12,Q$13,NA())</f>
        <v>#N/A</v>
      </c>
      <c r="T3520" s="153" cm="1">
        <f t="array" ref="T3520">MATCH(1,(TDU_Info!$C$5:$C$110=$T$6)*(TDU_Info!$B$5:$B$110&lt;=$B3520),0)</f>
        <v>70</v>
      </c>
      <c r="U3520" s="152">
        <f>100*(INDEX(TDU_Info!$E$5:$E$110,$T3520)/T$11+INDEX(TDU_Info!$F$5:$F$110,$T3520))</f>
        <v>6.2324999999999999</v>
      </c>
      <c r="V3520" s="152"/>
      <c r="W3520" s="152"/>
      <c r="X3520" s="152"/>
      <c r="Y3520" s="152"/>
      <c r="Z3520" s="152"/>
      <c r="AA3520" s="152"/>
      <c r="AB3520" s="152"/>
      <c r="AC3520" s="152"/>
      <c r="AD3520" s="152"/>
      <c r="AE3520" s="152"/>
      <c r="AF3520" s="152"/>
      <c r="AG3520" s="152"/>
      <c r="AH3520" s="152"/>
      <c r="AI3520" s="152"/>
      <c r="AJ3520" s="152"/>
      <c r="AK3520" s="152"/>
      <c r="AL3520" s="152"/>
      <c r="AM3520" s="152"/>
      <c r="AN3520" s="152"/>
      <c r="AO3520" s="152"/>
      <c r="AP3520" s="152"/>
      <c r="AQ3520" s="152" t="e" cm="1">
        <f t="array" ref="AQ3520">INDEX(Projd_Retail,MONTH($C3520))*100+$T$5*$U3520</f>
        <v>#N/A</v>
      </c>
      <c r="AR3520" s="152"/>
      <c r="AS3520" s="153"/>
      <c r="AT3520" s="153"/>
      <c r="AU3520" s="153"/>
      <c r="AV3520" s="153"/>
    </row>
    <row r="3521" spans="1:48" x14ac:dyDescent="0.25">
      <c r="A3521">
        <v>3</v>
      </c>
      <c r="B3521" s="155">
        <f t="shared" si="603"/>
        <v>46341</v>
      </c>
      <c r="C3521" s="155" t="e">
        <f t="shared" si="280"/>
        <v>#N/A</v>
      </c>
      <c r="D3521" s="152"/>
      <c r="E3521" s="152" t="e">
        <f t="shared" si="600"/>
        <v>#N/A</v>
      </c>
      <c r="F3521" s="152"/>
      <c r="G3521" s="152"/>
      <c r="H3521" s="152"/>
      <c r="I3521" s="152" t="e">
        <f t="shared" si="601"/>
        <v>#N/A</v>
      </c>
      <c r="J3521" s="152"/>
      <c r="K3521" s="152" t="e">
        <f t="shared" si="602"/>
        <v>#N/A</v>
      </c>
      <c r="L3521" s="152"/>
      <c r="M3521" s="152" t="e" cm="1">
        <f t="array" ref="M3521">IF(Show_Plan,IF(INDEX(Within_Plan,MONTH($C3521)),INDEX(IF($T$5,Rate_Nom,Energy_Nom),MONTH($C3521)),NA()),NA())</f>
        <v>#N/A</v>
      </c>
      <c r="N3521" s="152" t="e">
        <f t="shared" si="604"/>
        <v>#N/A</v>
      </c>
      <c r="O3521" s="152" t="e">
        <f t="shared" si="605"/>
        <v>#N/A</v>
      </c>
      <c r="P3521" s="152" t="e" cm="1">
        <f t="array" ref="P3521">IF(Show_Plan,IF(INDEX(Within_Max,MONTH($C3521)),INDEX(IF($T$5,Rate_Nom,Energy_Nom),MONTH($C3521)),NA()),NA())</f>
        <v>#N/A</v>
      </c>
      <c r="Q3521" s="152" t="e">
        <f t="shared" si="606"/>
        <v>#N/A</v>
      </c>
      <c r="R3521" s="152" t="e">
        <f t="shared" si="607"/>
        <v>#N/A</v>
      </c>
      <c r="T3521" s="153" cm="1">
        <f t="array" ref="T3521">MATCH(1,(TDU_Info!$C$5:$C$110=$T$6)*(TDU_Info!$B$5:$B$110&lt;=$B3521),0)</f>
        <v>70</v>
      </c>
      <c r="U3521" s="152">
        <f>100*(INDEX(TDU_Info!$E$5:$E$110,$T3521)/T$11+INDEX(TDU_Info!$F$5:$F$110,$T3521))</f>
        <v>6.2324999999999999</v>
      </c>
      <c r="V3521" s="152"/>
      <c r="W3521" s="152"/>
      <c r="X3521" s="152"/>
      <c r="Y3521" s="152"/>
      <c r="Z3521" s="152"/>
      <c r="AA3521" s="152"/>
      <c r="AB3521" s="152"/>
      <c r="AC3521" s="152"/>
      <c r="AD3521" s="152"/>
      <c r="AE3521" s="152"/>
      <c r="AF3521" s="152"/>
      <c r="AG3521" s="152"/>
      <c r="AH3521" s="152"/>
      <c r="AI3521" s="152"/>
      <c r="AJ3521" s="152"/>
      <c r="AK3521" s="152"/>
      <c r="AL3521" s="152"/>
      <c r="AM3521" s="152"/>
      <c r="AN3521" s="152"/>
      <c r="AO3521" s="152"/>
      <c r="AP3521" s="152"/>
      <c r="AQ3521" s="152" t="e" cm="1">
        <f t="array" ref="AQ3521">INDEX(Projd_Retail,MONTH($C3521))*100+$T$5*$U3521</f>
        <v>#N/A</v>
      </c>
      <c r="AR3521" s="152"/>
      <c r="AS3521" s="153"/>
      <c r="AT3521" s="153"/>
      <c r="AU3521" s="153"/>
      <c r="AV3521" s="153"/>
    </row>
    <row r="3522" spans="1:48" x14ac:dyDescent="0.25">
      <c r="A3522">
        <v>4</v>
      </c>
      <c r="B3522" s="155">
        <f t="shared" si="603"/>
        <v>46371</v>
      </c>
      <c r="C3522" s="155" t="e">
        <f t="shared" si="280"/>
        <v>#N/A</v>
      </c>
      <c r="D3522" s="152"/>
      <c r="E3522" s="152" t="e">
        <f t="shared" si="600"/>
        <v>#N/A</v>
      </c>
      <c r="F3522" s="152"/>
      <c r="G3522" s="152"/>
      <c r="H3522" s="152"/>
      <c r="I3522" s="152" t="e">
        <f t="shared" si="601"/>
        <v>#N/A</v>
      </c>
      <c r="J3522" s="152"/>
      <c r="K3522" s="152" t="e">
        <f t="shared" si="602"/>
        <v>#N/A</v>
      </c>
      <c r="L3522" s="152"/>
      <c r="M3522" s="152" t="e" cm="1">
        <f t="array" ref="M3522">IF(Show_Plan,IF(INDEX(Within_Plan,MONTH($C3522)),INDEX(IF($T$5,Rate_Nom,Energy_Nom),MONTH($C3522)),NA()),NA())</f>
        <v>#N/A</v>
      </c>
      <c r="N3522" s="152" t="e">
        <f t="shared" si="604"/>
        <v>#N/A</v>
      </c>
      <c r="O3522" s="152" t="e">
        <f t="shared" si="605"/>
        <v>#N/A</v>
      </c>
      <c r="P3522" s="152" t="e" cm="1">
        <f t="array" ref="P3522">IF(Show_Plan,IF(INDEX(Within_Max,MONTH($C3522)),INDEX(IF($T$5,Rate_Nom,Energy_Nom),MONTH($C3522)),NA()),NA())</f>
        <v>#N/A</v>
      </c>
      <c r="Q3522" s="152" t="e">
        <f t="shared" si="606"/>
        <v>#N/A</v>
      </c>
      <c r="R3522" s="152" t="e">
        <f t="shared" si="607"/>
        <v>#N/A</v>
      </c>
      <c r="T3522" s="153" cm="1">
        <f t="array" ref="T3522">MATCH(1,(TDU_Info!$C$5:$C$110=$T$6)*(TDU_Info!$B$5:$B$110&lt;=$B3522),0)</f>
        <v>70</v>
      </c>
      <c r="U3522" s="152">
        <f>100*(INDEX(TDU_Info!$E$5:$E$110,$T3522)/T$11+INDEX(TDU_Info!$F$5:$F$110,$T3522))</f>
        <v>6.2324999999999999</v>
      </c>
      <c r="V3522" s="152"/>
      <c r="W3522" s="152"/>
      <c r="X3522" s="152"/>
      <c r="Y3522" s="152"/>
      <c r="Z3522" s="152"/>
      <c r="AA3522" s="152"/>
      <c r="AB3522" s="152"/>
      <c r="AC3522" s="152"/>
      <c r="AD3522" s="152"/>
      <c r="AE3522" s="152"/>
      <c r="AF3522" s="152"/>
      <c r="AG3522" s="152"/>
      <c r="AH3522" s="152"/>
      <c r="AI3522" s="152"/>
      <c r="AJ3522" s="152"/>
      <c r="AK3522" s="152"/>
      <c r="AL3522" s="152"/>
      <c r="AM3522" s="152"/>
      <c r="AN3522" s="152"/>
      <c r="AO3522" s="152"/>
      <c r="AP3522" s="152"/>
      <c r="AQ3522" s="152" t="e" cm="1">
        <f t="array" ref="AQ3522">INDEX(Projd_Retail,MONTH($C3522))*100+$T$5*$U3522</f>
        <v>#N/A</v>
      </c>
      <c r="AR3522" s="152"/>
      <c r="AS3522" s="153"/>
      <c r="AT3522" s="153"/>
      <c r="AU3522" s="153"/>
      <c r="AV3522" s="153">
        <v>0.9</v>
      </c>
    </row>
    <row r="3523" spans="1:48" x14ac:dyDescent="0.25">
      <c r="A3523">
        <v>5</v>
      </c>
      <c r="B3523" s="155">
        <f t="shared" si="603"/>
        <v>46402</v>
      </c>
      <c r="C3523" s="155" t="e">
        <f t="shared" si="280"/>
        <v>#N/A</v>
      </c>
      <c r="D3523" s="152"/>
      <c r="E3523" s="152" t="e">
        <f t="shared" si="600"/>
        <v>#N/A</v>
      </c>
      <c r="F3523" s="152"/>
      <c r="G3523" s="152"/>
      <c r="H3523" s="152"/>
      <c r="I3523" s="152" t="e">
        <f t="shared" si="601"/>
        <v>#N/A</v>
      </c>
      <c r="J3523" s="152"/>
      <c r="K3523" s="152" t="e">
        <f t="shared" si="602"/>
        <v>#N/A</v>
      </c>
      <c r="L3523" s="152"/>
      <c r="M3523" s="152" t="e" cm="1">
        <f t="array" ref="M3523">IF(Show_Plan,IF(INDEX(Within_Plan,MONTH($C3523)),INDEX(IF($T$5,Rate_Nom,Energy_Nom),MONTH($C3523)),NA()),NA())</f>
        <v>#N/A</v>
      </c>
      <c r="N3523" s="152" t="e">
        <f t="shared" si="604"/>
        <v>#N/A</v>
      </c>
      <c r="O3523" s="152" t="e">
        <f t="shared" si="605"/>
        <v>#N/A</v>
      </c>
      <c r="P3523" s="152" t="e" cm="1">
        <f t="array" ref="P3523">IF(Show_Plan,IF(INDEX(Within_Max,MONTH($C3523)),INDEX(IF($T$5,Rate_Nom,Energy_Nom),MONTH($C3523)),NA()),NA())</f>
        <v>#N/A</v>
      </c>
      <c r="Q3523" s="152" t="e">
        <f t="shared" si="606"/>
        <v>#N/A</v>
      </c>
      <c r="R3523" s="152" t="e">
        <f t="shared" si="607"/>
        <v>#N/A</v>
      </c>
      <c r="T3523" s="153" cm="1">
        <f t="array" ref="T3523">MATCH(1,(TDU_Info!$C$5:$C$110=$T$6)*(TDU_Info!$B$5:$B$110&lt;=$B3523),0)</f>
        <v>70</v>
      </c>
      <c r="U3523" s="152">
        <f>100*(INDEX(TDU_Info!$E$5:$E$110,$T3523)/T$11+INDEX(TDU_Info!$F$5:$F$110,$T3523))</f>
        <v>6.2324999999999999</v>
      </c>
      <c r="V3523" s="152"/>
      <c r="W3523" s="152"/>
      <c r="X3523" s="152"/>
      <c r="Y3523" s="152"/>
      <c r="Z3523" s="152"/>
      <c r="AA3523" s="152"/>
      <c r="AB3523" s="152"/>
      <c r="AC3523" s="152"/>
      <c r="AD3523" s="152"/>
      <c r="AE3523" s="152"/>
      <c r="AF3523" s="152"/>
      <c r="AG3523" s="152"/>
      <c r="AH3523" s="152"/>
      <c r="AI3523" s="152"/>
      <c r="AJ3523" s="152"/>
      <c r="AK3523" s="152"/>
      <c r="AL3523" s="152"/>
      <c r="AM3523" s="152"/>
      <c r="AN3523" s="152"/>
      <c r="AO3523" s="152"/>
      <c r="AP3523" s="152"/>
      <c r="AQ3523" s="152" t="e" cm="1">
        <f t="array" ref="AQ3523">INDEX(Projd_Retail,MONTH($C3523))*100+$T$5*$U3523</f>
        <v>#N/A</v>
      </c>
      <c r="AR3523" s="152"/>
      <c r="AS3523" s="153"/>
      <c r="AT3523" s="153"/>
      <c r="AU3523" s="153"/>
      <c r="AV3523" s="153"/>
    </row>
    <row r="3524" spans="1:48" x14ac:dyDescent="0.25">
      <c r="A3524">
        <v>6</v>
      </c>
      <c r="B3524" s="155">
        <f t="shared" si="603"/>
        <v>46433</v>
      </c>
      <c r="C3524" s="155" t="e">
        <f t="shared" si="280"/>
        <v>#N/A</v>
      </c>
      <c r="D3524" s="152"/>
      <c r="E3524" s="152" t="e">
        <f t="shared" si="600"/>
        <v>#N/A</v>
      </c>
      <c r="F3524" s="152"/>
      <c r="G3524" s="152"/>
      <c r="H3524" s="152"/>
      <c r="I3524" s="152" t="e">
        <f t="shared" si="601"/>
        <v>#N/A</v>
      </c>
      <c r="J3524" s="152"/>
      <c r="K3524" s="152" t="e">
        <f t="shared" si="602"/>
        <v>#N/A</v>
      </c>
      <c r="L3524" s="152"/>
      <c r="M3524" s="152" t="e" cm="1">
        <f t="array" ref="M3524">IF(Show_Plan,IF(INDEX(Within_Plan,MONTH($C3524)),INDEX(IF($T$5,Rate_Nom,Energy_Nom),MONTH($C3524)),NA()),NA())</f>
        <v>#N/A</v>
      </c>
      <c r="N3524" s="152" t="e">
        <f t="shared" si="604"/>
        <v>#N/A</v>
      </c>
      <c r="O3524" s="152" t="e">
        <f t="shared" si="605"/>
        <v>#N/A</v>
      </c>
      <c r="P3524" s="152" t="e" cm="1">
        <f t="array" ref="P3524">IF(Show_Plan,IF(INDEX(Within_Max,MONTH($C3524)),INDEX(IF($T$5,Rate_Nom,Energy_Nom),MONTH($C3524)),NA()),NA())</f>
        <v>#N/A</v>
      </c>
      <c r="Q3524" s="152" t="e">
        <f t="shared" si="606"/>
        <v>#N/A</v>
      </c>
      <c r="R3524" s="152" t="e">
        <f t="shared" si="607"/>
        <v>#N/A</v>
      </c>
      <c r="T3524" s="153" cm="1">
        <f t="array" ref="T3524">MATCH(1,(TDU_Info!$C$5:$C$110=$T$6)*(TDU_Info!$B$5:$B$110&lt;=$B3524),0)</f>
        <v>70</v>
      </c>
      <c r="U3524" s="152">
        <f>100*(INDEX(TDU_Info!$E$5:$E$110,$T3524)/T$11+INDEX(TDU_Info!$F$5:$F$110,$T3524))</f>
        <v>6.2324999999999999</v>
      </c>
      <c r="V3524" s="152"/>
      <c r="W3524" s="152"/>
      <c r="X3524" s="152"/>
      <c r="Y3524" s="152"/>
      <c r="Z3524" s="152"/>
      <c r="AA3524" s="152"/>
      <c r="AB3524" s="152"/>
      <c r="AC3524" s="152"/>
      <c r="AD3524" s="152"/>
      <c r="AE3524" s="152"/>
      <c r="AF3524" s="152"/>
      <c r="AG3524" s="152"/>
      <c r="AH3524" s="152"/>
      <c r="AI3524" s="152"/>
      <c r="AJ3524" s="152"/>
      <c r="AK3524" s="152"/>
      <c r="AL3524" s="152"/>
      <c r="AM3524" s="152"/>
      <c r="AN3524" s="152"/>
      <c r="AO3524" s="152"/>
      <c r="AP3524" s="152"/>
      <c r="AQ3524" s="152" t="e" cm="1">
        <f t="array" ref="AQ3524">INDEX(Projd_Retail,MONTH($C3524))*100+$T$5*$U3524</f>
        <v>#N/A</v>
      </c>
      <c r="AR3524" s="152"/>
      <c r="AS3524" s="153"/>
      <c r="AT3524" s="153"/>
      <c r="AU3524" s="153"/>
      <c r="AV3524" s="153"/>
    </row>
    <row r="3525" spans="1:48" x14ac:dyDescent="0.25">
      <c r="A3525">
        <v>7</v>
      </c>
      <c r="B3525" s="155">
        <f t="shared" si="603"/>
        <v>46461</v>
      </c>
      <c r="C3525" s="155" t="e">
        <f t="shared" si="280"/>
        <v>#N/A</v>
      </c>
      <c r="D3525" s="152"/>
      <c r="E3525" s="152" t="e">
        <f t="shared" si="600"/>
        <v>#N/A</v>
      </c>
      <c r="F3525" s="152"/>
      <c r="G3525" s="152"/>
      <c r="H3525" s="152"/>
      <c r="I3525" s="152" t="e">
        <f t="shared" si="601"/>
        <v>#N/A</v>
      </c>
      <c r="J3525" s="152"/>
      <c r="K3525" s="152" t="e">
        <f t="shared" si="602"/>
        <v>#N/A</v>
      </c>
      <c r="L3525" s="152"/>
      <c r="M3525" s="152" t="e" cm="1">
        <f t="array" ref="M3525">IF(Show_Plan,IF(INDEX(Within_Plan,MONTH($C3525)),INDEX(IF($T$5,Rate_Nom,Energy_Nom),MONTH($C3525)),NA()),NA())</f>
        <v>#N/A</v>
      </c>
      <c r="N3525" s="152" t="e">
        <f t="shared" si="604"/>
        <v>#N/A</v>
      </c>
      <c r="O3525" s="152" t="e">
        <f t="shared" si="605"/>
        <v>#N/A</v>
      </c>
      <c r="P3525" s="152" t="e" cm="1">
        <f t="array" ref="P3525">IF(Show_Plan,IF(INDEX(Within_Max,MONTH($C3525)),INDEX(IF($T$5,Rate_Nom,Energy_Nom),MONTH($C3525)),NA()),NA())</f>
        <v>#N/A</v>
      </c>
      <c r="Q3525" s="152" t="e">
        <f t="shared" si="606"/>
        <v>#N/A</v>
      </c>
      <c r="R3525" s="152" t="e">
        <f t="shared" si="607"/>
        <v>#N/A</v>
      </c>
      <c r="T3525" s="153" cm="1">
        <f t="array" ref="T3525">MATCH(1,(TDU_Info!$C$5:$C$110=$T$6)*(TDU_Info!$B$5:$B$110&lt;=$B3525),0)</f>
        <v>70</v>
      </c>
      <c r="U3525" s="152">
        <f>100*(INDEX(TDU_Info!$E$5:$E$110,$T3525)/T$11+INDEX(TDU_Info!$F$5:$F$110,$T3525))</f>
        <v>6.2324999999999999</v>
      </c>
      <c r="V3525" s="152"/>
      <c r="W3525" s="152"/>
      <c r="X3525" s="152"/>
      <c r="Y3525" s="152"/>
      <c r="Z3525" s="152"/>
      <c r="AA3525" s="152"/>
      <c r="AB3525" s="152"/>
      <c r="AC3525" s="152"/>
      <c r="AD3525" s="152"/>
      <c r="AE3525" s="152"/>
      <c r="AF3525" s="152"/>
      <c r="AG3525" s="152"/>
      <c r="AH3525" s="152"/>
      <c r="AI3525" s="152"/>
      <c r="AJ3525" s="152"/>
      <c r="AK3525" s="152"/>
      <c r="AL3525" s="152"/>
      <c r="AM3525" s="152"/>
      <c r="AN3525" s="152"/>
      <c r="AO3525" s="152"/>
      <c r="AP3525" s="152"/>
      <c r="AQ3525" s="152" t="e" cm="1">
        <f t="array" ref="AQ3525">INDEX(Projd_Retail,MONTH($C3525))*100+$T$5*$U3525</f>
        <v>#N/A</v>
      </c>
      <c r="AR3525" s="152"/>
      <c r="AS3525" s="153"/>
      <c r="AT3525" s="153"/>
      <c r="AU3525" s="153"/>
      <c r="AV3525" s="153"/>
    </row>
    <row r="3526" spans="1:48" x14ac:dyDescent="0.25">
      <c r="A3526">
        <v>8</v>
      </c>
      <c r="B3526" s="155">
        <f t="shared" si="603"/>
        <v>46492</v>
      </c>
      <c r="C3526" s="155" t="e">
        <f t="shared" si="280"/>
        <v>#N/A</v>
      </c>
      <c r="D3526" s="152"/>
      <c r="E3526" s="152" t="e">
        <f t="shared" si="600"/>
        <v>#N/A</v>
      </c>
      <c r="F3526" s="152"/>
      <c r="G3526" s="152"/>
      <c r="H3526" s="152"/>
      <c r="I3526" s="152" t="e">
        <f t="shared" si="601"/>
        <v>#N/A</v>
      </c>
      <c r="J3526" s="152"/>
      <c r="K3526" s="152" t="e">
        <f t="shared" si="602"/>
        <v>#N/A</v>
      </c>
      <c r="L3526" s="152"/>
      <c r="M3526" s="152" t="e" cm="1">
        <f t="array" ref="M3526">IF(Show_Plan,IF(INDEX(Within_Plan,MONTH($C3526)),INDEX(IF($T$5,Rate_Nom,Energy_Nom),MONTH($C3526)),NA()),NA())</f>
        <v>#N/A</v>
      </c>
      <c r="N3526" s="152" t="e">
        <f t="shared" si="604"/>
        <v>#N/A</v>
      </c>
      <c r="O3526" s="152" t="e">
        <f t="shared" si="605"/>
        <v>#N/A</v>
      </c>
      <c r="P3526" s="152" t="e" cm="1">
        <f t="array" ref="P3526">IF(Show_Plan,IF(INDEX(Within_Max,MONTH($C3526)),INDEX(IF($T$5,Rate_Nom,Energy_Nom),MONTH($C3526)),NA()),NA())</f>
        <v>#N/A</v>
      </c>
      <c r="Q3526" s="152" t="e">
        <f t="shared" si="606"/>
        <v>#N/A</v>
      </c>
      <c r="R3526" s="152" t="e">
        <f t="shared" si="607"/>
        <v>#N/A</v>
      </c>
      <c r="T3526" s="153" cm="1">
        <f t="array" ref="T3526">MATCH(1,(TDU_Info!$C$5:$C$110=$T$6)*(TDU_Info!$B$5:$B$110&lt;=$B3526),0)</f>
        <v>70</v>
      </c>
      <c r="U3526" s="152">
        <f>100*(INDEX(TDU_Info!$E$5:$E$110,$T3526)/T$11+INDEX(TDU_Info!$F$5:$F$110,$T3526))</f>
        <v>6.2324999999999999</v>
      </c>
      <c r="V3526" s="152"/>
      <c r="W3526" s="152"/>
      <c r="X3526" s="152"/>
      <c r="Y3526" s="152"/>
      <c r="Z3526" s="152"/>
      <c r="AA3526" s="152"/>
      <c r="AB3526" s="152"/>
      <c r="AC3526" s="152"/>
      <c r="AD3526" s="152"/>
      <c r="AE3526" s="152"/>
      <c r="AF3526" s="152"/>
      <c r="AG3526" s="152"/>
      <c r="AH3526" s="152"/>
      <c r="AI3526" s="152"/>
      <c r="AJ3526" s="152"/>
      <c r="AK3526" s="152"/>
      <c r="AL3526" s="152"/>
      <c r="AM3526" s="152"/>
      <c r="AN3526" s="152"/>
      <c r="AO3526" s="152"/>
      <c r="AP3526" s="152"/>
      <c r="AQ3526" s="152" t="e" cm="1">
        <f t="array" ref="AQ3526">INDEX(Projd_Retail,MONTH($C3526))*100+$T$5*$U3526</f>
        <v>#N/A</v>
      </c>
      <c r="AR3526" s="152"/>
      <c r="AS3526" s="153"/>
      <c r="AT3526" s="153"/>
      <c r="AU3526" s="153"/>
      <c r="AV3526" s="153"/>
    </row>
    <row r="3527" spans="1:48" x14ac:dyDescent="0.25">
      <c r="A3527">
        <v>9</v>
      </c>
      <c r="B3527" s="155">
        <f t="shared" si="603"/>
        <v>46522</v>
      </c>
      <c r="C3527" s="155" t="e">
        <f t="shared" si="280"/>
        <v>#N/A</v>
      </c>
      <c r="D3527" s="152"/>
      <c r="E3527" s="152" t="e">
        <f t="shared" si="600"/>
        <v>#N/A</v>
      </c>
      <c r="F3527" s="152"/>
      <c r="G3527" s="152"/>
      <c r="H3527" s="152"/>
      <c r="I3527" s="152" t="e">
        <f t="shared" si="601"/>
        <v>#N/A</v>
      </c>
      <c r="J3527" s="152"/>
      <c r="K3527" s="152" t="e">
        <f t="shared" si="602"/>
        <v>#N/A</v>
      </c>
      <c r="L3527" s="152"/>
      <c r="M3527" s="152" t="e" cm="1">
        <f t="array" ref="M3527">IF(Show_Plan,IF(INDEX(Within_Plan,MONTH($C3527)),INDEX(IF($T$5,Rate_Nom,Energy_Nom),MONTH($C3527)),NA()),NA())</f>
        <v>#N/A</v>
      </c>
      <c r="N3527" s="152" t="e">
        <f t="shared" si="604"/>
        <v>#N/A</v>
      </c>
      <c r="O3527" s="152" t="e">
        <f t="shared" si="605"/>
        <v>#N/A</v>
      </c>
      <c r="P3527" s="152" t="e" cm="1">
        <f t="array" ref="P3527">IF(Show_Plan,IF(INDEX(Within_Max,MONTH($C3527)),INDEX(IF($T$5,Rate_Nom,Energy_Nom),MONTH($C3527)),NA()),NA())</f>
        <v>#N/A</v>
      </c>
      <c r="Q3527" s="152" t="e">
        <f t="shared" si="606"/>
        <v>#N/A</v>
      </c>
      <c r="R3527" s="152" t="e">
        <f t="shared" si="607"/>
        <v>#N/A</v>
      </c>
      <c r="T3527" s="153" cm="1">
        <f t="array" ref="T3527">MATCH(1,(TDU_Info!$C$5:$C$110=$T$6)*(TDU_Info!$B$5:$B$110&lt;=$B3527),0)</f>
        <v>70</v>
      </c>
      <c r="U3527" s="152">
        <f>100*(INDEX(TDU_Info!$E$5:$E$110,$T3527)/T$11+INDEX(TDU_Info!$F$5:$F$110,$T3527))</f>
        <v>6.2324999999999999</v>
      </c>
      <c r="V3527" s="152"/>
      <c r="W3527" s="152"/>
      <c r="X3527" s="152"/>
      <c r="Y3527" s="152"/>
      <c r="Z3527" s="152"/>
      <c r="AA3527" s="152"/>
      <c r="AB3527" s="152"/>
      <c r="AC3527" s="152"/>
      <c r="AD3527" s="152"/>
      <c r="AE3527" s="152"/>
      <c r="AF3527" s="152"/>
      <c r="AG3527" s="152"/>
      <c r="AH3527" s="152"/>
      <c r="AI3527" s="152"/>
      <c r="AJ3527" s="152"/>
      <c r="AK3527" s="152"/>
      <c r="AL3527" s="152"/>
      <c r="AM3527" s="152"/>
      <c r="AN3527" s="152"/>
      <c r="AO3527" s="152"/>
      <c r="AP3527" s="152"/>
      <c r="AQ3527" s="152" t="e" cm="1">
        <f t="array" ref="AQ3527">INDEX(Projd_Retail,MONTH($C3527))*100+$T$5*$U3527</f>
        <v>#N/A</v>
      </c>
      <c r="AR3527" s="152"/>
      <c r="AS3527" s="153"/>
      <c r="AT3527" s="153"/>
      <c r="AU3527" s="153"/>
      <c r="AV3527" s="153"/>
    </row>
    <row r="3528" spans="1:48" x14ac:dyDescent="0.25">
      <c r="A3528">
        <v>10</v>
      </c>
      <c r="B3528" s="155">
        <f t="shared" si="603"/>
        <v>46553</v>
      </c>
      <c r="C3528" s="155" t="e">
        <f t="shared" si="280"/>
        <v>#N/A</v>
      </c>
      <c r="D3528" s="152"/>
      <c r="E3528" s="152" t="e">
        <f t="shared" si="600"/>
        <v>#N/A</v>
      </c>
      <c r="F3528" s="152"/>
      <c r="G3528" s="152"/>
      <c r="H3528" s="152"/>
      <c r="I3528" s="152" t="e">
        <f t="shared" si="601"/>
        <v>#N/A</v>
      </c>
      <c r="J3528" s="152"/>
      <c r="K3528" s="152" t="e">
        <f t="shared" si="602"/>
        <v>#N/A</v>
      </c>
      <c r="L3528" s="152"/>
      <c r="M3528" s="152" t="e" cm="1">
        <f t="array" ref="M3528">IF(Show_Plan,IF(INDEX(Within_Plan,MONTH($C3528)),INDEX(IF($T$5,Rate_Nom,Energy_Nom),MONTH($C3528)),NA()),NA())</f>
        <v>#N/A</v>
      </c>
      <c r="N3528" s="152" t="e">
        <f t="shared" si="604"/>
        <v>#N/A</v>
      </c>
      <c r="O3528" s="152" t="e">
        <f t="shared" si="605"/>
        <v>#N/A</v>
      </c>
      <c r="P3528" s="152" t="e" cm="1">
        <f t="array" ref="P3528">IF(Show_Plan,IF(INDEX(Within_Max,MONTH($C3528)),INDEX(IF($T$5,Rate_Nom,Energy_Nom),MONTH($C3528)),NA()),NA())</f>
        <v>#N/A</v>
      </c>
      <c r="Q3528" s="152" t="e">
        <f t="shared" si="606"/>
        <v>#N/A</v>
      </c>
      <c r="R3528" s="152" t="e">
        <f t="shared" si="607"/>
        <v>#N/A</v>
      </c>
      <c r="T3528" s="153" cm="1">
        <f t="array" ref="T3528">MATCH(1,(TDU_Info!$C$5:$C$110=$T$6)*(TDU_Info!$B$5:$B$110&lt;=$B3528),0)</f>
        <v>70</v>
      </c>
      <c r="U3528" s="152">
        <f>100*(INDEX(TDU_Info!$E$5:$E$110,$T3528)/T$11+INDEX(TDU_Info!$F$5:$F$110,$T3528))</f>
        <v>6.2324999999999999</v>
      </c>
      <c r="V3528" s="152"/>
      <c r="W3528" s="152"/>
      <c r="X3528" s="152"/>
      <c r="Y3528" s="152"/>
      <c r="Z3528" s="152"/>
      <c r="AA3528" s="152"/>
      <c r="AB3528" s="152"/>
      <c r="AC3528" s="152"/>
      <c r="AD3528" s="152"/>
      <c r="AE3528" s="152"/>
      <c r="AF3528" s="152"/>
      <c r="AG3528" s="152"/>
      <c r="AH3528" s="152"/>
      <c r="AI3528" s="152"/>
      <c r="AJ3528" s="152"/>
      <c r="AK3528" s="152"/>
      <c r="AL3528" s="152"/>
      <c r="AM3528" s="152"/>
      <c r="AN3528" s="152"/>
      <c r="AO3528" s="152"/>
      <c r="AP3528" s="152"/>
      <c r="AQ3528" s="152" t="e" cm="1">
        <f t="array" ref="AQ3528">INDEX(Projd_Retail,MONTH($C3528))*100+$T$5*$U3528</f>
        <v>#N/A</v>
      </c>
      <c r="AR3528" s="152"/>
      <c r="AS3528" s="153"/>
      <c r="AT3528" s="153"/>
      <c r="AU3528" s="153"/>
      <c r="AV3528" s="153"/>
    </row>
    <row r="3529" spans="1:48" x14ac:dyDescent="0.25">
      <c r="A3529">
        <v>11</v>
      </c>
      <c r="B3529" s="155">
        <f t="shared" si="603"/>
        <v>46583</v>
      </c>
      <c r="C3529" s="155" t="e">
        <f t="shared" si="280"/>
        <v>#N/A</v>
      </c>
      <c r="D3529" s="152"/>
      <c r="E3529" s="152" t="e">
        <f t="shared" si="600"/>
        <v>#N/A</v>
      </c>
      <c r="F3529" s="152"/>
      <c r="G3529" s="152"/>
      <c r="H3529" s="152"/>
      <c r="I3529" s="152" t="e">
        <f t="shared" si="601"/>
        <v>#N/A</v>
      </c>
      <c r="J3529" s="152"/>
      <c r="K3529" s="152" t="e">
        <f t="shared" si="602"/>
        <v>#N/A</v>
      </c>
      <c r="L3529" s="152"/>
      <c r="M3529" s="152" t="e" cm="1">
        <f t="array" ref="M3529">IF(Show_Plan,IF(INDEX(Within_Plan,MONTH($C3529)),INDEX(IF($T$5,Rate_Nom,Energy_Nom),MONTH($C3529)),NA()),NA())</f>
        <v>#N/A</v>
      </c>
      <c r="N3529" s="152" t="e">
        <f t="shared" si="604"/>
        <v>#N/A</v>
      </c>
      <c r="O3529" s="152" t="e">
        <f t="shared" si="605"/>
        <v>#N/A</v>
      </c>
      <c r="P3529" s="152" t="e" cm="1">
        <f t="array" ref="P3529">IF(Show_Plan,IF(INDEX(Within_Max,MONTH($C3529)),INDEX(IF($T$5,Rate_Nom,Energy_Nom),MONTH($C3529)),NA()),NA())</f>
        <v>#N/A</v>
      </c>
      <c r="Q3529" s="152" t="e">
        <f t="shared" si="606"/>
        <v>#N/A</v>
      </c>
      <c r="R3529" s="152" t="e">
        <f t="shared" si="607"/>
        <v>#N/A</v>
      </c>
      <c r="T3529" s="153" cm="1">
        <f t="array" ref="T3529">MATCH(1,(TDU_Info!$C$5:$C$110=$T$6)*(TDU_Info!$B$5:$B$110&lt;=$B3529),0)</f>
        <v>70</v>
      </c>
      <c r="U3529" s="152">
        <f>100*(INDEX(TDU_Info!$E$5:$E$110,$T3529)/T$11+INDEX(TDU_Info!$F$5:$F$110,$T3529))</f>
        <v>6.2324999999999999</v>
      </c>
      <c r="V3529" s="152"/>
      <c r="W3529" s="152"/>
      <c r="X3529" s="152"/>
      <c r="Y3529" s="152"/>
      <c r="Z3529" s="152"/>
      <c r="AA3529" s="152"/>
      <c r="AB3529" s="152"/>
      <c r="AC3529" s="152"/>
      <c r="AD3529" s="152"/>
      <c r="AE3529" s="152"/>
      <c r="AF3529" s="152"/>
      <c r="AG3529" s="152"/>
      <c r="AH3529" s="152"/>
      <c r="AI3529" s="152"/>
      <c r="AJ3529" s="152"/>
      <c r="AK3529" s="152"/>
      <c r="AL3529" s="152"/>
      <c r="AM3529" s="152"/>
      <c r="AN3529" s="152"/>
      <c r="AO3529" s="152"/>
      <c r="AP3529" s="152"/>
      <c r="AQ3529" s="152" t="e" cm="1">
        <f t="array" ref="AQ3529">INDEX(Projd_Retail,MONTH($C3529))*100+$T$5*$U3529</f>
        <v>#N/A</v>
      </c>
      <c r="AR3529" s="152"/>
      <c r="AS3529" s="153"/>
      <c r="AT3529" s="153"/>
      <c r="AU3529" s="153"/>
      <c r="AV3529" s="153"/>
    </row>
    <row r="3530" spans="1:48" x14ac:dyDescent="0.25">
      <c r="A3530">
        <v>12</v>
      </c>
      <c r="B3530" s="155">
        <f t="shared" si="603"/>
        <v>46614</v>
      </c>
      <c r="C3530" s="155" t="e">
        <f t="shared" si="280"/>
        <v>#N/A</v>
      </c>
      <c r="D3530" s="152"/>
      <c r="E3530" s="152" t="e">
        <f t="shared" si="600"/>
        <v>#N/A</v>
      </c>
      <c r="F3530" s="152"/>
      <c r="G3530" s="152"/>
      <c r="H3530" s="152"/>
      <c r="I3530" s="152" t="e">
        <f t="shared" si="601"/>
        <v>#N/A</v>
      </c>
      <c r="J3530" s="152"/>
      <c r="K3530" s="152" t="e">
        <f t="shared" si="602"/>
        <v>#N/A</v>
      </c>
      <c r="L3530" s="152"/>
      <c r="M3530" s="152" t="e" cm="1">
        <f t="array" ref="M3530">IF(Show_Plan,IF(INDEX(Within_Plan,MONTH($C3530)),INDEX(IF($T$5,Rate_Nom,Energy_Nom),MONTH($C3530)),NA()),NA())</f>
        <v>#N/A</v>
      </c>
      <c r="N3530" s="152" t="e">
        <f t="shared" si="604"/>
        <v>#N/A</v>
      </c>
      <c r="O3530" s="152" t="e">
        <f t="shared" si="605"/>
        <v>#N/A</v>
      </c>
      <c r="P3530" s="152" t="e" cm="1">
        <f t="array" ref="P3530">IF(Show_Plan,IF(INDEX(Within_Max,MONTH($C3530)),INDEX(IF($T$5,Rate_Nom,Energy_Nom),MONTH($C3530)),NA()),NA())</f>
        <v>#N/A</v>
      </c>
      <c r="Q3530" s="152" t="e">
        <f t="shared" si="606"/>
        <v>#N/A</v>
      </c>
      <c r="R3530" s="152" t="e">
        <f t="shared" si="607"/>
        <v>#N/A</v>
      </c>
      <c r="T3530" s="153" cm="1">
        <f t="array" ref="T3530">MATCH(1,(TDU_Info!$C$5:$C$110=$T$6)*(TDU_Info!$B$5:$B$110&lt;=$B3530),0)</f>
        <v>70</v>
      </c>
      <c r="U3530" s="152">
        <f>100*(INDEX(TDU_Info!$E$5:$E$110,$T3530)/T$11+INDEX(TDU_Info!$F$5:$F$110,$T3530))</f>
        <v>6.2324999999999999</v>
      </c>
      <c r="V3530" s="152"/>
      <c r="W3530" s="152"/>
      <c r="X3530" s="152"/>
      <c r="Y3530" s="152"/>
      <c r="Z3530" s="152"/>
      <c r="AA3530" s="152"/>
      <c r="AB3530" s="152"/>
      <c r="AC3530" s="152"/>
      <c r="AD3530" s="152"/>
      <c r="AE3530" s="152"/>
      <c r="AF3530" s="152"/>
      <c r="AG3530" s="152"/>
      <c r="AH3530" s="152"/>
      <c r="AI3530" s="152"/>
      <c r="AJ3530" s="152"/>
      <c r="AK3530" s="152"/>
      <c r="AL3530" s="152"/>
      <c r="AM3530" s="152"/>
      <c r="AN3530" s="152"/>
      <c r="AO3530" s="152"/>
      <c r="AP3530" s="152"/>
      <c r="AQ3530" s="152" t="e" cm="1">
        <f t="array" ref="AQ3530">INDEX(Projd_Retail,MONTH($C3530))*100+$T$5*$U3530</f>
        <v>#N/A</v>
      </c>
      <c r="AR3530" s="152"/>
      <c r="AS3530" s="153"/>
      <c r="AT3530" s="153"/>
      <c r="AU3530" s="153"/>
      <c r="AV3530" s="153"/>
    </row>
    <row r="3531" spans="1:48" x14ac:dyDescent="0.25">
      <c r="A3531">
        <v>12</v>
      </c>
      <c r="B3531" s="246">
        <f t="shared" si="603"/>
        <v>46614</v>
      </c>
      <c r="C3531" s="246" t="e">
        <f t="shared" si="280"/>
        <v>#N/A</v>
      </c>
      <c r="D3531" s="152"/>
      <c r="E3531" s="152" t="e">
        <f t="shared" si="600"/>
        <v>#N/A</v>
      </c>
      <c r="F3531" s="152"/>
      <c r="G3531" s="152"/>
      <c r="H3531" s="152"/>
      <c r="I3531" s="152" t="e">
        <f t="shared" si="601"/>
        <v>#N/A</v>
      </c>
      <c r="J3531" s="152"/>
      <c r="K3531" s="152" t="e">
        <f t="shared" si="602"/>
        <v>#N/A</v>
      </c>
      <c r="L3531" s="152"/>
      <c r="M3531" s="152"/>
      <c r="N3531" s="152"/>
      <c r="O3531" s="257" t="e">
        <f t="shared" si="605"/>
        <v>#N/A</v>
      </c>
      <c r="P3531" s="152"/>
      <c r="Q3531" s="152"/>
      <c r="R3531" s="257" t="e">
        <f t="shared" si="607"/>
        <v>#N/A</v>
      </c>
      <c r="T3531" s="153" cm="1">
        <f t="array" ref="T3531">MATCH(1,(TDU_Info!$C$5:$C$110=$T$6)*(TDU_Info!$B$5:$B$110&lt;=$B3531),0)</f>
        <v>70</v>
      </c>
      <c r="U3531" s="152">
        <f>100*(INDEX(TDU_Info!$E$5:$E$110,$T3531)/T$11+INDEX(TDU_Info!$F$5:$F$110,$T3531))</f>
        <v>6.2324999999999999</v>
      </c>
      <c r="V3531" s="152"/>
      <c r="W3531" s="152"/>
      <c r="X3531" s="152"/>
      <c r="Y3531" s="152"/>
      <c r="Z3531" s="152"/>
      <c r="AA3531" s="152"/>
      <c r="AB3531" s="152"/>
      <c r="AC3531" s="152"/>
      <c r="AD3531" s="152"/>
      <c r="AE3531" s="152"/>
      <c r="AF3531" s="152"/>
      <c r="AG3531" s="152"/>
      <c r="AH3531" s="152"/>
      <c r="AI3531" s="152"/>
      <c r="AJ3531" s="152"/>
      <c r="AK3531" s="152"/>
      <c r="AL3531" s="152"/>
      <c r="AM3531" s="152"/>
      <c r="AN3531" s="152"/>
      <c r="AO3531" s="152"/>
      <c r="AP3531" s="152"/>
      <c r="AQ3531" s="152"/>
      <c r="AR3531" s="152"/>
      <c r="AS3531" s="153"/>
      <c r="AT3531" s="153"/>
      <c r="AU3531" s="153"/>
      <c r="AV3531" s="153"/>
    </row>
    <row r="3532" spans="1:48" x14ac:dyDescent="0.25">
      <c r="A3532">
        <v>13</v>
      </c>
      <c r="B3532" s="246">
        <f>EOMONTH(Rel_Date+Buffer_Days,A3532-2)+1</f>
        <v>46631</v>
      </c>
      <c r="C3532" s="246" t="e">
        <f t="shared" si="280"/>
        <v>#N/A</v>
      </c>
      <c r="D3532" s="152"/>
      <c r="E3532" s="152" t="e">
        <f t="shared" si="600"/>
        <v>#N/A</v>
      </c>
      <c r="F3532" s="152"/>
      <c r="G3532" s="152"/>
      <c r="H3532" s="152"/>
      <c r="I3532" s="152" t="e">
        <f t="shared" si="601"/>
        <v>#N/A</v>
      </c>
      <c r="J3532" s="152"/>
      <c r="K3532" s="152" t="e">
        <f t="shared" si="602"/>
        <v>#N/A</v>
      </c>
      <c r="L3532" s="152"/>
      <c r="M3532" s="152"/>
      <c r="N3532" s="152"/>
      <c r="O3532" s="152"/>
      <c r="P3532" s="152"/>
      <c r="Q3532" s="152"/>
      <c r="R3532" s="152"/>
      <c r="S3532" s="152"/>
      <c r="T3532" s="153" cm="1">
        <f t="array" ref="T3532">MATCH(1,(TDU_Info!$C$5:$C$110=$T$6)*(TDU_Info!$B$5:$B$110&lt;=$B3532),0)</f>
        <v>70</v>
      </c>
      <c r="U3532" s="152">
        <f>100*(INDEX(TDU_Info!$E$5:$E$110,$T3532)/T$11+INDEX(TDU_Info!$F$5:$F$110,$T3532))</f>
        <v>6.2324999999999999</v>
      </c>
      <c r="V3532" s="152"/>
      <c r="W3532" s="152"/>
      <c r="X3532" s="152"/>
      <c r="Y3532" s="152"/>
      <c r="Z3532" s="152"/>
      <c r="AA3532" s="152"/>
      <c r="AB3532" s="152"/>
      <c r="AC3532" s="152"/>
      <c r="AD3532" s="152"/>
      <c r="AE3532" s="152"/>
      <c r="AF3532" s="152"/>
      <c r="AG3532" s="152"/>
      <c r="AH3532" s="152"/>
      <c r="AI3532" s="152"/>
      <c r="AJ3532" s="152"/>
      <c r="AK3532" s="152"/>
      <c r="AL3532" s="152"/>
      <c r="AM3532" s="152"/>
      <c r="AN3532" s="152"/>
      <c r="AO3532" s="152"/>
      <c r="AP3532" s="152"/>
      <c r="AQ3532" s="152"/>
      <c r="AR3532" s="152"/>
      <c r="AS3532" s="153"/>
      <c r="AT3532" s="153"/>
      <c r="AU3532" s="153"/>
      <c r="AV3532" s="153"/>
    </row>
    <row r="3533" spans="1:48" x14ac:dyDescent="0.25">
      <c r="A3533">
        <v>13</v>
      </c>
      <c r="B3533" s="246">
        <f>EOMONTH(Rel_Date+Buffer_Days,A3533-2)+1</f>
        <v>46631</v>
      </c>
      <c r="C3533" s="246" t="e">
        <f t="shared" si="280"/>
        <v>#N/A</v>
      </c>
      <c r="D3533" s="152"/>
      <c r="E3533" s="152" t="e">
        <f t="shared" si="600"/>
        <v>#N/A</v>
      </c>
      <c r="F3533" s="152"/>
      <c r="G3533" s="152"/>
      <c r="H3533" s="152"/>
      <c r="I3533" s="152" t="e">
        <f t="shared" si="601"/>
        <v>#N/A</v>
      </c>
      <c r="J3533" s="152"/>
      <c r="K3533" s="152" t="e">
        <f t="shared" si="602"/>
        <v>#N/A</v>
      </c>
      <c r="L3533" s="152"/>
      <c r="M3533" s="152"/>
      <c r="N3533" s="152"/>
      <c r="O3533" s="152"/>
      <c r="P3533" s="152"/>
      <c r="Q3533" s="152"/>
      <c r="R3533" s="152"/>
      <c r="S3533" s="152"/>
      <c r="T3533" s="153" cm="1">
        <f t="array" ref="T3533">MATCH(1,(TDU_Info!$C$5:$C$110=$T$6)*(TDU_Info!$B$5:$B$110&lt;=$B3533),0)</f>
        <v>70</v>
      </c>
      <c r="U3533" s="152">
        <f>100*(INDEX(TDU_Info!$E$5:$E$110,$T3533)/T$11+INDEX(TDU_Info!$F$5:$F$110,$T3533))</f>
        <v>6.2324999999999999</v>
      </c>
      <c r="V3533" s="152"/>
      <c r="W3533" s="152"/>
      <c r="X3533" s="152"/>
      <c r="Y3533" s="152"/>
      <c r="Z3533" s="152"/>
      <c r="AA3533" s="152"/>
      <c r="AB3533" s="152"/>
      <c r="AC3533" s="152"/>
      <c r="AD3533" s="152"/>
      <c r="AE3533" s="152"/>
      <c r="AF3533" s="152"/>
      <c r="AG3533" s="152"/>
      <c r="AH3533" s="152"/>
      <c r="AI3533" s="152"/>
      <c r="AJ3533" s="152"/>
      <c r="AK3533" s="152"/>
      <c r="AL3533" s="152"/>
      <c r="AM3533" s="152"/>
      <c r="AN3533" s="152"/>
      <c r="AO3533" s="152"/>
      <c r="AP3533" s="152"/>
      <c r="AQ3533" s="152"/>
      <c r="AR3533" s="152"/>
      <c r="AS3533" s="153"/>
      <c r="AT3533" s="153"/>
      <c r="AU3533" s="153"/>
      <c r="AV3533" s="153"/>
    </row>
    <row r="3534" spans="1:48" x14ac:dyDescent="0.25">
      <c r="A3534">
        <v>13</v>
      </c>
      <c r="B3534" s="246">
        <f>EOMONTH(Rel_Date+Buffer_Days,A3534-2)+1</f>
        <v>46631</v>
      </c>
      <c r="C3534" s="246" t="e">
        <f t="shared" si="280"/>
        <v>#N/A</v>
      </c>
      <c r="D3534" s="152"/>
      <c r="E3534" s="152" t="e">
        <f t="shared" si="600"/>
        <v>#N/A</v>
      </c>
      <c r="F3534" s="152"/>
      <c r="G3534" s="152"/>
      <c r="H3534" s="152"/>
      <c r="I3534" s="152" t="e">
        <f t="shared" si="601"/>
        <v>#N/A</v>
      </c>
      <c r="J3534" s="152"/>
      <c r="K3534" s="152" t="e">
        <f t="shared" si="602"/>
        <v>#N/A</v>
      </c>
      <c r="L3534" s="152"/>
      <c r="M3534" s="152"/>
      <c r="N3534" s="152"/>
      <c r="O3534" s="152"/>
      <c r="P3534" s="152"/>
      <c r="Q3534" s="152"/>
      <c r="R3534" s="152"/>
      <c r="S3534" s="152"/>
      <c r="T3534" s="153" cm="1">
        <f t="array" ref="T3534">MATCH(1,(TDU_Info!$C$5:$C$110=$T$6)*(TDU_Info!$B$5:$B$110&lt;=$B3534),0)</f>
        <v>70</v>
      </c>
      <c r="U3534" s="152">
        <f>100*(INDEX(TDU_Info!$E$5:$E$110,$T3534)/T$11+INDEX(TDU_Info!$F$5:$F$110,$T3534))</f>
        <v>6.2324999999999999</v>
      </c>
      <c r="V3534" s="152"/>
      <c r="W3534" s="152"/>
      <c r="X3534" s="152"/>
      <c r="Y3534" s="152"/>
      <c r="Z3534" s="152"/>
      <c r="AA3534" s="152"/>
      <c r="AB3534" s="152"/>
      <c r="AC3534" s="152"/>
      <c r="AD3534" s="152"/>
      <c r="AE3534" s="152"/>
      <c r="AF3534" s="152"/>
      <c r="AG3534" s="152"/>
      <c r="AH3534" s="152"/>
      <c r="AI3534" s="152"/>
      <c r="AJ3534" s="152"/>
      <c r="AK3534" s="152"/>
      <c r="AL3534" s="152"/>
      <c r="AM3534" s="152"/>
      <c r="AN3534" s="152"/>
      <c r="AO3534" s="152"/>
      <c r="AP3534" s="152"/>
      <c r="AQ3534" s="152"/>
      <c r="AR3534" s="152"/>
      <c r="AS3534" s="153"/>
      <c r="AT3534" s="153"/>
      <c r="AU3534" s="153"/>
      <c r="AV3534" s="153"/>
    </row>
    <row r="3535" spans="1:48" x14ac:dyDescent="0.25">
      <c r="C3535" s="155"/>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1:48"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c r="AQ3536" s="93"/>
      <c r="AR3536" s="93"/>
    </row>
    <row r="3537" spans="2: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2: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2:36" x14ac:dyDescent="0.25">
      <c r="B3539" s="155">
        <v>42736.999305555553</v>
      </c>
      <c r="C3539" s="155">
        <f t="shared" ref="C3539:C3546" si="608">IF(OR($B3539&lt;C$12,$B3539&gt;C$13),NA(),$B3539)</f>
        <v>42736.999305555553</v>
      </c>
      <c r="D3539" s="152">
        <v>7.3348999999999993</v>
      </c>
      <c r="E3539" s="152"/>
      <c r="F3539" s="152"/>
      <c r="G3539" s="152"/>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2:36" x14ac:dyDescent="0.25">
      <c r="B3540" s="155">
        <v>43101.999305555553</v>
      </c>
      <c r="C3540" s="155">
        <f t="shared" si="608"/>
        <v>43101.999305555553</v>
      </c>
      <c r="D3540" s="152">
        <v>7.5998000000000001</v>
      </c>
      <c r="E3540" s="153"/>
      <c r="F3540" s="153"/>
      <c r="G3540" s="153" t="s">
        <v>1461</v>
      </c>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2:36" x14ac:dyDescent="0.25">
      <c r="B3541" s="155">
        <v>43359.999305555553</v>
      </c>
      <c r="C3541" s="155">
        <f t="shared" si="608"/>
        <v>43359.999305555553</v>
      </c>
      <c r="D3541" s="152">
        <v>9.1001000000000012</v>
      </c>
      <c r="E3541" s="153"/>
      <c r="F3541" s="153"/>
      <c r="G3541" s="153" t="s">
        <v>1462</v>
      </c>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2:36" x14ac:dyDescent="0.25">
      <c r="B3542" s="155">
        <v>43668.999305555553</v>
      </c>
      <c r="C3542" s="155">
        <f t="shared" si="608"/>
        <v>43668.999305555553</v>
      </c>
      <c r="D3542" s="152">
        <v>8.0902999999999992</v>
      </c>
      <c r="E3542" s="153"/>
      <c r="F3542" s="153"/>
      <c r="G3542" s="153" t="s">
        <v>1463</v>
      </c>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2:36" x14ac:dyDescent="0.25">
      <c r="B3543" s="155">
        <v>43888.999305555553</v>
      </c>
      <c r="C3543" s="155">
        <f t="shared" si="608"/>
        <v>43888.999305555553</v>
      </c>
      <c r="D3543" s="152">
        <v>9.8127999999999993</v>
      </c>
      <c r="E3543" s="153"/>
      <c r="F3543" s="153"/>
      <c r="G3543" s="153" t="s">
        <v>1464</v>
      </c>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2:36" x14ac:dyDescent="0.25">
      <c r="B3544" s="155">
        <v>44238</v>
      </c>
      <c r="C3544" s="155">
        <f t="shared" si="608"/>
        <v>44238</v>
      </c>
      <c r="D3544" s="152">
        <v>4.38</v>
      </c>
      <c r="E3544" s="153"/>
      <c r="F3544" s="153"/>
      <c r="G3544" s="153" t="s">
        <v>1465</v>
      </c>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2:36" x14ac:dyDescent="0.25">
      <c r="B3545" s="155">
        <v>44578.999305555553</v>
      </c>
      <c r="C3545" s="155">
        <f t="shared" si="608"/>
        <v>44578.999305555553</v>
      </c>
      <c r="D3545" s="152">
        <v>5.7</v>
      </c>
      <c r="E3545" s="153"/>
      <c r="F3545" s="153"/>
      <c r="G3545" s="153" t="s">
        <v>1466</v>
      </c>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2:36" x14ac:dyDescent="0.25">
      <c r="B3546" s="155">
        <v>44562</v>
      </c>
      <c r="C3546" s="155">
        <f t="shared" si="608"/>
        <v>44562</v>
      </c>
      <c r="D3546" s="152"/>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2: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2: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2: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2: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2: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2: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9"/>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1467</v>
      </c>
      <c r="E1" s="6">
        <f>IFERROR(IF(INDEX(UnlockCodes[Expiration],MATCH(Unlock_Code,UnlockCodes[Code],0))&gt;Rel_Date,0,1),2)</f>
        <v>2</v>
      </c>
    </row>
    <row r="2" spans="1:5" x14ac:dyDescent="0.25">
      <c r="A2" s="84" t="s">
        <v>227</v>
      </c>
    </row>
    <row r="4" spans="1:5" s="1" customFormat="1" x14ac:dyDescent="0.25">
      <c r="B4" s="1" t="s">
        <v>1468</v>
      </c>
      <c r="C4" s="1" t="s">
        <v>1469</v>
      </c>
      <c r="D4" s="1" t="s">
        <v>1470</v>
      </c>
      <c r="E4" s="1" t="s">
        <v>1471</v>
      </c>
    </row>
    <row r="5" spans="1:5" x14ac:dyDescent="0.25">
      <c r="B5" t="s">
        <v>1472</v>
      </c>
      <c r="C5" s="3">
        <v>43531</v>
      </c>
      <c r="D5" s="3">
        <v>43783</v>
      </c>
    </row>
    <row r="6" spans="1:5" x14ac:dyDescent="0.25">
      <c r="B6" t="s">
        <v>1473</v>
      </c>
      <c r="C6" s="3">
        <v>43660</v>
      </c>
      <c r="D6" s="3">
        <v>43800</v>
      </c>
    </row>
    <row r="7" spans="1:5" x14ac:dyDescent="0.25">
      <c r="B7" t="s">
        <v>1474</v>
      </c>
      <c r="C7" s="3">
        <v>43678</v>
      </c>
      <c r="D7" s="3">
        <v>43800</v>
      </c>
    </row>
    <row r="8" spans="1:5" x14ac:dyDescent="0.25">
      <c r="B8" t="s">
        <v>1475</v>
      </c>
      <c r="C8" s="3">
        <v>43709</v>
      </c>
      <c r="D8" s="3">
        <v>43831</v>
      </c>
    </row>
    <row r="9" spans="1:5" x14ac:dyDescent="0.25">
      <c r="B9" t="s">
        <v>1476</v>
      </c>
      <c r="C9" s="3">
        <v>43739</v>
      </c>
      <c r="D9" s="3">
        <v>43862</v>
      </c>
    </row>
    <row r="10" spans="1:5" x14ac:dyDescent="0.25">
      <c r="B10" t="s">
        <v>1477</v>
      </c>
      <c r="C10" s="3">
        <v>43770</v>
      </c>
      <c r="D10" s="3">
        <v>43891</v>
      </c>
    </row>
    <row r="11" spans="1:5" x14ac:dyDescent="0.25">
      <c r="B11" t="s">
        <v>1478</v>
      </c>
      <c r="C11" s="3">
        <v>43800</v>
      </c>
      <c r="D11" s="3">
        <v>43922</v>
      </c>
    </row>
    <row r="12" spans="1:5" x14ac:dyDescent="0.25">
      <c r="B12" t="s">
        <v>1479</v>
      </c>
      <c r="C12" s="3">
        <v>43831</v>
      </c>
      <c r="D12" s="3">
        <v>43952</v>
      </c>
    </row>
    <row r="13" spans="1:5" x14ac:dyDescent="0.25">
      <c r="B13" t="s">
        <v>1480</v>
      </c>
      <c r="C13" s="3">
        <v>43862</v>
      </c>
      <c r="D13" s="3">
        <v>43983</v>
      </c>
    </row>
    <row r="14" spans="1:5" x14ac:dyDescent="0.25">
      <c r="B14" t="s">
        <v>1481</v>
      </c>
      <c r="C14" s="3">
        <v>43891</v>
      </c>
      <c r="D14" s="3">
        <v>44013</v>
      </c>
    </row>
    <row r="15" spans="1:5" x14ac:dyDescent="0.25">
      <c r="B15" t="s">
        <v>1482</v>
      </c>
      <c r="C15" s="3">
        <v>43913</v>
      </c>
      <c r="D15" s="3">
        <v>43983</v>
      </c>
      <c r="E15" t="s">
        <v>1483</v>
      </c>
    </row>
    <row r="16" spans="1:5" x14ac:dyDescent="0.25">
      <c r="B16" t="s">
        <v>1484</v>
      </c>
      <c r="C16" s="3">
        <v>43922</v>
      </c>
      <c r="D16" s="3">
        <v>44044</v>
      </c>
    </row>
    <row r="17" spans="2:5" x14ac:dyDescent="0.25">
      <c r="B17" t="s">
        <v>1485</v>
      </c>
      <c r="C17" s="3">
        <v>43952</v>
      </c>
      <c r="D17" s="3">
        <v>44044</v>
      </c>
      <c r="E17" t="s">
        <v>1483</v>
      </c>
    </row>
    <row r="18" spans="2:5" x14ac:dyDescent="0.25">
      <c r="B18" t="s">
        <v>1486</v>
      </c>
      <c r="C18" s="3">
        <v>43952</v>
      </c>
      <c r="D18" s="3">
        <v>44075</v>
      </c>
    </row>
    <row r="19" spans="2:5" x14ac:dyDescent="0.25">
      <c r="B19" t="s">
        <v>1487</v>
      </c>
      <c r="C19" s="3">
        <v>43982</v>
      </c>
      <c r="D19" s="3">
        <v>44075</v>
      </c>
      <c r="E19" t="s">
        <v>1483</v>
      </c>
    </row>
    <row r="20" spans="2:5" x14ac:dyDescent="0.25">
      <c r="B20" t="s">
        <v>1488</v>
      </c>
      <c r="C20" s="3">
        <v>43982</v>
      </c>
      <c r="D20" s="3">
        <v>44105</v>
      </c>
    </row>
    <row r="21" spans="2:5" x14ac:dyDescent="0.25">
      <c r="B21" t="s">
        <v>1489</v>
      </c>
      <c r="C21" s="3">
        <v>44013</v>
      </c>
      <c r="D21" s="3">
        <v>44105</v>
      </c>
      <c r="E21" t="s">
        <v>1483</v>
      </c>
    </row>
    <row r="22" spans="2:5" x14ac:dyDescent="0.25">
      <c r="B22" t="s">
        <v>1490</v>
      </c>
      <c r="C22" s="3">
        <v>44013</v>
      </c>
      <c r="D22" s="3">
        <v>44136</v>
      </c>
    </row>
    <row r="23" spans="2:5" x14ac:dyDescent="0.25">
      <c r="B23" t="s">
        <v>1491</v>
      </c>
      <c r="C23" s="3">
        <v>44044</v>
      </c>
      <c r="D23" s="3">
        <v>44136</v>
      </c>
      <c r="E23" t="s">
        <v>1483</v>
      </c>
    </row>
    <row r="24" spans="2:5" x14ac:dyDescent="0.25">
      <c r="B24" t="s">
        <v>1492</v>
      </c>
      <c r="C24" s="3">
        <v>44044</v>
      </c>
      <c r="D24" s="3">
        <v>44166</v>
      </c>
    </row>
    <row r="25" spans="2:5" x14ac:dyDescent="0.25">
      <c r="B25" t="s">
        <v>1493</v>
      </c>
      <c r="C25" s="3">
        <v>44075</v>
      </c>
      <c r="D25" s="3">
        <v>44166</v>
      </c>
      <c r="E25" t="s">
        <v>1483</v>
      </c>
    </row>
    <row r="26" spans="2:5" x14ac:dyDescent="0.25">
      <c r="B26" t="s">
        <v>1494</v>
      </c>
      <c r="C26" s="3">
        <v>44075</v>
      </c>
      <c r="D26" s="3">
        <v>44197</v>
      </c>
    </row>
    <row r="27" spans="2:5" x14ac:dyDescent="0.25">
      <c r="B27" t="s">
        <v>1495</v>
      </c>
      <c r="C27" s="3">
        <v>44105</v>
      </c>
      <c r="D27" s="3">
        <v>44228</v>
      </c>
    </row>
    <row r="28" spans="2:5" x14ac:dyDescent="0.25">
      <c r="B28" t="s">
        <v>1496</v>
      </c>
      <c r="C28" s="3">
        <v>44136</v>
      </c>
      <c r="D28" s="3">
        <v>44256</v>
      </c>
    </row>
    <row r="29" spans="2:5" x14ac:dyDescent="0.25">
      <c r="B29" t="s">
        <v>1497</v>
      </c>
      <c r="C29" s="3">
        <v>44166</v>
      </c>
      <c r="D29" s="3">
        <v>44287</v>
      </c>
    </row>
    <row r="30" spans="2:5" x14ac:dyDescent="0.25">
      <c r="B30" t="s">
        <v>1498</v>
      </c>
      <c r="C30" s="3">
        <v>44197</v>
      </c>
      <c r="D30" s="3">
        <v>44317</v>
      </c>
    </row>
    <row r="31" spans="2:5" x14ac:dyDescent="0.25">
      <c r="B31" t="s">
        <v>1499</v>
      </c>
      <c r="C31" s="3">
        <v>44228</v>
      </c>
      <c r="D31" s="3">
        <v>44348</v>
      </c>
    </row>
    <row r="32" spans="2:5" x14ac:dyDescent="0.25">
      <c r="B32" t="s">
        <v>1500</v>
      </c>
      <c r="C32" s="3">
        <v>44256</v>
      </c>
      <c r="D32" s="3">
        <v>44378</v>
      </c>
    </row>
    <row r="33" spans="2:4" x14ac:dyDescent="0.25">
      <c r="B33" t="s">
        <v>1501</v>
      </c>
      <c r="C33" s="3">
        <v>44287</v>
      </c>
      <c r="D33" s="3">
        <v>44409</v>
      </c>
    </row>
    <row r="34" spans="2:4" x14ac:dyDescent="0.25">
      <c r="B34" t="s">
        <v>1502</v>
      </c>
      <c r="C34" s="3">
        <v>44317</v>
      </c>
      <c r="D34" s="3">
        <v>44440</v>
      </c>
    </row>
    <row r="35" spans="2:4" x14ac:dyDescent="0.25">
      <c r="B35" t="s">
        <v>1503</v>
      </c>
      <c r="C35" s="3">
        <v>44317</v>
      </c>
      <c r="D35" s="3">
        <v>44440</v>
      </c>
    </row>
    <row r="36" spans="2:4" x14ac:dyDescent="0.25">
      <c r="B36" t="s">
        <v>1504</v>
      </c>
      <c r="C36" s="3">
        <v>44348</v>
      </c>
      <c r="D36" s="3">
        <v>44470</v>
      </c>
    </row>
    <row r="37" spans="2:4" x14ac:dyDescent="0.25">
      <c r="B37" t="s">
        <v>1505</v>
      </c>
      <c r="C37" s="3">
        <v>44378</v>
      </c>
      <c r="D37" s="3">
        <v>44501</v>
      </c>
    </row>
    <row r="38" spans="2:4" x14ac:dyDescent="0.25">
      <c r="B38" t="s">
        <v>1506</v>
      </c>
      <c r="C38" s="3">
        <v>44409</v>
      </c>
      <c r="D38" s="3">
        <v>44531</v>
      </c>
    </row>
    <row r="39" spans="2:4" x14ac:dyDescent="0.25">
      <c r="B39" t="s">
        <v>1507</v>
      </c>
      <c r="C39" s="3">
        <v>44440</v>
      </c>
      <c r="D39" s="3">
        <v>44562</v>
      </c>
    </row>
    <row r="40" spans="2:4" x14ac:dyDescent="0.25">
      <c r="B40" t="s">
        <v>1508</v>
      </c>
      <c r="C40" s="3">
        <v>44470</v>
      </c>
      <c r="D40" s="3">
        <v>44593</v>
      </c>
    </row>
    <row r="41" spans="2:4" x14ac:dyDescent="0.25">
      <c r="B41" t="s">
        <v>1509</v>
      </c>
      <c r="C41" s="3">
        <v>44501</v>
      </c>
      <c r="D41" s="3">
        <v>44621</v>
      </c>
    </row>
    <row r="42" spans="2:4" x14ac:dyDescent="0.25">
      <c r="B42" t="s">
        <v>1510</v>
      </c>
      <c r="C42" s="3">
        <v>44531</v>
      </c>
      <c r="D42" s="3">
        <v>44652</v>
      </c>
    </row>
    <row r="43" spans="2:4" x14ac:dyDescent="0.25">
      <c r="B43" t="s">
        <v>1511</v>
      </c>
      <c r="C43" s="3">
        <v>44562</v>
      </c>
      <c r="D43" s="3">
        <v>44682</v>
      </c>
    </row>
    <row r="44" spans="2:4" x14ac:dyDescent="0.25">
      <c r="B44" t="s">
        <v>1512</v>
      </c>
      <c r="C44" s="3">
        <v>44593</v>
      </c>
      <c r="D44" s="3">
        <v>44713</v>
      </c>
    </row>
    <row r="45" spans="2:4" x14ac:dyDescent="0.25">
      <c r="B45" t="s">
        <v>1513</v>
      </c>
      <c r="C45" s="3">
        <v>44621</v>
      </c>
      <c r="D45" s="3">
        <v>44743</v>
      </c>
    </row>
    <row r="46" spans="2:4" x14ac:dyDescent="0.25">
      <c r="B46" t="s">
        <v>1514</v>
      </c>
      <c r="C46" s="3">
        <v>44652</v>
      </c>
      <c r="D46" s="3">
        <v>44774</v>
      </c>
    </row>
    <row r="47" spans="2:4" x14ac:dyDescent="0.25">
      <c r="B47" t="s">
        <v>1515</v>
      </c>
      <c r="C47" s="3">
        <v>44682</v>
      </c>
      <c r="D47" s="3">
        <v>44805</v>
      </c>
    </row>
    <row r="48" spans="2:4" x14ac:dyDescent="0.25">
      <c r="B48" t="s">
        <v>1516</v>
      </c>
      <c r="C48" s="3">
        <v>44713</v>
      </c>
      <c r="D48" s="3">
        <v>44835</v>
      </c>
    </row>
    <row r="49" spans="2:4" x14ac:dyDescent="0.25">
      <c r="B49" t="s">
        <v>1517</v>
      </c>
      <c r="C49" s="3">
        <v>44743</v>
      </c>
      <c r="D49" s="3">
        <v>44866</v>
      </c>
    </row>
    <row r="50" spans="2:4" x14ac:dyDescent="0.25">
      <c r="B50" t="s">
        <v>1518</v>
      </c>
      <c r="C50" s="3">
        <v>44774</v>
      </c>
      <c r="D50" s="3">
        <v>44896</v>
      </c>
    </row>
    <row r="51" spans="2:4" x14ac:dyDescent="0.25">
      <c r="B51" t="s">
        <v>1519</v>
      </c>
      <c r="C51" s="3">
        <v>44805</v>
      </c>
      <c r="D51" s="3">
        <v>44927</v>
      </c>
    </row>
    <row r="52" spans="2:4" x14ac:dyDescent="0.25">
      <c r="B52" t="s">
        <v>1520</v>
      </c>
      <c r="C52" s="3">
        <v>44835</v>
      </c>
      <c r="D52" s="3">
        <v>44958</v>
      </c>
    </row>
    <row r="53" spans="2:4" x14ac:dyDescent="0.25">
      <c r="B53" t="s">
        <v>1521</v>
      </c>
      <c r="C53" s="3">
        <v>44866</v>
      </c>
      <c r="D53" s="3">
        <v>44986</v>
      </c>
    </row>
    <row r="54" spans="2:4" x14ac:dyDescent="0.25">
      <c r="B54" t="s">
        <v>1522</v>
      </c>
      <c r="C54" s="3">
        <v>44896</v>
      </c>
      <c r="D54" s="3">
        <v>45017</v>
      </c>
    </row>
    <row r="55" spans="2:4" x14ac:dyDescent="0.25">
      <c r="B55" t="s">
        <v>1523</v>
      </c>
      <c r="C55" s="3">
        <v>44927</v>
      </c>
      <c r="D55" s="3">
        <v>45047</v>
      </c>
    </row>
    <row r="56" spans="2:4" x14ac:dyDescent="0.25">
      <c r="B56" t="s">
        <v>1524</v>
      </c>
      <c r="C56" s="3">
        <v>44958</v>
      </c>
      <c r="D56" s="3">
        <v>45078</v>
      </c>
    </row>
    <row r="57" spans="2:4" x14ac:dyDescent="0.25">
      <c r="B57" t="s">
        <v>1525</v>
      </c>
      <c r="C57" s="3">
        <v>44986</v>
      </c>
      <c r="D57" s="3">
        <v>45108</v>
      </c>
    </row>
    <row r="58" spans="2:4" x14ac:dyDescent="0.25">
      <c r="B58" t="s">
        <v>1526</v>
      </c>
      <c r="C58" s="3">
        <v>45017</v>
      </c>
      <c r="D58" s="3">
        <v>45139</v>
      </c>
    </row>
    <row r="59" spans="2:4" x14ac:dyDescent="0.25">
      <c r="B59" t="s">
        <v>1527</v>
      </c>
      <c r="C59" s="3">
        <v>45047</v>
      </c>
      <c r="D59" s="3">
        <v>45170</v>
      </c>
    </row>
    <row r="60" spans="2:4" x14ac:dyDescent="0.25">
      <c r="B60" t="s">
        <v>1528</v>
      </c>
      <c r="C60" s="3">
        <v>45078</v>
      </c>
      <c r="D60" s="3">
        <v>45200</v>
      </c>
    </row>
    <row r="61" spans="2:4" x14ac:dyDescent="0.25">
      <c r="B61" t="s">
        <v>1529</v>
      </c>
      <c r="C61" s="3">
        <v>45108</v>
      </c>
      <c r="D61" s="3">
        <v>45231</v>
      </c>
    </row>
    <row r="62" spans="2:4" x14ac:dyDescent="0.25">
      <c r="B62" t="s">
        <v>1530</v>
      </c>
      <c r="C62" s="3">
        <v>45108</v>
      </c>
      <c r="D62" s="3">
        <v>45261</v>
      </c>
    </row>
    <row r="63" spans="2:4" x14ac:dyDescent="0.25">
      <c r="B63" t="s">
        <v>1531</v>
      </c>
      <c r="C63" s="3">
        <v>45170</v>
      </c>
      <c r="D63" s="3">
        <v>45292</v>
      </c>
    </row>
    <row r="64" spans="2:4" x14ac:dyDescent="0.25">
      <c r="B64" t="s">
        <v>1532</v>
      </c>
      <c r="C64" s="3">
        <v>45200</v>
      </c>
      <c r="D64" s="3">
        <v>45323</v>
      </c>
    </row>
    <row r="65" spans="2:4" x14ac:dyDescent="0.25">
      <c r="B65" t="s">
        <v>1533</v>
      </c>
      <c r="C65" s="3">
        <v>45231</v>
      </c>
      <c r="D65" s="3">
        <v>45352</v>
      </c>
    </row>
    <row r="66" spans="2:4" x14ac:dyDescent="0.25">
      <c r="B66" t="s">
        <v>1534</v>
      </c>
      <c r="C66" s="3">
        <v>45261</v>
      </c>
      <c r="D66" s="3">
        <v>45383</v>
      </c>
    </row>
    <row r="67" spans="2:4" x14ac:dyDescent="0.25">
      <c r="B67" t="s">
        <v>1535</v>
      </c>
      <c r="C67" s="3">
        <v>45292</v>
      </c>
      <c r="D67" s="3">
        <v>45413</v>
      </c>
    </row>
    <row r="68" spans="2:4" x14ac:dyDescent="0.25">
      <c r="B68" t="s">
        <v>1536</v>
      </c>
      <c r="C68" s="3">
        <v>45323</v>
      </c>
      <c r="D68" s="3">
        <v>45444</v>
      </c>
    </row>
    <row r="69" spans="2:4" x14ac:dyDescent="0.25">
      <c r="B69" t="s">
        <v>1537</v>
      </c>
      <c r="C69" s="3">
        <v>45352</v>
      </c>
      <c r="D69" s="3">
        <v>45474</v>
      </c>
    </row>
    <row r="70" spans="2:4" x14ac:dyDescent="0.25">
      <c r="B70" t="s">
        <v>1538</v>
      </c>
      <c r="C70" s="3">
        <v>45383</v>
      </c>
      <c r="D70" s="3">
        <v>45505</v>
      </c>
    </row>
    <row r="71" spans="2:4" x14ac:dyDescent="0.25">
      <c r="B71" t="s">
        <v>1539</v>
      </c>
      <c r="C71" s="3">
        <v>45413</v>
      </c>
      <c r="D71" s="3">
        <v>45536</v>
      </c>
    </row>
    <row r="72" spans="2:4" x14ac:dyDescent="0.25">
      <c r="B72" t="s">
        <v>1540</v>
      </c>
      <c r="C72" s="3">
        <v>45444</v>
      </c>
      <c r="D72" s="3">
        <v>45566</v>
      </c>
    </row>
    <row r="73" spans="2:4" x14ac:dyDescent="0.25">
      <c r="B73" t="s">
        <v>1541</v>
      </c>
      <c r="C73" s="3">
        <v>45474</v>
      </c>
      <c r="D73" s="3">
        <v>45597</v>
      </c>
    </row>
    <row r="74" spans="2:4" x14ac:dyDescent="0.25">
      <c r="B74" t="s">
        <v>1542</v>
      </c>
      <c r="C74" s="3">
        <v>45474</v>
      </c>
      <c r="D74" s="3">
        <v>45597</v>
      </c>
    </row>
    <row r="75" spans="2:4" x14ac:dyDescent="0.25">
      <c r="B75" t="s">
        <v>1543</v>
      </c>
      <c r="C75" s="3">
        <v>45504</v>
      </c>
      <c r="D75" s="3">
        <v>45627</v>
      </c>
    </row>
    <row r="76" spans="2:4" x14ac:dyDescent="0.25">
      <c r="B76" t="s">
        <v>1544</v>
      </c>
      <c r="C76" s="3">
        <v>45536</v>
      </c>
      <c r="D76" s="3">
        <v>45658</v>
      </c>
    </row>
    <row r="77" spans="2:4" x14ac:dyDescent="0.25">
      <c r="B77" t="s">
        <v>1545</v>
      </c>
      <c r="C77" s="3">
        <v>45566</v>
      </c>
      <c r="D77" s="3">
        <v>45689</v>
      </c>
    </row>
    <row r="78" spans="2:4" x14ac:dyDescent="0.25">
      <c r="B78" t="s">
        <v>1546</v>
      </c>
      <c r="C78" s="3">
        <v>45597</v>
      </c>
      <c r="D78" s="3">
        <v>45717</v>
      </c>
    </row>
    <row r="79" spans="2:4" x14ac:dyDescent="0.25">
      <c r="B79" t="s">
        <v>1547</v>
      </c>
      <c r="C79" s="3">
        <v>45627</v>
      </c>
      <c r="D79" s="3">
        <v>45748</v>
      </c>
    </row>
    <row r="80" spans="2:4" x14ac:dyDescent="0.25">
      <c r="B80" t="s">
        <v>1548</v>
      </c>
      <c r="C80" s="3">
        <v>45658</v>
      </c>
      <c r="D80" s="3">
        <v>45778</v>
      </c>
    </row>
    <row r="81" spans="2:4" x14ac:dyDescent="0.25">
      <c r="B81" t="s">
        <v>1549</v>
      </c>
      <c r="C81" s="3">
        <v>45689</v>
      </c>
      <c r="D81" s="3">
        <v>45809</v>
      </c>
    </row>
    <row r="82" spans="2:4" x14ac:dyDescent="0.25">
      <c r="B82" t="s">
        <v>1550</v>
      </c>
      <c r="C82" s="3">
        <v>45717</v>
      </c>
      <c r="D82" s="3">
        <v>45839</v>
      </c>
    </row>
    <row r="83" spans="2:4" x14ac:dyDescent="0.25">
      <c r="B83" t="s">
        <v>1551</v>
      </c>
      <c r="C83" s="3">
        <v>45748</v>
      </c>
      <c r="D83" s="3">
        <v>45870</v>
      </c>
    </row>
    <row r="84" spans="2:4" x14ac:dyDescent="0.25">
      <c r="B84" t="s">
        <v>1552</v>
      </c>
      <c r="C84" s="3">
        <v>45778</v>
      </c>
      <c r="D84" s="3">
        <v>45918</v>
      </c>
    </row>
    <row r="85" spans="2:4" x14ac:dyDescent="0.25">
      <c r="B85" t="s">
        <v>1553</v>
      </c>
      <c r="C85" s="3">
        <v>45809</v>
      </c>
      <c r="D85" s="3">
        <v>45931</v>
      </c>
    </row>
    <row r="86" spans="2:4" x14ac:dyDescent="0.25">
      <c r="B86" t="s">
        <v>1554</v>
      </c>
      <c r="C86" s="3">
        <v>45839</v>
      </c>
      <c r="D86" s="3">
        <v>45962</v>
      </c>
    </row>
    <row r="87" spans="2:4" x14ac:dyDescent="0.25">
      <c r="B87" t="s">
        <v>1555</v>
      </c>
      <c r="C87" s="3">
        <v>45870</v>
      </c>
      <c r="D87" s="3">
        <v>45992</v>
      </c>
    </row>
    <row r="88" spans="2:4" x14ac:dyDescent="0.25">
      <c r="B88" t="s">
        <v>1556</v>
      </c>
      <c r="C88" s="3">
        <v>45901</v>
      </c>
      <c r="D88" s="3">
        <v>46023</v>
      </c>
    </row>
    <row r="89" spans="2:4" x14ac:dyDescent="0.25">
      <c r="B89" t="s">
        <v>1557</v>
      </c>
      <c r="C89" s="3">
        <v>45931</v>
      </c>
      <c r="D89" s="3">
        <v>46054</v>
      </c>
    </row>
    <row r="90" spans="2:4" x14ac:dyDescent="0.25">
      <c r="B90" t="s">
        <v>1558</v>
      </c>
      <c r="C90" s="3">
        <v>45962</v>
      </c>
      <c r="D90" s="3">
        <v>46082</v>
      </c>
    </row>
    <row r="91" spans="2:4" x14ac:dyDescent="0.25">
      <c r="B91" t="s">
        <v>1559</v>
      </c>
      <c r="C91" s="3">
        <v>45992</v>
      </c>
      <c r="D91" s="3">
        <v>46113</v>
      </c>
    </row>
    <row r="92" spans="2:4" x14ac:dyDescent="0.25">
      <c r="B92" t="s">
        <v>1560</v>
      </c>
      <c r="C92" s="3">
        <v>46023</v>
      </c>
      <c r="D92" s="3">
        <v>46143</v>
      </c>
    </row>
    <row r="93" spans="2:4" x14ac:dyDescent="0.25">
      <c r="B93" t="s">
        <v>1561</v>
      </c>
      <c r="C93" s="3">
        <v>46054</v>
      </c>
      <c r="D93" s="3">
        <v>46174</v>
      </c>
    </row>
    <row r="94" spans="2:4" x14ac:dyDescent="0.25">
      <c r="B94" t="s">
        <v>1562</v>
      </c>
      <c r="C94" s="3">
        <v>46082</v>
      </c>
      <c r="D94" s="3">
        <v>46204</v>
      </c>
    </row>
    <row r="95" spans="2:4" x14ac:dyDescent="0.25">
      <c r="B95" t="s">
        <v>1563</v>
      </c>
      <c r="C95" s="3">
        <v>46113</v>
      </c>
      <c r="D95" s="3">
        <v>46235</v>
      </c>
    </row>
    <row r="96" spans="2:4" x14ac:dyDescent="0.25">
      <c r="B96" t="s">
        <v>1564</v>
      </c>
      <c r="C96" s="3">
        <v>46143</v>
      </c>
      <c r="D96" s="3">
        <v>46266</v>
      </c>
    </row>
    <row r="97" spans="2:4" x14ac:dyDescent="0.25">
      <c r="B97" t="s">
        <v>1614</v>
      </c>
      <c r="C97" s="3">
        <v>46174</v>
      </c>
      <c r="D97" s="3">
        <v>46296</v>
      </c>
    </row>
    <row r="98" spans="2:4" x14ac:dyDescent="0.25">
      <c r="B98" t="s">
        <v>1703</v>
      </c>
      <c r="C98" s="3">
        <v>46204</v>
      </c>
      <c r="D98" s="3">
        <v>46327</v>
      </c>
    </row>
    <row r="99" spans="2:4" x14ac:dyDescent="0.25">
      <c r="B99" t="s">
        <v>1821</v>
      </c>
      <c r="C99" s="3">
        <v>46235</v>
      </c>
      <c r="D99" s="3">
        <v>46357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59"/>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(Aug 22, 2026 5:11a)</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46256.21597222222</v>
      </c>
      <c r="C3" s="41">
        <f>A3+1.5</f>
        <v>46257.71597222222</v>
      </c>
      <c r="E3" s="275">
        <f>SUBTOTAL(3,E8:E357)</f>
        <v>348</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IFERROR(INDEX(TDU_Info!E$5:E$110,MATCH($E4,TDU_Info!$C$5:$C$110,0)),"")</f>
        <v>4.9000000000000004</v>
      </c>
      <c r="BG4" s="140">
        <f>IFERROR(INDEX(TDU_Info!F$5:F$110,MATCH($E4,TDU_Info!$C$5:$C$110,0)),"")</f>
        <v>4.9811000000000001E-2</v>
      </c>
      <c r="BI4" s="139">
        <f>Calculator!$BJ$23</f>
        <v>76</v>
      </c>
      <c r="BO4" s="99">
        <f>SUMPRODUCT($BS$1:$CD$1,$BS$7:$CD$7)</f>
        <v>0</v>
      </c>
      <c r="BS4" s="143">
        <f t="array" ref="BS4:CD4">TRANSPOSE(Mos_Until_EOM)</f>
        <v>4.8553274013233532</v>
      </c>
      <c r="BT4" s="143">
        <v>5.7752452657997386</v>
      </c>
      <c r="BU4" s="143">
        <v>6.7937257586128803</v>
      </c>
      <c r="BV4" s="143">
        <v>7.7793520419804372</v>
      </c>
      <c r="BW4" s="143">
        <v>8.7978325347935797</v>
      </c>
      <c r="BX4" s="143">
        <v>9.7834588181611348</v>
      </c>
      <c r="BY4" s="143">
        <v>10.801939310974277</v>
      </c>
      <c r="BZ4" s="143">
        <v>11.820419803787418</v>
      </c>
      <c r="CA4" s="143">
        <v>0.81425963951637148</v>
      </c>
      <c r="CB4" s="143">
        <v>1.8327401323295132</v>
      </c>
      <c r="CC4" s="143">
        <v>2.8183664156970698</v>
      </c>
      <c r="CD4" s="143">
        <v>3.8368469085102115</v>
      </c>
      <c r="CX4" s="81"/>
    </row>
    <row r="5" spans="1:102" x14ac:dyDescent="0.25">
      <c r="C5" s="36"/>
      <c r="E5" s="65" t="s">
        <v>237</v>
      </c>
      <c r="G5" s="37"/>
      <c r="H5" s="33">
        <v>0.01</v>
      </c>
      <c r="L5" s="65" t="b">
        <v>0</v>
      </c>
      <c r="O5" s="65" t="s">
        <v>238</v>
      </c>
      <c r="AG5" s="47"/>
      <c r="AH5" s="49" t="s">
        <v>115</v>
      </c>
      <c r="AR5" s="47" t="s">
        <v>116</v>
      </c>
      <c r="AS5" s="47"/>
      <c r="BC5" s="44" t="s">
        <v>239</v>
      </c>
      <c r="BF5" s="140">
        <f>IFERROR(INDEX(TDU_Info!E$5:E$110,MATCH($E5,TDU_Info!$C$5:$C$110,0)),"")</f>
        <v>4.0600000000000005</v>
      </c>
      <c r="BG5" s="140">
        <f>IFERROR(INDEX(TDU_Info!F$5:F$110,MATCH($E5,TDU_Info!$C$5:$C$110,0)),"")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INDEX($CG$8:$CG$357,MATCH(MIN($CR$8:$CR$357),$CR$8:$CR$357,0))</f>
        <v>#N/A</v>
      </c>
      <c r="CS5">
        <v>18</v>
      </c>
      <c r="CW5">
        <f>MAX(0,Trends!$AA$6-Trends!$U$13-4.2)</f>
        <v>1.8469999999999986</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57"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72"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57" si="2">IFERROR(SUMPRODUCT($BS$7:$CD$7,$BS8:$CD8)/100,"$$$")</f>
        <v>$$$</v>
      </c>
      <c r="BP8" s="88" t="str">
        <f t="shared" ref="BP8" si="3">IFERROR(BO8*100/BO$5,"$$$")</f>
        <v>$$$</v>
      </c>
      <c r="BQ8" s="88" t="str">
        <f t="shared" ref="BQ8:BQ357" si="4">IFERROR(SUMPRODUCT($BS$7:$CD$7,$BS8:$CD8,--($BS$4:$CD$4&lt;=$Q8))/SUMPRODUCT(--($BS$4:$CD$4&lt;=$Q8),$BS$7:$CD$7),"$$$")</f>
        <v>$$$</v>
      </c>
      <c r="BR8" s="88" t="str">
        <f t="shared" ref="BR8:BR357" si="5">IFERROR($BQ8-$BF8*100*SUMPRODUCT(--($BS$4:$CD$4&lt;=$Q8))/SUMPRODUCT(--($BS$4:$CD$4&lt;=$Q8),$BS$7:$CD$7)-$BG8*100,"$$$")</f>
        <v>$$$</v>
      </c>
      <c r="BS8" s="29" t="e">
        <f t="shared" ref="BS8:CD172"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78" si="7">IF(ISNUMBER(CF8),RANK($CF8,$CF$8:$CF$357,1),"")</f>
        <v/>
      </c>
      <c r="CF8" s="27" t="e">
        <f>IF(AND(CI8,NOT(AD8)),LOOKUP(CF$5,{0,750,1500},H8:J8),"")</f>
        <v>#N/A</v>
      </c>
      <c r="CG8" s="6" t="str">
        <f t="shared" ref="CG8:CG78" si="8">IF(ISNUMBER(CH8),RANK($CH8,$CH$8:$CH$357,1),"")</f>
        <v/>
      </c>
      <c r="CH8" t="e">
        <f t="shared" ref="CH8" si="9">IF(CI8,IF(ISNUMBER(BO8),BO8,100000)+CV8/10000+IF(ISNUMBER(BJ8),BJ8,2)/10000-P8/100000+ROW()/10000000,"")</f>
        <v>#N/A</v>
      </c>
      <c r="CI8" t="e">
        <f t="shared" ref="CI8" si="10">PRODUCT(CJ8:CQ8)</f>
        <v>#N/A</v>
      </c>
      <c r="CJ8" s="6" t="e">
        <f t="shared" ref="CJ8:CJ357" si="11">IF($E8=CJ$5,1,0)</f>
        <v>#N/A</v>
      </c>
      <c r="CK8" s="6">
        <f t="shared" ref="CK8:CK357" si="12">IF(CK$5="[Any]",1,IF($F8=CK$5,1,0))</f>
        <v>1</v>
      </c>
      <c r="CL8" s="6">
        <f>IFERROR(--OR(ISBLANK(CL$5),$BJ8="",AND(ISNUMBER($BJ8),$BJ8&lt;=CL$5)),1)</f>
        <v>1</v>
      </c>
      <c r="CM8" s="6">
        <f t="shared" ref="CM8:CM357" si="13">IF($O8="Fixed",1,0)</f>
        <v>0</v>
      </c>
      <c r="CN8" s="6">
        <f t="shared" ref="CN8:CN357" si="14">IF($Q8&gt;=CN$5,1,0)</f>
        <v>0</v>
      </c>
      <c r="CO8" s="6">
        <f t="shared" ref="CO8:CO357" si="15">IF($Q8&lt;=CO$5,1,0)</f>
        <v>1</v>
      </c>
      <c r="CP8" s="6">
        <f t="shared" ref="CP8:CP357" si="16">IF($P8&gt;=CP$5,1,0)</f>
        <v>1</v>
      </c>
      <c r="CQ8" s="6">
        <f>IF(CQ$5="Any",1,IF(AND(CQ$5="Med",AV8=0,SUM(AN8:AQ8)=0),1,IF(AND(CQ$5="Low",AV8=0,SUM(AN8:AQ8)=0,AM8=0),1,IF(AND(CQ$5="Flat",AV8=0,SUM(AN8:AQ8)=0,AM8=0,IFERROR(NOT(BE8="Y"),0)),1,0))))</f>
        <v>1</v>
      </c>
      <c r="CR8" s="81" t="str">
        <f t="shared" ref="CR8:CR357" si="17">IF(ISNUMBER($CH8),$CH8+$CS8+$CW8,"")</f>
        <v/>
      </c>
      <c r="CS8">
        <f t="shared" ref="CS8" si="18">CS$5*(12/(MIN(12,Q8))-1)</f>
        <v>0</v>
      </c>
      <c r="CT8">
        <f t="shared" ref="CT8:CT294"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57"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57"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46252.407638888886</v>
      </c>
      <c r="D10">
        <v>31927</v>
      </c>
      <c r="E10" s="54" t="s">
        <v>235</v>
      </c>
      <c r="F10" s="54" t="s">
        <v>934</v>
      </c>
      <c r="G10" s="54" t="s">
        <v>1567</v>
      </c>
      <c r="H10" s="55">
        <v>12.4</v>
      </c>
      <c r="I10" s="55">
        <v>11.4</v>
      </c>
      <c r="J10" s="55">
        <v>11</v>
      </c>
      <c r="K10" s="54"/>
      <c r="L10" s="56" t="b">
        <v>0</v>
      </c>
      <c r="M10" s="56" t="b">
        <v>0</v>
      </c>
      <c r="N10" s="54">
        <v>1</v>
      </c>
      <c r="O10" s="54" t="s">
        <v>228</v>
      </c>
      <c r="P10" s="54">
        <v>25</v>
      </c>
      <c r="Q10" s="54">
        <v>12</v>
      </c>
      <c r="R10" s="54">
        <v>200</v>
      </c>
      <c r="S10" s="54" t="s">
        <v>1568</v>
      </c>
      <c r="T10" s="54" t="s">
        <v>1569</v>
      </c>
      <c r="U10" s="54" t="s">
        <v>1565</v>
      </c>
      <c r="V10" s="54" t="s">
        <v>1570</v>
      </c>
      <c r="W10" s="54" t="b">
        <v>0</v>
      </c>
      <c r="X10" s="54"/>
      <c r="Y10" s="57" t="s">
        <v>1571</v>
      </c>
      <c r="Z10" s="54" t="s">
        <v>1572</v>
      </c>
      <c r="AA10" s="54"/>
      <c r="AB10" s="54" t="s">
        <v>1573</v>
      </c>
      <c r="AC10" s="56" t="b">
        <v>1</v>
      </c>
      <c r="AD10" s="56" t="b">
        <v>0</v>
      </c>
      <c r="AE10" s="54" t="s">
        <v>302</v>
      </c>
      <c r="AF10" s="58">
        <v>46251</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5.3100000000000001E-2</v>
      </c>
      <c r="BC10" s="60">
        <v>4.9000000000000004</v>
      </c>
      <c r="BD10" s="61">
        <v>5.1461E-2</v>
      </c>
      <c r="BE10" s="62" t="s">
        <v>293</v>
      </c>
      <c r="BF10" s="35">
        <f t="shared" si="0"/>
        <v>4.9000000000000004</v>
      </c>
      <c r="BG10" s="35">
        <f t="shared" si="0"/>
        <v>4.9811000000000001E-2</v>
      </c>
      <c r="BH10" s="35" t="str">
        <f t="shared" ref="BH10:BH16" si="32">IF(ISTEXT(BE10),IF(AND(AV10=0,SUM(AN10:AQ10)=0),IF(AM10&lt;=0,IF(BE10="Y","Low","Flat"),"Med"),"High"),"?")</f>
        <v>Med</v>
      </c>
      <c r="BI10" s="110">
        <f t="shared" ref="BI10:BI16" si="33">IF(ISNUMBER(AH10),0*BI$5*SIN((EDATE($A$3,$Q10)-DATE(YEAR(EDATE($A$3,$Q10)),1,0)-BI$4)*2*PI()/365),"")</f>
        <v>0</v>
      </c>
      <c r="BJ10" s="83">
        <f>VLOOKUP($F10,REP_Info!$D$6:$H$250,5,FALSE)</f>
        <v>2.7330000000000001</v>
      </c>
      <c r="BK10" s="30">
        <f t="shared" ref="BK10:BN16" si="34">IF(BK$7&gt;0,(LOOKUP(BK$7,$AH10:$AL10,$AM10:$AQ10)+IF($AG10="Y",SUMPRODUCT($AX10:$BB10-$AW10:$BA10,BK$7-$AR10:$AV10,N(BK$7&gt;$AR10:$AV10)),BK$7*LOOKUP(BK$7,$AR10:$AV10,$AX10:$BB10))+IF($BE10="Y",$BF10,$BC10)+BK$7*IF($BE10="Y",$BG10,$BD10))*100/BK$7,"")</f>
        <v>12.271100000000002</v>
      </c>
      <c r="BL10" s="30">
        <f t="shared" si="34"/>
        <v>11.2811</v>
      </c>
      <c r="BM10" s="30">
        <f t="shared" si="34"/>
        <v>10.786100000000001</v>
      </c>
      <c r="BN10" s="29">
        <f t="shared" si="34"/>
        <v>10.6211</v>
      </c>
      <c r="BO10" s="85" t="str">
        <f t="shared" si="2"/>
        <v>$$$</v>
      </c>
      <c r="BP10" s="88" t="str">
        <f t="shared" ref="BP10:BP16" si="35">IFERROR(BO10*100/BO$5,"$$$")</f>
        <v>$$$</v>
      </c>
      <c r="BQ10" s="88" t="str">
        <f t="shared" si="4"/>
        <v>$$$</v>
      </c>
      <c r="BR10" s="88" t="str">
        <f t="shared" si="5"/>
        <v>$$$</v>
      </c>
      <c r="BS10" s="29" t="e">
        <f t="shared" ref="BS10:CD16" si="36">IF($CI10,IF(BS$7&gt;0,IF(BS$4&gt;$Q10,$BF10+BS$7*(BS$5+$BG10+$BI10),LOOKUP(BS$7,$AH10:$AL10,$AM10:$AQ10)+IF($AG10="Y",SUMPRODUCT($AX10:$BB10-$AW10:$BA10,BS$7-$AR10:$AV10,N(BS$7&gt;$AR10:$AV10)),BS$7*LOOKUP(BS$7,$AR10:$AV10,$AX10:$BB10))+IF($BE10="Y",$BF10,$BC10)+BS$7*IF($BE10="Y",$BG10,$BD10))*100/BS$7,""),NA())</f>
        <v>#N/A</v>
      </c>
      <c r="BT10" s="29" t="e">
        <f t="shared" si="36"/>
        <v>#N/A</v>
      </c>
      <c r="BU10" s="29" t="e">
        <f t="shared" si="36"/>
        <v>#N/A</v>
      </c>
      <c r="BV10" s="29" t="e">
        <f t="shared" si="36"/>
        <v>#N/A</v>
      </c>
      <c r="BW10" s="29" t="e">
        <f t="shared" si="36"/>
        <v>#N/A</v>
      </c>
      <c r="BX10" s="29" t="e">
        <f t="shared" si="36"/>
        <v>#N/A</v>
      </c>
      <c r="BY10" s="29" t="e">
        <f t="shared" si="36"/>
        <v>#N/A</v>
      </c>
      <c r="BZ10" s="29" t="e">
        <f t="shared" si="36"/>
        <v>#N/A</v>
      </c>
      <c r="CA10" s="29" t="e">
        <f t="shared" si="36"/>
        <v>#N/A</v>
      </c>
      <c r="CB10" s="29" t="e">
        <f t="shared" si="36"/>
        <v>#N/A</v>
      </c>
      <c r="CC10" s="29" t="e">
        <f t="shared" si="36"/>
        <v>#N/A</v>
      </c>
      <c r="CD10" s="29" t="e">
        <f t="shared" si="36"/>
        <v>#N/A</v>
      </c>
      <c r="CE10" s="6" t="str">
        <f t="shared" si="7"/>
        <v/>
      </c>
      <c r="CF10" s="27" t="e">
        <f>IF(AND(CI10,NOT(AD10)),LOOKUP(CF$5,{0,750,1500},H10:J10),"")</f>
        <v>#N/A</v>
      </c>
      <c r="CG10" s="6" t="str">
        <f t="shared" si="8"/>
        <v/>
      </c>
      <c r="CH10" t="e">
        <f t="shared" ref="CH10:CH16" si="37">IF(CI10,IF(ISNUMBER(BO10),BO10,100000)+CV10/10000+IF(ISNUMBER(BJ10),BJ10,2)/10000-P10/100000+ROW()/10000000,"")</f>
        <v>#N/A</v>
      </c>
      <c r="CI10" t="e">
        <f t="shared" ref="CI10:CI16" si="38">PRODUCT(CJ10:CQ10)</f>
        <v>#N/A</v>
      </c>
      <c r="CJ10" s="6" t="e">
        <f t="shared" si="11"/>
        <v>#N/A</v>
      </c>
      <c r="CK10" s="6">
        <f t="shared" si="12"/>
        <v>1</v>
      </c>
      <c r="CL10" s="6">
        <f t="shared" si="26"/>
        <v>1</v>
      </c>
      <c r="CM10" s="6">
        <f t="shared" si="13"/>
        <v>1</v>
      </c>
      <c r="CN10" s="6">
        <f t="shared" si="14"/>
        <v>1</v>
      </c>
      <c r="CO10" s="6">
        <f t="shared" si="15"/>
        <v>1</v>
      </c>
      <c r="CP10" s="6">
        <f t="shared" si="16"/>
        <v>1</v>
      </c>
      <c r="CQ10" s="6">
        <f t="shared" ref="CQ10:CQ16" si="39">IF(CQ$5="Any",1,IF(AND(CQ$5="Med",AV10=0,SUM(AN10:AQ10)=0),1,IF(AND(CQ$5="Low",AV10=0,SUM(AN10:AQ10)=0,AM10=0),1,IF(AND(CQ$5="Flat",AV10=0,SUM(AN10:AQ10)=0,AM10=0,IFERROR(NOT(BE10="Y"),0)),1,0))))</f>
        <v>1</v>
      </c>
      <c r="CR10" s="81" t="str">
        <f t="shared" si="17"/>
        <v/>
      </c>
      <c r="CS10">
        <f t="shared" ref="CS10:CS16" si="40">CS$5*(12/(MIN(12,Q10))-1)</f>
        <v>0</v>
      </c>
      <c r="CT10">
        <f t="shared" si="19"/>
        <v>200</v>
      </c>
      <c r="CU10" t="str">
        <f t="shared" si="29"/>
        <v/>
      </c>
      <c r="CV10" s="81">
        <f t="shared" ref="CV10:CV16" si="41">CT10*IF(CU10="",1,Q10)</f>
        <v>200</v>
      </c>
      <c r="CW10" s="81">
        <f>(CV10/25)^1.5*(Calculator!$BU$4/10000)*CW$5</f>
        <v>58.426389194959008</v>
      </c>
      <c r="CX10" t="str">
        <f t="shared" ref="CX10:CX16" si="42">"$"&amp;IF(LEFT(CU10,1)="r",CT10&amp;"/"&amp;CU10,CV10)</f>
        <v>$200</v>
      </c>
    </row>
    <row r="11" spans="1:102" x14ac:dyDescent="0.25">
      <c r="B11" s="115" t="s">
        <v>233</v>
      </c>
      <c r="C11" s="13">
        <v>46252.407638888886</v>
      </c>
      <c r="D11">
        <v>31929</v>
      </c>
      <c r="E11" s="54" t="s">
        <v>237</v>
      </c>
      <c r="F11" s="54" t="s">
        <v>934</v>
      </c>
      <c r="G11" s="54" t="s">
        <v>1567</v>
      </c>
      <c r="H11" s="55">
        <v>13.100000000000001</v>
      </c>
      <c r="I11" s="55">
        <v>12.2</v>
      </c>
      <c r="J11" s="55">
        <v>11.700000000000001</v>
      </c>
      <c r="K11" s="54"/>
      <c r="L11" s="56" t="b">
        <v>0</v>
      </c>
      <c r="M11" s="56" t="b">
        <v>0</v>
      </c>
      <c r="N11" s="54">
        <v>1</v>
      </c>
      <c r="O11" s="54" t="s">
        <v>228</v>
      </c>
      <c r="P11" s="54">
        <v>25</v>
      </c>
      <c r="Q11" s="54">
        <v>12</v>
      </c>
      <c r="R11" s="54">
        <v>200</v>
      </c>
      <c r="S11" s="54" t="s">
        <v>1568</v>
      </c>
      <c r="T11" s="54" t="s">
        <v>1569</v>
      </c>
      <c r="U11" s="54" t="s">
        <v>1565</v>
      </c>
      <c r="V11" s="54" t="s">
        <v>1570</v>
      </c>
      <c r="W11" s="54" t="b">
        <v>0</v>
      </c>
      <c r="X11" s="54"/>
      <c r="Y11" s="57" t="s">
        <v>1574</v>
      </c>
      <c r="Z11" s="54" t="s">
        <v>1572</v>
      </c>
      <c r="AA11" s="54"/>
      <c r="AB11" s="54" t="s">
        <v>1573</v>
      </c>
      <c r="AC11" s="56" t="b">
        <v>1</v>
      </c>
      <c r="AD11" s="56" t="b">
        <v>0</v>
      </c>
      <c r="AE11" s="54" t="s">
        <v>302</v>
      </c>
      <c r="AF11" s="58">
        <v>46251</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5.2299999999999999E-2</v>
      </c>
      <c r="BC11" s="60">
        <v>4.0599999999999996</v>
      </c>
      <c r="BD11" s="61">
        <v>6.0295000000000001E-2</v>
      </c>
      <c r="BE11" s="62" t="s">
        <v>293</v>
      </c>
      <c r="BF11" s="35">
        <f t="shared" si="0"/>
        <v>4.0600000000000005</v>
      </c>
      <c r="BG11" s="35">
        <f t="shared" si="0"/>
        <v>6.0295000000000001E-2</v>
      </c>
      <c r="BH11" s="35" t="str">
        <f t="shared" si="32"/>
        <v>Med</v>
      </c>
      <c r="BI11" s="110">
        <f t="shared" si="33"/>
        <v>0</v>
      </c>
      <c r="BJ11" s="83">
        <f>VLOOKUP($F11,REP_Info!$D$6:$H$250,5,FALSE)</f>
        <v>2.7330000000000001</v>
      </c>
      <c r="BK11" s="30">
        <f t="shared" si="34"/>
        <v>13.0715</v>
      </c>
      <c r="BL11" s="30">
        <f t="shared" si="34"/>
        <v>12.1655</v>
      </c>
      <c r="BM11" s="30">
        <f t="shared" si="34"/>
        <v>11.7125</v>
      </c>
      <c r="BN11" s="29">
        <f t="shared" si="34"/>
        <v>11.561500000000001</v>
      </c>
      <c r="BO11" s="85" t="str">
        <f t="shared" si="2"/>
        <v>$$$</v>
      </c>
      <c r="BP11" s="88" t="str">
        <f t="shared" si="35"/>
        <v>$$$</v>
      </c>
      <c r="BQ11" s="88" t="str">
        <f t="shared" si="4"/>
        <v>$$$</v>
      </c>
      <c r="BR11" s="88" t="str">
        <f t="shared" si="5"/>
        <v>$$$</v>
      </c>
      <c r="BS11" s="29" t="e">
        <f t="shared" si="36"/>
        <v>#N/A</v>
      </c>
      <c r="BT11" s="29" t="e">
        <f t="shared" si="36"/>
        <v>#N/A</v>
      </c>
      <c r="BU11" s="29" t="e">
        <f t="shared" si="36"/>
        <v>#N/A</v>
      </c>
      <c r="BV11" s="29" t="e">
        <f t="shared" si="36"/>
        <v>#N/A</v>
      </c>
      <c r="BW11" s="29" t="e">
        <f t="shared" si="36"/>
        <v>#N/A</v>
      </c>
      <c r="BX11" s="29" t="e">
        <f t="shared" si="36"/>
        <v>#N/A</v>
      </c>
      <c r="BY11" s="29" t="e">
        <f t="shared" si="36"/>
        <v>#N/A</v>
      </c>
      <c r="BZ11" s="29" t="e">
        <f t="shared" si="36"/>
        <v>#N/A</v>
      </c>
      <c r="CA11" s="29" t="e">
        <f t="shared" si="36"/>
        <v>#N/A</v>
      </c>
      <c r="CB11" s="29" t="e">
        <f t="shared" si="36"/>
        <v>#N/A</v>
      </c>
      <c r="CC11" s="29" t="e">
        <f t="shared" si="36"/>
        <v>#N/A</v>
      </c>
      <c r="CD11" s="29" t="e">
        <f t="shared" si="36"/>
        <v>#N/A</v>
      </c>
      <c r="CE11" s="6" t="str">
        <f t="shared" si="7"/>
        <v/>
      </c>
      <c r="CF11" s="27" t="e">
        <f>IF(AND(CI11,NOT(AD11)),LOOKUP(CF$5,{0,750,1500},H11:J11),"")</f>
        <v>#N/A</v>
      </c>
      <c r="CG11" s="6" t="str">
        <f t="shared" si="8"/>
        <v/>
      </c>
      <c r="CH11" t="e">
        <f t="shared" si="37"/>
        <v>#N/A</v>
      </c>
      <c r="CI11" t="e">
        <f t="shared" si="38"/>
        <v>#N/A</v>
      </c>
      <c r="CJ11" s="6" t="e">
        <f t="shared" si="11"/>
        <v>#N/A</v>
      </c>
      <c r="CK11" s="6">
        <f t="shared" si="12"/>
        <v>1</v>
      </c>
      <c r="CL11" s="6">
        <f t="shared" si="26"/>
        <v>1</v>
      </c>
      <c r="CM11" s="6">
        <f t="shared" si="13"/>
        <v>1</v>
      </c>
      <c r="CN11" s="6">
        <f t="shared" si="14"/>
        <v>1</v>
      </c>
      <c r="CO11" s="6">
        <f t="shared" si="15"/>
        <v>1</v>
      </c>
      <c r="CP11" s="6">
        <f t="shared" si="16"/>
        <v>1</v>
      </c>
      <c r="CQ11" s="6">
        <f t="shared" si="39"/>
        <v>1</v>
      </c>
      <c r="CR11" s="81" t="str">
        <f t="shared" si="17"/>
        <v/>
      </c>
      <c r="CS11">
        <f t="shared" si="40"/>
        <v>0</v>
      </c>
      <c r="CT11">
        <f t="shared" si="19"/>
        <v>200</v>
      </c>
      <c r="CU11" t="str">
        <f t="shared" si="29"/>
        <v/>
      </c>
      <c r="CV11" s="81">
        <f t="shared" si="41"/>
        <v>200</v>
      </c>
      <c r="CW11" s="81">
        <f>(CV11/25)^1.5*(Calculator!$BU$4/10000)*CW$5</f>
        <v>58.426389194959008</v>
      </c>
      <c r="CX11" t="str">
        <f t="shared" si="42"/>
        <v>$200</v>
      </c>
    </row>
    <row r="12" spans="1:102" x14ac:dyDescent="0.25">
      <c r="B12" s="115" t="s">
        <v>233</v>
      </c>
      <c r="C12" s="13">
        <v>46252.407638888886</v>
      </c>
      <c r="D12">
        <v>34539</v>
      </c>
      <c r="E12" s="54" t="s">
        <v>235</v>
      </c>
      <c r="F12" s="54" t="s">
        <v>934</v>
      </c>
      <c r="G12" s="54" t="s">
        <v>1575</v>
      </c>
      <c r="H12" s="55">
        <v>11.799999999999999</v>
      </c>
      <c r="I12" s="55">
        <v>11.3</v>
      </c>
      <c r="J12" s="55">
        <v>11.1</v>
      </c>
      <c r="K12" s="54"/>
      <c r="L12" s="56" t="b">
        <v>0</v>
      </c>
      <c r="M12" s="56" t="b">
        <v>0</v>
      </c>
      <c r="N12" s="54">
        <v>1</v>
      </c>
      <c r="O12" s="54" t="s">
        <v>228</v>
      </c>
      <c r="P12" s="54">
        <v>25</v>
      </c>
      <c r="Q12" s="54">
        <v>12</v>
      </c>
      <c r="R12" s="54">
        <v>200</v>
      </c>
      <c r="S12" s="54" t="s">
        <v>1568</v>
      </c>
      <c r="T12" s="54" t="s">
        <v>1569</v>
      </c>
      <c r="U12" s="54" t="s">
        <v>1565</v>
      </c>
      <c r="V12" s="54" t="s">
        <v>1570</v>
      </c>
      <c r="W12" s="54" t="b">
        <v>0</v>
      </c>
      <c r="X12" s="54"/>
      <c r="Y12" s="57" t="s">
        <v>1576</v>
      </c>
      <c r="Z12" s="54" t="s">
        <v>1572</v>
      </c>
      <c r="AA12" s="54"/>
      <c r="AB12" s="54" t="s">
        <v>1573</v>
      </c>
      <c r="AC12" s="56" t="b">
        <v>1</v>
      </c>
      <c r="AD12" s="56" t="b">
        <v>0</v>
      </c>
      <c r="AE12" s="54" t="s">
        <v>302</v>
      </c>
      <c r="AF12" s="58">
        <v>46251</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5.7099999999999998E-2</v>
      </c>
      <c r="BC12" s="60">
        <v>4.9000000000000004</v>
      </c>
      <c r="BD12" s="61">
        <v>5.1461E-2</v>
      </c>
      <c r="BE12" s="62" t="s">
        <v>293</v>
      </c>
      <c r="BF12" s="35">
        <f t="shared" si="0"/>
        <v>4.9000000000000004</v>
      </c>
      <c r="BG12" s="35">
        <f t="shared" si="0"/>
        <v>4.9811000000000001E-2</v>
      </c>
      <c r="BH12" s="35" t="str">
        <f t="shared" si="32"/>
        <v>Low</v>
      </c>
      <c r="BI12" s="110">
        <f t="shared" si="33"/>
        <v>0</v>
      </c>
      <c r="BJ12" s="83">
        <f>VLOOKUP($F12,REP_Info!$D$6:$H$250,5,FALSE)</f>
        <v>2.7330000000000001</v>
      </c>
      <c r="BK12" s="30">
        <f t="shared" si="34"/>
        <v>11.671100000000003</v>
      </c>
      <c r="BL12" s="30">
        <f t="shared" si="34"/>
        <v>11.181100000000001</v>
      </c>
      <c r="BM12" s="30">
        <f t="shared" si="34"/>
        <v>10.9361</v>
      </c>
      <c r="BN12" s="29">
        <f t="shared" si="34"/>
        <v>10.854433333333333</v>
      </c>
      <c r="BO12" s="85" t="str">
        <f t="shared" si="2"/>
        <v>$$$</v>
      </c>
      <c r="BP12" s="88" t="str">
        <f t="shared" si="35"/>
        <v>$$$</v>
      </c>
      <c r="BQ12" s="88" t="str">
        <f t="shared" si="4"/>
        <v>$$$</v>
      </c>
      <c r="BR12" s="88" t="str">
        <f t="shared" si="5"/>
        <v>$$$</v>
      </c>
      <c r="BS12" s="29" t="e">
        <f t="shared" si="36"/>
        <v>#N/A</v>
      </c>
      <c r="BT12" s="29" t="e">
        <f t="shared" si="36"/>
        <v>#N/A</v>
      </c>
      <c r="BU12" s="29" t="e">
        <f t="shared" si="36"/>
        <v>#N/A</v>
      </c>
      <c r="BV12" s="29" t="e">
        <f t="shared" si="36"/>
        <v>#N/A</v>
      </c>
      <c r="BW12" s="29" t="e">
        <f t="shared" si="36"/>
        <v>#N/A</v>
      </c>
      <c r="BX12" s="29" t="e">
        <f t="shared" si="36"/>
        <v>#N/A</v>
      </c>
      <c r="BY12" s="29" t="e">
        <f t="shared" si="36"/>
        <v>#N/A</v>
      </c>
      <c r="BZ12" s="29" t="e">
        <f t="shared" si="36"/>
        <v>#N/A</v>
      </c>
      <c r="CA12" s="29" t="e">
        <f t="shared" si="36"/>
        <v>#N/A</v>
      </c>
      <c r="CB12" s="29" t="e">
        <f t="shared" si="36"/>
        <v>#N/A</v>
      </c>
      <c r="CC12" s="29" t="e">
        <f t="shared" si="36"/>
        <v>#N/A</v>
      </c>
      <c r="CD12" s="29" t="e">
        <f t="shared" si="36"/>
        <v>#N/A</v>
      </c>
      <c r="CE12" s="6" t="str">
        <f t="shared" si="7"/>
        <v/>
      </c>
      <c r="CF12" s="27" t="e">
        <f>IF(AND(CI12,NOT(AD12)),LOOKUP(CF$5,{0,750,1500},H12:J12),"")</f>
        <v>#N/A</v>
      </c>
      <c r="CG12" s="6" t="str">
        <f t="shared" si="8"/>
        <v/>
      </c>
      <c r="CH12" t="e">
        <f t="shared" si="37"/>
        <v>#N/A</v>
      </c>
      <c r="CI12" t="e">
        <f t="shared" si="38"/>
        <v>#N/A</v>
      </c>
      <c r="CJ12" s="6" t="e">
        <f t="shared" si="11"/>
        <v>#N/A</v>
      </c>
      <c r="CK12" s="6">
        <f t="shared" si="12"/>
        <v>1</v>
      </c>
      <c r="CL12" s="6">
        <f t="shared" si="26"/>
        <v>1</v>
      </c>
      <c r="CM12" s="6">
        <f t="shared" si="13"/>
        <v>1</v>
      </c>
      <c r="CN12" s="6">
        <f t="shared" si="14"/>
        <v>1</v>
      </c>
      <c r="CO12" s="6">
        <f t="shared" si="15"/>
        <v>1</v>
      </c>
      <c r="CP12" s="6">
        <f t="shared" si="16"/>
        <v>1</v>
      </c>
      <c r="CQ12" s="6">
        <f t="shared" si="39"/>
        <v>1</v>
      </c>
      <c r="CR12" s="81" t="str">
        <f t="shared" si="17"/>
        <v/>
      </c>
      <c r="CS12">
        <f t="shared" si="40"/>
        <v>0</v>
      </c>
      <c r="CT12">
        <f t="shared" si="19"/>
        <v>200</v>
      </c>
      <c r="CU12" t="str">
        <f t="shared" si="29"/>
        <v/>
      </c>
      <c r="CV12" s="81">
        <f t="shared" si="41"/>
        <v>200</v>
      </c>
      <c r="CW12" s="81">
        <f>(CV12/25)^1.5*(Calculator!$BU$4/10000)*CW$5</f>
        <v>58.426389194959008</v>
      </c>
      <c r="CX12" t="str">
        <f t="shared" si="42"/>
        <v>$200</v>
      </c>
    </row>
    <row r="13" spans="1:102" x14ac:dyDescent="0.25">
      <c r="B13" s="115" t="s">
        <v>233</v>
      </c>
      <c r="C13" s="13">
        <v>46252.407638888886</v>
      </c>
      <c r="D13">
        <v>34695</v>
      </c>
      <c r="E13" s="54" t="s">
        <v>237</v>
      </c>
      <c r="F13" s="54" t="s">
        <v>934</v>
      </c>
      <c r="G13" s="54" t="s">
        <v>1575</v>
      </c>
      <c r="H13" s="55">
        <v>12.5</v>
      </c>
      <c r="I13" s="55">
        <v>12.1</v>
      </c>
      <c r="J13" s="55">
        <v>11.899999999999999</v>
      </c>
      <c r="K13" s="54"/>
      <c r="L13" s="56" t="b">
        <v>0</v>
      </c>
      <c r="M13" s="56" t="b">
        <v>0</v>
      </c>
      <c r="N13" s="54">
        <v>1</v>
      </c>
      <c r="O13" s="54" t="s">
        <v>228</v>
      </c>
      <c r="P13" s="54">
        <v>25</v>
      </c>
      <c r="Q13" s="54">
        <v>12</v>
      </c>
      <c r="R13" s="54">
        <v>200</v>
      </c>
      <c r="S13" s="54" t="s">
        <v>1568</v>
      </c>
      <c r="T13" s="54" t="s">
        <v>1569</v>
      </c>
      <c r="U13" s="54" t="s">
        <v>1565</v>
      </c>
      <c r="V13" s="54" t="s">
        <v>1570</v>
      </c>
      <c r="W13" s="54" t="b">
        <v>0</v>
      </c>
      <c r="X13" s="54"/>
      <c r="Y13" s="57" t="s">
        <v>1577</v>
      </c>
      <c r="Z13" s="54" t="s">
        <v>1572</v>
      </c>
      <c r="AA13" s="54"/>
      <c r="AB13" s="54" t="s">
        <v>1573</v>
      </c>
      <c r="AC13" s="56" t="b">
        <v>1</v>
      </c>
      <c r="AD13" s="56" t="b">
        <v>0</v>
      </c>
      <c r="AE13" s="54" t="s">
        <v>302</v>
      </c>
      <c r="AF13" s="58">
        <v>46251</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5.6300000000000003E-2</v>
      </c>
      <c r="BC13" s="60">
        <v>4.0599999999999996</v>
      </c>
      <c r="BD13" s="61">
        <v>6.0295000000000001E-2</v>
      </c>
      <c r="BE13" s="62" t="s">
        <v>293</v>
      </c>
      <c r="BF13" s="35">
        <f t="shared" ref="BF13:BG16" si="43">IF($E13=$E$4,BF$4,IF($E13=$E$5,BF$5,""))</f>
        <v>4.0600000000000005</v>
      </c>
      <c r="BG13" s="35">
        <f t="shared" si="43"/>
        <v>6.0295000000000001E-2</v>
      </c>
      <c r="BH13" s="35" t="str">
        <f t="shared" si="32"/>
        <v>Low</v>
      </c>
      <c r="BI13" s="110">
        <f t="shared" si="33"/>
        <v>0</v>
      </c>
      <c r="BJ13" s="83">
        <f>VLOOKUP($F13,REP_Info!$D$6:$H$250,5,FALSE)</f>
        <v>2.7330000000000001</v>
      </c>
      <c r="BK13" s="30">
        <f t="shared" si="34"/>
        <v>12.471500000000001</v>
      </c>
      <c r="BL13" s="30">
        <f t="shared" si="34"/>
        <v>12.0655</v>
      </c>
      <c r="BM13" s="30">
        <f t="shared" si="34"/>
        <v>11.862500000000001</v>
      </c>
      <c r="BN13" s="29">
        <f t="shared" si="34"/>
        <v>11.794833333333333</v>
      </c>
      <c r="BO13" s="85" t="str">
        <f t="shared" ref="BO13:BO16" si="44">IFERROR(SUMPRODUCT($BS$7:$CD$7,$BS13:$CD13)/100,"$$$")</f>
        <v>$$$</v>
      </c>
      <c r="BP13" s="88" t="str">
        <f t="shared" si="35"/>
        <v>$$$</v>
      </c>
      <c r="BQ13" s="88" t="str">
        <f t="shared" ref="BQ13:BQ16" si="45">IFERROR(SUMPRODUCT($BS$7:$CD$7,$BS13:$CD13,--($BS$4:$CD$4&lt;=$Q13))/SUMPRODUCT(--($BS$4:$CD$4&lt;=$Q13),$BS$7:$CD$7),"$$$")</f>
        <v>$$$</v>
      </c>
      <c r="BR13" s="88" t="str">
        <f t="shared" ref="BR13:BR16" si="46">IFERROR($BQ13-$BF13*100*SUMPRODUCT(--($BS$4:$CD$4&lt;=$Q13))/SUMPRODUCT(--($BS$4:$CD$4&lt;=$Q13),$BS$7:$CD$7)-$BG13*100,"$$$")</f>
        <v>$$$</v>
      </c>
      <c r="BS13" s="29" t="e">
        <f t="shared" si="36"/>
        <v>#N/A</v>
      </c>
      <c r="BT13" s="29" t="e">
        <f t="shared" si="36"/>
        <v>#N/A</v>
      </c>
      <c r="BU13" s="29" t="e">
        <f t="shared" si="36"/>
        <v>#N/A</v>
      </c>
      <c r="BV13" s="29" t="e">
        <f t="shared" si="36"/>
        <v>#N/A</v>
      </c>
      <c r="BW13" s="29" t="e">
        <f t="shared" si="36"/>
        <v>#N/A</v>
      </c>
      <c r="BX13" s="29" t="e">
        <f t="shared" si="36"/>
        <v>#N/A</v>
      </c>
      <c r="BY13" s="29" t="e">
        <f t="shared" si="36"/>
        <v>#N/A</v>
      </c>
      <c r="BZ13" s="29" t="e">
        <f t="shared" si="36"/>
        <v>#N/A</v>
      </c>
      <c r="CA13" s="29" t="e">
        <f t="shared" si="36"/>
        <v>#N/A</v>
      </c>
      <c r="CB13" s="29" t="e">
        <f t="shared" si="36"/>
        <v>#N/A</v>
      </c>
      <c r="CC13" s="29" t="e">
        <f t="shared" si="36"/>
        <v>#N/A</v>
      </c>
      <c r="CD13" s="29" t="e">
        <f t="shared" si="36"/>
        <v>#N/A</v>
      </c>
      <c r="CE13" s="6" t="str">
        <f t="shared" si="7"/>
        <v/>
      </c>
      <c r="CF13" s="27" t="e">
        <f>IF(AND(CI13,NOT(AD13)),LOOKUP(CF$5,{0,750,1500},H13:J13),"")</f>
        <v>#N/A</v>
      </c>
      <c r="CG13" s="6" t="str">
        <f t="shared" si="8"/>
        <v/>
      </c>
      <c r="CH13" t="e">
        <f t="shared" si="37"/>
        <v>#N/A</v>
      </c>
      <c r="CI13" t="e">
        <f t="shared" si="38"/>
        <v>#N/A</v>
      </c>
      <c r="CJ13" s="6" t="e">
        <f t="shared" ref="CJ13:CJ16" si="47">IF($E13=CJ$5,1,0)</f>
        <v>#N/A</v>
      </c>
      <c r="CK13" s="6">
        <f t="shared" ref="CK13:CK16" si="48">IF(CK$5="[Any]",1,IF($F13=CK$5,1,0))</f>
        <v>1</v>
      </c>
      <c r="CL13" s="6">
        <f t="shared" ref="CL13:CL16" si="49">IFERROR(--OR(ISBLANK(CL$5),$BJ13="",AND(ISNUMBER($BJ13),$BJ13&lt;=CL$5)),1)</f>
        <v>1</v>
      </c>
      <c r="CM13" s="6">
        <f t="shared" ref="CM13:CM16" si="50">IF($O13="Fixed",1,0)</f>
        <v>1</v>
      </c>
      <c r="CN13" s="6">
        <f t="shared" ref="CN13:CN16" si="51">IF($Q13&gt;=CN$5,1,0)</f>
        <v>1</v>
      </c>
      <c r="CO13" s="6">
        <f t="shared" ref="CO13:CO16" si="52">IF($Q13&lt;=CO$5,1,0)</f>
        <v>1</v>
      </c>
      <c r="CP13" s="6">
        <f t="shared" ref="CP13:CP16" si="53">IF($P13&gt;=CP$5,1,0)</f>
        <v>1</v>
      </c>
      <c r="CQ13" s="6">
        <f t="shared" si="39"/>
        <v>1</v>
      </c>
      <c r="CR13" s="81" t="str">
        <f t="shared" ref="CR13:CR16" si="54">IF(ISNUMBER($CH13),$CH13+$CS13+$CW13,"")</f>
        <v/>
      </c>
      <c r="CS13">
        <f t="shared" si="40"/>
        <v>0</v>
      </c>
      <c r="CT13">
        <f t="shared" si="19"/>
        <v>200</v>
      </c>
      <c r="CU13" t="str">
        <f t="shared" ref="CU13:CU16" si="55">IF(AND(ISERR(FIND("remain",$R13)),ISERR(FIND("left",$R13))),"","r")&amp;IF(ISERR(FIND("mon",$R13)),"","m")</f>
        <v/>
      </c>
      <c r="CV13" s="81">
        <f t="shared" si="41"/>
        <v>200</v>
      </c>
      <c r="CW13" s="81">
        <f>(CV13/25)^1.5*(Calculator!$BU$4/10000)*CW$5</f>
        <v>58.426389194959008</v>
      </c>
      <c r="CX13" t="str">
        <f t="shared" si="42"/>
        <v>$200</v>
      </c>
    </row>
    <row r="14" spans="1:102" x14ac:dyDescent="0.25">
      <c r="B14" s="115" t="s">
        <v>233</v>
      </c>
      <c r="C14" s="13">
        <v>46252.407638888886</v>
      </c>
      <c r="D14">
        <v>35308</v>
      </c>
      <c r="E14" s="54" t="s">
        <v>235</v>
      </c>
      <c r="F14" s="54" t="s">
        <v>934</v>
      </c>
      <c r="G14" s="54" t="s">
        <v>1578</v>
      </c>
      <c r="H14" s="55">
        <v>12.9</v>
      </c>
      <c r="I14" s="55">
        <v>11.899999999999999</v>
      </c>
      <c r="J14" s="55">
        <v>11.5</v>
      </c>
      <c r="K14" s="54"/>
      <c r="L14" s="56" t="b">
        <v>0</v>
      </c>
      <c r="M14" s="56" t="b">
        <v>0</v>
      </c>
      <c r="N14" s="54">
        <v>1</v>
      </c>
      <c r="O14" s="54" t="s">
        <v>228</v>
      </c>
      <c r="P14" s="54">
        <v>100</v>
      </c>
      <c r="Q14" s="54">
        <v>12</v>
      </c>
      <c r="R14" s="54">
        <v>200</v>
      </c>
      <c r="S14" s="54" t="s">
        <v>1568</v>
      </c>
      <c r="T14" s="54" t="s">
        <v>1569</v>
      </c>
      <c r="U14" s="54" t="s">
        <v>1565</v>
      </c>
      <c r="V14" s="54" t="s">
        <v>1570</v>
      </c>
      <c r="W14" s="54" t="b">
        <v>0</v>
      </c>
      <c r="X14" s="54"/>
      <c r="Y14" s="57" t="s">
        <v>1579</v>
      </c>
      <c r="Z14" s="54" t="s">
        <v>1572</v>
      </c>
      <c r="AA14" s="54"/>
      <c r="AB14" s="54" t="s">
        <v>1573</v>
      </c>
      <c r="AC14" s="56" t="b">
        <v>1</v>
      </c>
      <c r="AD14" s="56" t="b">
        <v>0</v>
      </c>
      <c r="AE14" s="54" t="s">
        <v>302</v>
      </c>
      <c r="AF14" s="58">
        <v>46251</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5.8099999999999999E-2</v>
      </c>
      <c r="BC14" s="60">
        <v>4.9000000000000004</v>
      </c>
      <c r="BD14" s="61">
        <v>5.1461E-2</v>
      </c>
      <c r="BE14" s="62" t="s">
        <v>293</v>
      </c>
      <c r="BF14" s="35">
        <f t="shared" si="43"/>
        <v>4.9000000000000004</v>
      </c>
      <c r="BG14" s="35">
        <f t="shared" si="43"/>
        <v>4.9811000000000001E-2</v>
      </c>
      <c r="BH14" s="35" t="str">
        <f t="shared" si="32"/>
        <v>Med</v>
      </c>
      <c r="BI14" s="110">
        <f t="shared" si="33"/>
        <v>0</v>
      </c>
      <c r="BJ14" s="83">
        <f>VLOOKUP($F14,REP_Info!$D$6:$H$250,5,FALSE)</f>
        <v>2.7330000000000001</v>
      </c>
      <c r="BK14" s="30">
        <f t="shared" si="34"/>
        <v>12.771099999999999</v>
      </c>
      <c r="BL14" s="30">
        <f t="shared" si="34"/>
        <v>11.7811</v>
      </c>
      <c r="BM14" s="30">
        <f t="shared" si="34"/>
        <v>11.286100000000001</v>
      </c>
      <c r="BN14" s="29">
        <f t="shared" si="34"/>
        <v>11.121099999999998</v>
      </c>
      <c r="BO14" s="85" t="str">
        <f t="shared" si="44"/>
        <v>$$$</v>
      </c>
      <c r="BP14" s="88" t="str">
        <f t="shared" si="35"/>
        <v>$$$</v>
      </c>
      <c r="BQ14" s="88" t="str">
        <f t="shared" si="45"/>
        <v>$$$</v>
      </c>
      <c r="BR14" s="88" t="str">
        <f t="shared" si="46"/>
        <v>$$$</v>
      </c>
      <c r="BS14" s="29" t="e">
        <f t="shared" si="36"/>
        <v>#N/A</v>
      </c>
      <c r="BT14" s="29" t="e">
        <f t="shared" si="36"/>
        <v>#N/A</v>
      </c>
      <c r="BU14" s="29" t="e">
        <f t="shared" si="36"/>
        <v>#N/A</v>
      </c>
      <c r="BV14" s="29" t="e">
        <f t="shared" si="36"/>
        <v>#N/A</v>
      </c>
      <c r="BW14" s="29" t="e">
        <f t="shared" si="36"/>
        <v>#N/A</v>
      </c>
      <c r="BX14" s="29" t="e">
        <f t="shared" si="36"/>
        <v>#N/A</v>
      </c>
      <c r="BY14" s="29" t="e">
        <f t="shared" si="36"/>
        <v>#N/A</v>
      </c>
      <c r="BZ14" s="29" t="e">
        <f t="shared" si="36"/>
        <v>#N/A</v>
      </c>
      <c r="CA14" s="29" t="e">
        <f t="shared" si="36"/>
        <v>#N/A</v>
      </c>
      <c r="CB14" s="29" t="e">
        <f t="shared" si="36"/>
        <v>#N/A</v>
      </c>
      <c r="CC14" s="29" t="e">
        <f t="shared" si="36"/>
        <v>#N/A</v>
      </c>
      <c r="CD14" s="29" t="e">
        <f t="shared" si="36"/>
        <v>#N/A</v>
      </c>
      <c r="CE14" s="6" t="str">
        <f t="shared" si="7"/>
        <v/>
      </c>
      <c r="CF14" s="27" t="e">
        <f>IF(AND(CI14,NOT(AD14)),LOOKUP(CF$5,{0,750,1500},H14:J14),"")</f>
        <v>#N/A</v>
      </c>
      <c r="CG14" s="6" t="str">
        <f t="shared" si="8"/>
        <v/>
      </c>
      <c r="CH14" t="e">
        <f t="shared" si="37"/>
        <v>#N/A</v>
      </c>
      <c r="CI14" t="e">
        <f t="shared" si="38"/>
        <v>#N/A</v>
      </c>
      <c r="CJ14" s="6" t="e">
        <f t="shared" si="47"/>
        <v>#N/A</v>
      </c>
      <c r="CK14" s="6">
        <f t="shared" si="48"/>
        <v>1</v>
      </c>
      <c r="CL14" s="6">
        <f t="shared" si="49"/>
        <v>1</v>
      </c>
      <c r="CM14" s="6">
        <f t="shared" si="50"/>
        <v>1</v>
      </c>
      <c r="CN14" s="6">
        <f t="shared" si="51"/>
        <v>1</v>
      </c>
      <c r="CO14" s="6">
        <f t="shared" si="52"/>
        <v>1</v>
      </c>
      <c r="CP14" s="6">
        <f t="shared" si="53"/>
        <v>1</v>
      </c>
      <c r="CQ14" s="6">
        <f t="shared" si="39"/>
        <v>1</v>
      </c>
      <c r="CR14" s="81" t="str">
        <f t="shared" si="54"/>
        <v/>
      </c>
      <c r="CS14">
        <f t="shared" si="40"/>
        <v>0</v>
      </c>
      <c r="CT14">
        <f t="shared" si="19"/>
        <v>200</v>
      </c>
      <c r="CU14" t="str">
        <f t="shared" si="55"/>
        <v/>
      </c>
      <c r="CV14" s="81">
        <f t="shared" si="41"/>
        <v>200</v>
      </c>
      <c r="CW14" s="81">
        <f>(CV14/25)^1.5*(Calculator!$BU$4/10000)*CW$5</f>
        <v>58.426389194959008</v>
      </c>
      <c r="CX14" t="str">
        <f t="shared" si="42"/>
        <v>$200</v>
      </c>
    </row>
    <row r="15" spans="1:102" x14ac:dyDescent="0.25">
      <c r="B15" s="115" t="s">
        <v>233</v>
      </c>
      <c r="C15" s="13">
        <v>46252.407638888886</v>
      </c>
      <c r="D15">
        <v>35310</v>
      </c>
      <c r="E15" s="54" t="s">
        <v>237</v>
      </c>
      <c r="F15" s="54" t="s">
        <v>934</v>
      </c>
      <c r="G15" s="54" t="s">
        <v>1578</v>
      </c>
      <c r="H15" s="55">
        <v>13.600000000000001</v>
      </c>
      <c r="I15" s="55">
        <v>12.7</v>
      </c>
      <c r="J15" s="55">
        <v>12.2</v>
      </c>
      <c r="K15" s="54"/>
      <c r="L15" s="56" t="b">
        <v>0</v>
      </c>
      <c r="M15" s="56" t="b">
        <v>0</v>
      </c>
      <c r="N15" s="54">
        <v>1</v>
      </c>
      <c r="O15" s="54" t="s">
        <v>228</v>
      </c>
      <c r="P15" s="54">
        <v>100</v>
      </c>
      <c r="Q15" s="54">
        <v>12</v>
      </c>
      <c r="R15" s="54">
        <v>200</v>
      </c>
      <c r="S15" s="54" t="s">
        <v>1568</v>
      </c>
      <c r="T15" s="54" t="s">
        <v>1569</v>
      </c>
      <c r="U15" s="54" t="s">
        <v>1565</v>
      </c>
      <c r="V15" s="54" t="s">
        <v>1570</v>
      </c>
      <c r="W15" s="54" t="b">
        <v>0</v>
      </c>
      <c r="X15" s="54"/>
      <c r="Y15" s="57" t="s">
        <v>1580</v>
      </c>
      <c r="Z15" s="54" t="s">
        <v>1572</v>
      </c>
      <c r="AA15" s="54"/>
      <c r="AB15" s="54" t="s">
        <v>1573</v>
      </c>
      <c r="AC15" s="56" t="b">
        <v>1</v>
      </c>
      <c r="AD15" s="56" t="b">
        <v>0</v>
      </c>
      <c r="AE15" s="54" t="s">
        <v>302</v>
      </c>
      <c r="AF15" s="58">
        <v>46251</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5.7299999999999997E-2</v>
      </c>
      <c r="BC15" s="60">
        <v>4.0599999999999996</v>
      </c>
      <c r="BD15" s="61">
        <v>6.0295000000000001E-2</v>
      </c>
      <c r="BE15" s="62" t="s">
        <v>293</v>
      </c>
      <c r="BF15" s="35">
        <f t="shared" si="43"/>
        <v>4.0600000000000005</v>
      </c>
      <c r="BG15" s="35">
        <f t="shared" si="43"/>
        <v>6.0295000000000001E-2</v>
      </c>
      <c r="BH15" s="35" t="str">
        <f t="shared" si="32"/>
        <v>Med</v>
      </c>
      <c r="BI15" s="110">
        <f t="shared" si="33"/>
        <v>0</v>
      </c>
      <c r="BJ15" s="83">
        <f>VLOOKUP($F15,REP_Info!$D$6:$H$250,5,FALSE)</f>
        <v>2.7330000000000001</v>
      </c>
      <c r="BK15" s="30">
        <f t="shared" si="34"/>
        <v>13.5715</v>
      </c>
      <c r="BL15" s="30">
        <f t="shared" si="34"/>
        <v>12.6655</v>
      </c>
      <c r="BM15" s="30">
        <f t="shared" si="34"/>
        <v>12.2125</v>
      </c>
      <c r="BN15" s="29">
        <f t="shared" si="34"/>
        <v>12.061500000000001</v>
      </c>
      <c r="BO15" s="85" t="str">
        <f t="shared" si="44"/>
        <v>$$$</v>
      </c>
      <c r="BP15" s="88" t="str">
        <f t="shared" si="35"/>
        <v>$$$</v>
      </c>
      <c r="BQ15" s="88" t="str">
        <f t="shared" si="45"/>
        <v>$$$</v>
      </c>
      <c r="BR15" s="88" t="str">
        <f t="shared" si="46"/>
        <v>$$$</v>
      </c>
      <c r="BS15" s="29" t="e">
        <f t="shared" si="36"/>
        <v>#N/A</v>
      </c>
      <c r="BT15" s="29" t="e">
        <f t="shared" si="36"/>
        <v>#N/A</v>
      </c>
      <c r="BU15" s="29" t="e">
        <f t="shared" si="36"/>
        <v>#N/A</v>
      </c>
      <c r="BV15" s="29" t="e">
        <f t="shared" si="36"/>
        <v>#N/A</v>
      </c>
      <c r="BW15" s="29" t="e">
        <f t="shared" si="36"/>
        <v>#N/A</v>
      </c>
      <c r="BX15" s="29" t="e">
        <f t="shared" si="36"/>
        <v>#N/A</v>
      </c>
      <c r="BY15" s="29" t="e">
        <f t="shared" si="36"/>
        <v>#N/A</v>
      </c>
      <c r="BZ15" s="29" t="e">
        <f t="shared" si="36"/>
        <v>#N/A</v>
      </c>
      <c r="CA15" s="29" t="e">
        <f t="shared" si="36"/>
        <v>#N/A</v>
      </c>
      <c r="CB15" s="29" t="e">
        <f t="shared" si="36"/>
        <v>#N/A</v>
      </c>
      <c r="CC15" s="29" t="e">
        <f t="shared" si="36"/>
        <v>#N/A</v>
      </c>
      <c r="CD15" s="29" t="e">
        <f t="shared" si="36"/>
        <v>#N/A</v>
      </c>
      <c r="CE15" s="6" t="str">
        <f t="shared" si="7"/>
        <v/>
      </c>
      <c r="CF15" s="27" t="e">
        <f>IF(AND(CI15,NOT(AD15)),LOOKUP(CF$5,{0,750,1500},H15:J15),"")</f>
        <v>#N/A</v>
      </c>
      <c r="CG15" s="6" t="str">
        <f t="shared" si="8"/>
        <v/>
      </c>
      <c r="CH15" t="e">
        <f t="shared" si="37"/>
        <v>#N/A</v>
      </c>
      <c r="CI15" t="e">
        <f t="shared" si="38"/>
        <v>#N/A</v>
      </c>
      <c r="CJ15" s="6" t="e">
        <f t="shared" si="47"/>
        <v>#N/A</v>
      </c>
      <c r="CK15" s="6">
        <f t="shared" si="48"/>
        <v>1</v>
      </c>
      <c r="CL15" s="6">
        <f t="shared" si="49"/>
        <v>1</v>
      </c>
      <c r="CM15" s="6">
        <f t="shared" si="50"/>
        <v>1</v>
      </c>
      <c r="CN15" s="6">
        <f t="shared" si="51"/>
        <v>1</v>
      </c>
      <c r="CO15" s="6">
        <f t="shared" si="52"/>
        <v>1</v>
      </c>
      <c r="CP15" s="6">
        <f t="shared" si="53"/>
        <v>1</v>
      </c>
      <c r="CQ15" s="6">
        <f t="shared" si="39"/>
        <v>1</v>
      </c>
      <c r="CR15" s="81" t="str">
        <f t="shared" si="54"/>
        <v/>
      </c>
      <c r="CS15">
        <f t="shared" si="40"/>
        <v>0</v>
      </c>
      <c r="CT15">
        <f t="shared" si="19"/>
        <v>200</v>
      </c>
      <c r="CU15" t="str">
        <f t="shared" si="55"/>
        <v/>
      </c>
      <c r="CV15" s="81">
        <f t="shared" si="41"/>
        <v>200</v>
      </c>
      <c r="CW15" s="81">
        <f>(CV15/25)^1.5*(Calculator!$BU$4/10000)*CW$5</f>
        <v>58.426389194959008</v>
      </c>
      <c r="CX15" t="str">
        <f t="shared" si="42"/>
        <v>$200</v>
      </c>
    </row>
    <row r="16" spans="1:102" x14ac:dyDescent="0.25">
      <c r="B16" s="115" t="s">
        <v>233</v>
      </c>
      <c r="C16" s="13">
        <v>46252.407638888886</v>
      </c>
      <c r="D16">
        <v>35623</v>
      </c>
      <c r="E16" s="54" t="s">
        <v>237</v>
      </c>
      <c r="F16" s="54" t="s">
        <v>934</v>
      </c>
      <c r="G16" s="54" t="s">
        <v>1890</v>
      </c>
      <c r="H16" s="55">
        <v>11.899999999999999</v>
      </c>
      <c r="I16" s="55">
        <v>11</v>
      </c>
      <c r="J16" s="55">
        <v>10.6</v>
      </c>
      <c r="K16" s="54"/>
      <c r="L16" s="56" t="b">
        <v>0</v>
      </c>
      <c r="M16" s="56" t="b">
        <v>0</v>
      </c>
      <c r="N16" s="54">
        <v>1</v>
      </c>
      <c r="O16" s="54" t="s">
        <v>228</v>
      </c>
      <c r="P16" s="54">
        <v>25</v>
      </c>
      <c r="Q16" s="54">
        <v>3</v>
      </c>
      <c r="R16" s="54">
        <v>200</v>
      </c>
      <c r="S16" s="54" t="s">
        <v>1568</v>
      </c>
      <c r="T16" s="54" t="s">
        <v>1569</v>
      </c>
      <c r="U16" s="54" t="s">
        <v>1565</v>
      </c>
      <c r="V16" s="54" t="s">
        <v>1570</v>
      </c>
      <c r="W16" s="54" t="b">
        <v>0</v>
      </c>
      <c r="X16" s="54"/>
      <c r="Y16" s="57" t="s">
        <v>1891</v>
      </c>
      <c r="Z16" s="54" t="s">
        <v>1572</v>
      </c>
      <c r="AA16" s="54"/>
      <c r="AB16" s="54" t="s">
        <v>1573</v>
      </c>
      <c r="AC16" s="56" t="b">
        <v>1</v>
      </c>
      <c r="AD16" s="56" t="b">
        <v>0</v>
      </c>
      <c r="AE16" s="54" t="s">
        <v>302</v>
      </c>
      <c r="AF16" s="58">
        <v>46251</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4.07E-2</v>
      </c>
      <c r="BC16" s="60">
        <v>4.0599999999999996</v>
      </c>
      <c r="BD16" s="61">
        <v>6.0295000000000001E-2</v>
      </c>
      <c r="BE16" s="62" t="s">
        <v>293</v>
      </c>
      <c r="BF16" s="35">
        <f t="shared" si="43"/>
        <v>4.0600000000000005</v>
      </c>
      <c r="BG16" s="35">
        <f t="shared" si="43"/>
        <v>6.0295000000000001E-2</v>
      </c>
      <c r="BH16" s="35" t="str">
        <f t="shared" si="32"/>
        <v>Med</v>
      </c>
      <c r="BI16" s="110">
        <f t="shared" si="33"/>
        <v>0</v>
      </c>
      <c r="BJ16" s="83">
        <f>VLOOKUP($F16,REP_Info!$D$6:$H$250,5,FALSE)</f>
        <v>2.7330000000000001</v>
      </c>
      <c r="BK16" s="30">
        <f t="shared" si="34"/>
        <v>11.9115</v>
      </c>
      <c r="BL16" s="30">
        <f t="shared" si="34"/>
        <v>11.0055</v>
      </c>
      <c r="BM16" s="30">
        <f t="shared" si="34"/>
        <v>10.5525</v>
      </c>
      <c r="BN16" s="29">
        <f t="shared" si="34"/>
        <v>10.401499999999999</v>
      </c>
      <c r="BO16" s="85" t="str">
        <f t="shared" si="44"/>
        <v>$$$</v>
      </c>
      <c r="BP16" s="88" t="str">
        <f t="shared" si="35"/>
        <v>$$$</v>
      </c>
      <c r="BQ16" s="88" t="str">
        <f t="shared" si="45"/>
        <v>$$$</v>
      </c>
      <c r="BR16" s="88" t="str">
        <f t="shared" si="46"/>
        <v>$$$</v>
      </c>
      <c r="BS16" s="29" t="e">
        <f t="shared" si="36"/>
        <v>#N/A</v>
      </c>
      <c r="BT16" s="29" t="e">
        <f t="shared" si="36"/>
        <v>#N/A</v>
      </c>
      <c r="BU16" s="29" t="e">
        <f t="shared" si="36"/>
        <v>#N/A</v>
      </c>
      <c r="BV16" s="29" t="e">
        <f t="shared" si="36"/>
        <v>#N/A</v>
      </c>
      <c r="BW16" s="29" t="e">
        <f t="shared" si="36"/>
        <v>#N/A</v>
      </c>
      <c r="BX16" s="29" t="e">
        <f t="shared" si="36"/>
        <v>#N/A</v>
      </c>
      <c r="BY16" s="29" t="e">
        <f t="shared" si="36"/>
        <v>#N/A</v>
      </c>
      <c r="BZ16" s="29" t="e">
        <f t="shared" si="36"/>
        <v>#N/A</v>
      </c>
      <c r="CA16" s="29" t="e">
        <f t="shared" si="36"/>
        <v>#N/A</v>
      </c>
      <c r="CB16" s="29" t="e">
        <f t="shared" si="36"/>
        <v>#N/A</v>
      </c>
      <c r="CC16" s="29" t="e">
        <f t="shared" si="36"/>
        <v>#N/A</v>
      </c>
      <c r="CD16" s="29" t="e">
        <f t="shared" si="36"/>
        <v>#N/A</v>
      </c>
      <c r="CE16" s="6" t="str">
        <f t="shared" si="7"/>
        <v/>
      </c>
      <c r="CF16" s="27" t="e">
        <f>IF(AND(CI16,NOT(AD16)),LOOKUP(CF$5,{0,750,1500},H16:J16),"")</f>
        <v>#N/A</v>
      </c>
      <c r="CG16" s="6" t="str">
        <f t="shared" si="8"/>
        <v/>
      </c>
      <c r="CH16" t="e">
        <f t="shared" si="37"/>
        <v>#N/A</v>
      </c>
      <c r="CI16" t="e">
        <f t="shared" si="38"/>
        <v>#N/A</v>
      </c>
      <c r="CJ16" s="6" t="e">
        <f t="shared" si="47"/>
        <v>#N/A</v>
      </c>
      <c r="CK16" s="6">
        <f t="shared" si="48"/>
        <v>1</v>
      </c>
      <c r="CL16" s="6">
        <f t="shared" si="49"/>
        <v>1</v>
      </c>
      <c r="CM16" s="6">
        <f t="shared" si="50"/>
        <v>1</v>
      </c>
      <c r="CN16" s="6">
        <f t="shared" si="51"/>
        <v>0</v>
      </c>
      <c r="CO16" s="6">
        <f t="shared" si="52"/>
        <v>1</v>
      </c>
      <c r="CP16" s="6">
        <f t="shared" si="53"/>
        <v>1</v>
      </c>
      <c r="CQ16" s="6">
        <f t="shared" si="39"/>
        <v>1</v>
      </c>
      <c r="CR16" s="81" t="str">
        <f t="shared" si="54"/>
        <v/>
      </c>
      <c r="CS16">
        <f t="shared" si="40"/>
        <v>54</v>
      </c>
      <c r="CT16">
        <f t="shared" ref="CT16" si="56">IF(OR(LEFT($R16,2)="No",LEFT($R16,4)="Batt"),0,VALUE(IFERROR(LEFT($R16,FIND("/",$R16)-1),IFERROR(LEFT($R16,FIND(" ",$R16)-1),$R16))))</f>
        <v>200</v>
      </c>
      <c r="CU16" t="str">
        <f t="shared" si="55"/>
        <v/>
      </c>
      <c r="CV16" s="81">
        <f t="shared" si="41"/>
        <v>200</v>
      </c>
      <c r="CW16" s="81">
        <f>(CV16/25)^1.5*(Calculator!$BU$4/10000)*CW$5</f>
        <v>58.426389194959008</v>
      </c>
      <c r="CX16" t="str">
        <f t="shared" si="42"/>
        <v>$200</v>
      </c>
    </row>
    <row r="17" spans="2:102" x14ac:dyDescent="0.25">
      <c r="B17" s="115" t="s">
        <v>233</v>
      </c>
      <c r="C17" s="13">
        <v>46252.407638888886</v>
      </c>
      <c r="D17">
        <v>35625</v>
      </c>
      <c r="E17" s="54" t="s">
        <v>235</v>
      </c>
      <c r="F17" s="54" t="s">
        <v>934</v>
      </c>
      <c r="G17" s="54" t="s">
        <v>1890</v>
      </c>
      <c r="H17" s="55">
        <v>11.5</v>
      </c>
      <c r="I17" s="55">
        <v>10.5</v>
      </c>
      <c r="J17" s="55">
        <v>10.100000000000001</v>
      </c>
      <c r="K17" s="54"/>
      <c r="L17" s="56" t="b">
        <v>0</v>
      </c>
      <c r="M17" s="56" t="b">
        <v>0</v>
      </c>
      <c r="N17" s="54">
        <v>1</v>
      </c>
      <c r="O17" s="54" t="s">
        <v>228</v>
      </c>
      <c r="P17" s="54">
        <v>25</v>
      </c>
      <c r="Q17" s="54">
        <v>3</v>
      </c>
      <c r="R17" s="54">
        <v>200</v>
      </c>
      <c r="S17" s="54" t="s">
        <v>1568</v>
      </c>
      <c r="T17" s="54" t="s">
        <v>1569</v>
      </c>
      <c r="U17" s="54" t="s">
        <v>1565</v>
      </c>
      <c r="V17" s="54" t="s">
        <v>1570</v>
      </c>
      <c r="W17" s="54" t="b">
        <v>0</v>
      </c>
      <c r="X17" s="54"/>
      <c r="Y17" s="57" t="s">
        <v>1892</v>
      </c>
      <c r="Z17" s="54" t="s">
        <v>1572</v>
      </c>
      <c r="AA17" s="54"/>
      <c r="AB17" s="54" t="s">
        <v>1573</v>
      </c>
      <c r="AC17" s="56" t="b">
        <v>1</v>
      </c>
      <c r="AD17" s="56" t="b">
        <v>0</v>
      </c>
      <c r="AE17" s="54" t="s">
        <v>302</v>
      </c>
      <c r="AF17" s="58">
        <v>46251</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4.41E-2</v>
      </c>
      <c r="BC17" s="60">
        <v>4.9000000000000004</v>
      </c>
      <c r="BD17" s="61">
        <v>5.1461E-2</v>
      </c>
      <c r="BE17" s="62" t="s">
        <v>293</v>
      </c>
      <c r="BF17" s="35">
        <f t="shared" ref="BF17:BG35" si="57">IF($E17=$E$4,BF$4,IF($E17=$E$5,BF$5,""))</f>
        <v>4.9000000000000004</v>
      </c>
      <c r="BG17" s="35">
        <f t="shared" si="57"/>
        <v>4.9811000000000001E-2</v>
      </c>
      <c r="BH17" s="35" t="str">
        <f t="shared" ref="BH17:BH35" si="58">IF(ISTEXT(BE17),IF(AND(AV17=0,SUM(AN17:AQ17)=0),IF(AM17&lt;=0,IF(BE17="Y","Low","Flat"),"Med"),"High"),"?")</f>
        <v>Med</v>
      </c>
      <c r="BI17" s="110">
        <f t="shared" ref="BI17:BI35" si="59">IF(ISNUMBER(AH17),0*BI$5*SIN((EDATE($A$3,$Q17)-DATE(YEAR(EDATE($A$3,$Q17)),1,0)-BI$4)*2*PI()/365),"")</f>
        <v>0</v>
      </c>
      <c r="BJ17" s="83">
        <f>VLOOKUP($F17,REP_Info!$D$6:$H$250,5,FALSE)</f>
        <v>2.7330000000000001</v>
      </c>
      <c r="BK17" s="30">
        <f t="shared" ref="BK17:BN35" si="60">IF(BK$7&gt;0,(LOOKUP(BK$7,$AH17:$AL17,$AM17:$AQ17)+IF($AG17="Y",SUMPRODUCT($AX17:$BB17-$AW17:$BA17,BK$7-$AR17:$AV17,N(BK$7&gt;$AR17:$AV17)),BK$7*LOOKUP(BK$7,$AR17:$AV17,$AX17:$BB17))+IF($BE17="Y",$BF17,$BC17)+BK$7*IF($BE17="Y",$BG17,$BD17))*100/BK$7,"")</f>
        <v>11.371100000000002</v>
      </c>
      <c r="BL17" s="30">
        <f t="shared" si="60"/>
        <v>10.3811</v>
      </c>
      <c r="BM17" s="30">
        <f t="shared" si="60"/>
        <v>9.8861000000000008</v>
      </c>
      <c r="BN17" s="29">
        <f t="shared" si="60"/>
        <v>9.7211000000000016</v>
      </c>
      <c r="BO17" s="85" t="str">
        <f t="shared" ref="BO17:BO35" si="61">IFERROR(SUMPRODUCT($BS$7:$CD$7,$BS17:$CD17)/100,"$$$")</f>
        <v>$$$</v>
      </c>
      <c r="BP17" s="88" t="str">
        <f t="shared" ref="BP17:BP35" si="62">IFERROR(BO17*100/BO$5,"$$$")</f>
        <v>$$$</v>
      </c>
      <c r="BQ17" s="88" t="str">
        <f t="shared" ref="BQ17:BQ35" si="63">IFERROR(SUMPRODUCT($BS$7:$CD$7,$BS17:$CD17,--($BS$4:$CD$4&lt;=$Q17))/SUMPRODUCT(--($BS$4:$CD$4&lt;=$Q17),$BS$7:$CD$7),"$$$")</f>
        <v>$$$</v>
      </c>
      <c r="BR17" s="88" t="str">
        <f t="shared" ref="BR17:BR35" si="64">IFERROR($BQ17-$BF17*100*SUMPRODUCT(--($BS$4:$CD$4&lt;=$Q17))/SUMPRODUCT(--($BS$4:$CD$4&lt;=$Q17),$BS$7:$CD$7)-$BG17*100,"$$$")</f>
        <v>$$$</v>
      </c>
      <c r="BS17" s="29" t="e">
        <f t="shared" ref="BS17:CD30" si="65">IF($CI17,IF(BS$7&gt;0,IF(BS$4&gt;$Q17,$BF17+BS$7*(BS$5+$BG17+$BI17),LOOKUP(BS$7,$AH17:$AL17,$AM17:$AQ17)+IF($AG17="Y",SUMPRODUCT($AX17:$BB17-$AW17:$BA17,BS$7-$AR17:$AV17,N(BS$7&gt;$AR17:$AV17)),BS$7*LOOKUP(BS$7,$AR17:$AV17,$AX17:$BB17))+IF($BE17="Y",$BF17,$BC17)+BS$7*IF($BE17="Y",$BG17,$BD17))*100/BS$7,""),NA())</f>
        <v>#N/A</v>
      </c>
      <c r="BT17" s="29" t="e">
        <f t="shared" si="65"/>
        <v>#N/A</v>
      </c>
      <c r="BU17" s="29" t="e">
        <f t="shared" si="65"/>
        <v>#N/A</v>
      </c>
      <c r="BV17" s="29" t="e">
        <f t="shared" si="65"/>
        <v>#N/A</v>
      </c>
      <c r="BW17" s="29" t="e">
        <f t="shared" si="65"/>
        <v>#N/A</v>
      </c>
      <c r="BX17" s="29" t="e">
        <f t="shared" si="65"/>
        <v>#N/A</v>
      </c>
      <c r="BY17" s="29" t="e">
        <f t="shared" si="65"/>
        <v>#N/A</v>
      </c>
      <c r="BZ17" s="29" t="e">
        <f t="shared" si="65"/>
        <v>#N/A</v>
      </c>
      <c r="CA17" s="29" t="e">
        <f t="shared" si="65"/>
        <v>#N/A</v>
      </c>
      <c r="CB17" s="29" t="e">
        <f t="shared" si="65"/>
        <v>#N/A</v>
      </c>
      <c r="CC17" s="29" t="e">
        <f t="shared" si="65"/>
        <v>#N/A</v>
      </c>
      <c r="CD17" s="29" t="e">
        <f t="shared" si="65"/>
        <v>#N/A</v>
      </c>
      <c r="CE17" s="6" t="str">
        <f t="shared" si="7"/>
        <v/>
      </c>
      <c r="CF17" s="27" t="e">
        <f>IF(AND(CI17,NOT(AD17)),LOOKUP(CF$5,{0,750,1500},H17:J17),"")</f>
        <v>#N/A</v>
      </c>
      <c r="CG17" s="6" t="str">
        <f t="shared" si="8"/>
        <v/>
      </c>
      <c r="CH17" t="e">
        <f t="shared" ref="CH17:CH35" si="66">IF(CI17,IF(ISNUMBER(BO17),BO17,100000)+CV17/10000+IF(ISNUMBER(BJ17),BJ17,2)/10000-P17/100000+ROW()/10000000,"")</f>
        <v>#N/A</v>
      </c>
      <c r="CI17" t="e">
        <f t="shared" ref="CI17:CI35" si="67">PRODUCT(CJ17:CQ17)</f>
        <v>#N/A</v>
      </c>
      <c r="CJ17" s="6" t="e">
        <f t="shared" ref="CJ17:CJ35" si="68">IF($E17=CJ$5,1,0)</f>
        <v>#N/A</v>
      </c>
      <c r="CK17" s="6">
        <f t="shared" ref="CK17:CK35" si="69">IF(CK$5="[Any]",1,IF($F17=CK$5,1,0))</f>
        <v>1</v>
      </c>
      <c r="CL17" s="6">
        <f t="shared" ref="CL17:CL35" si="70">IFERROR(--OR(ISBLANK(CL$5),$BJ17="",AND(ISNUMBER($BJ17),$BJ17&lt;=CL$5)),1)</f>
        <v>1</v>
      </c>
      <c r="CM17" s="6">
        <f t="shared" ref="CM17:CM35" si="71">IF($O17="Fixed",1,0)</f>
        <v>1</v>
      </c>
      <c r="CN17" s="6">
        <f t="shared" ref="CN17:CN35" si="72">IF($Q17&gt;=CN$5,1,0)</f>
        <v>0</v>
      </c>
      <c r="CO17" s="6">
        <f t="shared" ref="CO17:CO35" si="73">IF($Q17&lt;=CO$5,1,0)</f>
        <v>1</v>
      </c>
      <c r="CP17" s="6">
        <f t="shared" ref="CP17:CP35" si="74">IF($P17&gt;=CP$5,1,0)</f>
        <v>1</v>
      </c>
      <c r="CQ17" s="6">
        <f t="shared" ref="CQ17:CQ35" si="75">IF(CQ$5="Any",1,IF(AND(CQ$5="Med",AV17=0,SUM(AN17:AQ17)=0),1,IF(AND(CQ$5="Low",AV17=0,SUM(AN17:AQ17)=0,AM17=0),1,IF(AND(CQ$5="Flat",AV17=0,SUM(AN17:AQ17)=0,AM17=0,IFERROR(NOT(BE17="Y"),0)),1,0))))</f>
        <v>1</v>
      </c>
      <c r="CR17" s="81" t="str">
        <f t="shared" ref="CR17:CR35" si="76">IF(ISNUMBER($CH17),$CH17+$CS17+$CW17,"")</f>
        <v/>
      </c>
      <c r="CS17">
        <f t="shared" ref="CS17:CS35" si="77">CS$5*(12/(MIN(12,Q17))-1)</f>
        <v>54</v>
      </c>
      <c r="CT17">
        <f t="shared" ref="CT17:CT35" si="78">IF(OR(LEFT($R17,2)="No",LEFT($R17,4)="Batt"),0,VALUE(IFERROR(LEFT($R17,FIND("/",$R17)-1),IFERROR(LEFT($R17,FIND(" ",$R17)-1),$R17))))</f>
        <v>200</v>
      </c>
      <c r="CU17" t="str">
        <f t="shared" ref="CU17:CU35" si="79">IF(AND(ISERR(FIND("remain",$R17)),ISERR(FIND("left",$R17))),"","r")&amp;IF(ISERR(FIND("mon",$R17)),"","m")</f>
        <v/>
      </c>
      <c r="CV17" s="81">
        <f t="shared" ref="CV17:CV35" si="80">CT17*IF(CU17="",1,Q17)</f>
        <v>200</v>
      </c>
      <c r="CW17" s="81">
        <f>(CV17/25)^1.5*(Calculator!$BU$4/10000)*CW$5</f>
        <v>58.426389194959008</v>
      </c>
      <c r="CX17" t="str">
        <f t="shared" ref="CX17:CX35" si="81">"$"&amp;IF(LEFT(CU17,1)="r",CT17&amp;"/"&amp;CU17,CV17)</f>
        <v>$200</v>
      </c>
    </row>
    <row r="18" spans="2:102" x14ac:dyDescent="0.25">
      <c r="B18" s="115" t="s">
        <v>233</v>
      </c>
      <c r="C18" s="13">
        <v>46256.21597222222</v>
      </c>
      <c r="D18">
        <v>34634</v>
      </c>
      <c r="E18" s="54" t="s">
        <v>235</v>
      </c>
      <c r="F18" s="54" t="s">
        <v>294</v>
      </c>
      <c r="G18" s="54" t="s">
        <v>295</v>
      </c>
      <c r="H18" s="55">
        <v>12.1</v>
      </c>
      <c r="I18" s="55">
        <v>11.600000000000001</v>
      </c>
      <c r="J18" s="55">
        <v>11.4</v>
      </c>
      <c r="K18" s="54"/>
      <c r="L18" s="56" t="b">
        <v>0</v>
      </c>
      <c r="M18" s="56" t="b">
        <v>0</v>
      </c>
      <c r="N18" s="54">
        <v>1</v>
      </c>
      <c r="O18" s="54" t="s">
        <v>228</v>
      </c>
      <c r="P18" s="54">
        <v>23</v>
      </c>
      <c r="Q18" s="54">
        <v>36</v>
      </c>
      <c r="R18" s="54" t="s">
        <v>296</v>
      </c>
      <c r="S18" s="54" t="s">
        <v>297</v>
      </c>
      <c r="T18" s="54" t="s">
        <v>2319</v>
      </c>
      <c r="U18" s="54" t="s">
        <v>298</v>
      </c>
      <c r="V18" s="54" t="s">
        <v>299</v>
      </c>
      <c r="W18" s="54" t="b">
        <v>0</v>
      </c>
      <c r="X18" s="54"/>
      <c r="Y18" s="57" t="s">
        <v>300</v>
      </c>
      <c r="Z18" s="54" t="s">
        <v>297</v>
      </c>
      <c r="AA18" s="54"/>
      <c r="AB18" s="54" t="s">
        <v>301</v>
      </c>
      <c r="AC18" s="56" t="b">
        <v>1</v>
      </c>
      <c r="AD18" s="56" t="b">
        <v>0</v>
      </c>
      <c r="AE18" s="54" t="s">
        <v>302</v>
      </c>
      <c r="AF18" s="58">
        <v>46256</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5.9900000000000002E-2</v>
      </c>
      <c r="BC18" s="60">
        <v>4.9000000000000004</v>
      </c>
      <c r="BD18" s="61">
        <v>5.1461E-2</v>
      </c>
      <c r="BE18" s="62" t="s">
        <v>293</v>
      </c>
      <c r="BF18" s="35">
        <f t="shared" si="57"/>
        <v>4.9000000000000004</v>
      </c>
      <c r="BG18" s="35">
        <f t="shared" si="57"/>
        <v>4.9811000000000001E-2</v>
      </c>
      <c r="BH18" s="35" t="str">
        <f t="shared" si="58"/>
        <v>Low</v>
      </c>
      <c r="BI18" s="110">
        <f t="shared" si="59"/>
        <v>0</v>
      </c>
      <c r="BJ18" s="83" t="str">
        <f>VLOOKUP($F18,REP_Info!$D$6:$H$250,5,FALSE)</f>
        <v/>
      </c>
      <c r="BK18" s="30">
        <f t="shared" si="60"/>
        <v>11.9511</v>
      </c>
      <c r="BL18" s="30">
        <f t="shared" si="60"/>
        <v>11.461099999999998</v>
      </c>
      <c r="BM18" s="30">
        <f t="shared" si="60"/>
        <v>11.216100000000001</v>
      </c>
      <c r="BN18" s="29">
        <f t="shared" si="60"/>
        <v>11.134433333333334</v>
      </c>
      <c r="BO18" s="85" t="str">
        <f t="shared" si="61"/>
        <v>$$$</v>
      </c>
      <c r="BP18" s="88" t="str">
        <f t="shared" si="62"/>
        <v>$$$</v>
      </c>
      <c r="BQ18" s="88" t="str">
        <f t="shared" si="63"/>
        <v>$$$</v>
      </c>
      <c r="BR18" s="88" t="str">
        <f t="shared" si="64"/>
        <v>$$$</v>
      </c>
      <c r="BS18" s="29" t="e">
        <f t="shared" si="65"/>
        <v>#N/A</v>
      </c>
      <c r="BT18" s="29" t="e">
        <f t="shared" si="65"/>
        <v>#N/A</v>
      </c>
      <c r="BU18" s="29" t="e">
        <f t="shared" si="65"/>
        <v>#N/A</v>
      </c>
      <c r="BV18" s="29" t="e">
        <f t="shared" si="65"/>
        <v>#N/A</v>
      </c>
      <c r="BW18" s="29" t="e">
        <f t="shared" si="65"/>
        <v>#N/A</v>
      </c>
      <c r="BX18" s="29" t="e">
        <f t="shared" si="65"/>
        <v>#N/A</v>
      </c>
      <c r="BY18" s="29" t="e">
        <f t="shared" si="65"/>
        <v>#N/A</v>
      </c>
      <c r="BZ18" s="29" t="e">
        <f t="shared" si="65"/>
        <v>#N/A</v>
      </c>
      <c r="CA18" s="29" t="e">
        <f t="shared" si="65"/>
        <v>#N/A</v>
      </c>
      <c r="CB18" s="29" t="e">
        <f t="shared" si="65"/>
        <v>#N/A</v>
      </c>
      <c r="CC18" s="29" t="e">
        <f t="shared" si="65"/>
        <v>#N/A</v>
      </c>
      <c r="CD18" s="29" t="e">
        <f t="shared" si="65"/>
        <v>#N/A</v>
      </c>
      <c r="CE18" s="6" t="str">
        <f t="shared" si="7"/>
        <v/>
      </c>
      <c r="CF18" s="27" t="e">
        <f>IF(AND(CI18,NOT(AD18)),LOOKUP(CF$5,{0,750,1500},H18:J18),"")</f>
        <v>#N/A</v>
      </c>
      <c r="CG18" s="6" t="str">
        <f t="shared" si="8"/>
        <v/>
      </c>
      <c r="CH18" t="e">
        <f t="shared" si="66"/>
        <v>#N/A</v>
      </c>
      <c r="CI18" t="e">
        <f t="shared" si="67"/>
        <v>#N/A</v>
      </c>
      <c r="CJ18" s="6" t="e">
        <f t="shared" si="68"/>
        <v>#N/A</v>
      </c>
      <c r="CK18" s="6">
        <f t="shared" si="69"/>
        <v>1</v>
      </c>
      <c r="CL18" s="6">
        <f t="shared" si="70"/>
        <v>1</v>
      </c>
      <c r="CM18" s="6">
        <f t="shared" si="71"/>
        <v>1</v>
      </c>
      <c r="CN18" s="6">
        <f t="shared" si="72"/>
        <v>1</v>
      </c>
      <c r="CO18" s="6">
        <f t="shared" si="73"/>
        <v>0</v>
      </c>
      <c r="CP18" s="6">
        <f t="shared" si="74"/>
        <v>1</v>
      </c>
      <c r="CQ18" s="6">
        <f t="shared" si="75"/>
        <v>1</v>
      </c>
      <c r="CR18" s="81" t="str">
        <f t="shared" si="76"/>
        <v/>
      </c>
      <c r="CS18">
        <f t="shared" si="77"/>
        <v>0</v>
      </c>
      <c r="CT18">
        <f t="shared" si="78"/>
        <v>20</v>
      </c>
      <c r="CU18" t="str">
        <f t="shared" si="79"/>
        <v>rm</v>
      </c>
      <c r="CV18" s="81">
        <f t="shared" si="80"/>
        <v>720</v>
      </c>
      <c r="CW18" s="81">
        <f>(CV18/25)^1.5*(Calculator!$BU$4/10000)*CW$5</f>
        <v>399.08260508152779</v>
      </c>
      <c r="CX18" t="str">
        <f t="shared" si="81"/>
        <v>$20/rm</v>
      </c>
    </row>
    <row r="19" spans="2:102" x14ac:dyDescent="0.25">
      <c r="B19" s="115" t="s">
        <v>233</v>
      </c>
      <c r="C19" s="13">
        <v>46256.21597222222</v>
      </c>
      <c r="D19">
        <v>34636</v>
      </c>
      <c r="E19" s="54" t="s">
        <v>237</v>
      </c>
      <c r="F19" s="54" t="s">
        <v>294</v>
      </c>
      <c r="G19" s="54" t="s">
        <v>295</v>
      </c>
      <c r="H19" s="55">
        <v>12.8</v>
      </c>
      <c r="I19" s="55">
        <v>12.4</v>
      </c>
      <c r="J19" s="55">
        <v>12.2</v>
      </c>
      <c r="K19" s="54"/>
      <c r="L19" s="56" t="b">
        <v>0</v>
      </c>
      <c r="M19" s="56" t="b">
        <v>0</v>
      </c>
      <c r="N19" s="54">
        <v>1</v>
      </c>
      <c r="O19" s="54" t="s">
        <v>228</v>
      </c>
      <c r="P19" s="54">
        <v>23</v>
      </c>
      <c r="Q19" s="54">
        <v>36</v>
      </c>
      <c r="R19" s="54" t="s">
        <v>296</v>
      </c>
      <c r="S19" s="54" t="s">
        <v>297</v>
      </c>
      <c r="T19" s="54" t="s">
        <v>2319</v>
      </c>
      <c r="U19" s="54" t="s">
        <v>298</v>
      </c>
      <c r="V19" s="54" t="s">
        <v>299</v>
      </c>
      <c r="W19" s="54" t="b">
        <v>0</v>
      </c>
      <c r="X19" s="54"/>
      <c r="Y19" s="57" t="s">
        <v>303</v>
      </c>
      <c r="Z19" s="54" t="s">
        <v>297</v>
      </c>
      <c r="AA19" s="54"/>
      <c r="AB19" s="54" t="s">
        <v>301</v>
      </c>
      <c r="AC19" s="56" t="b">
        <v>1</v>
      </c>
      <c r="AD19" s="56" t="b">
        <v>0</v>
      </c>
      <c r="AE19" s="54" t="s">
        <v>302</v>
      </c>
      <c r="AF19" s="58">
        <v>46256</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5.9900000000000002E-2</v>
      </c>
      <c r="BC19" s="60">
        <v>4.0599999999999996</v>
      </c>
      <c r="BD19" s="61">
        <v>6.0295000000000001E-2</v>
      </c>
      <c r="BE19" s="62" t="s">
        <v>293</v>
      </c>
      <c r="BF19" s="35">
        <f t="shared" si="57"/>
        <v>4.0600000000000005</v>
      </c>
      <c r="BG19" s="35">
        <f t="shared" si="57"/>
        <v>6.0295000000000001E-2</v>
      </c>
      <c r="BH19" s="35" t="str">
        <f t="shared" si="58"/>
        <v>Low</v>
      </c>
      <c r="BI19" s="110">
        <f t="shared" si="59"/>
        <v>0</v>
      </c>
      <c r="BJ19" s="83" t="str">
        <f>VLOOKUP($F19,REP_Info!$D$6:$H$250,5,FALSE)</f>
        <v/>
      </c>
      <c r="BK19" s="30">
        <f t="shared" si="60"/>
        <v>12.8315</v>
      </c>
      <c r="BL19" s="30">
        <f t="shared" si="60"/>
        <v>12.4255</v>
      </c>
      <c r="BM19" s="30">
        <f t="shared" si="60"/>
        <v>12.2225</v>
      </c>
      <c r="BN19" s="29">
        <f t="shared" si="60"/>
        <v>12.154833333333332</v>
      </c>
      <c r="BO19" s="85" t="str">
        <f t="shared" si="61"/>
        <v>$$$</v>
      </c>
      <c r="BP19" s="88" t="str">
        <f t="shared" si="62"/>
        <v>$$$</v>
      </c>
      <c r="BQ19" s="88" t="str">
        <f t="shared" si="63"/>
        <v>$$$</v>
      </c>
      <c r="BR19" s="88" t="str">
        <f t="shared" si="64"/>
        <v>$$$</v>
      </c>
      <c r="BS19" s="29" t="e">
        <f t="shared" si="65"/>
        <v>#N/A</v>
      </c>
      <c r="BT19" s="29" t="e">
        <f t="shared" si="65"/>
        <v>#N/A</v>
      </c>
      <c r="BU19" s="29" t="e">
        <f t="shared" si="65"/>
        <v>#N/A</v>
      </c>
      <c r="BV19" s="29" t="e">
        <f t="shared" si="65"/>
        <v>#N/A</v>
      </c>
      <c r="BW19" s="29" t="e">
        <f t="shared" si="65"/>
        <v>#N/A</v>
      </c>
      <c r="BX19" s="29" t="e">
        <f t="shared" si="65"/>
        <v>#N/A</v>
      </c>
      <c r="BY19" s="29" t="e">
        <f t="shared" si="65"/>
        <v>#N/A</v>
      </c>
      <c r="BZ19" s="29" t="e">
        <f t="shared" si="65"/>
        <v>#N/A</v>
      </c>
      <c r="CA19" s="29" t="e">
        <f t="shared" si="65"/>
        <v>#N/A</v>
      </c>
      <c r="CB19" s="29" t="e">
        <f t="shared" si="65"/>
        <v>#N/A</v>
      </c>
      <c r="CC19" s="29" t="e">
        <f t="shared" si="65"/>
        <v>#N/A</v>
      </c>
      <c r="CD19" s="29" t="e">
        <f t="shared" si="65"/>
        <v>#N/A</v>
      </c>
      <c r="CE19" s="6" t="str">
        <f t="shared" si="7"/>
        <v/>
      </c>
      <c r="CF19" s="27" t="e">
        <f>IF(AND(CI19,NOT(AD19)),LOOKUP(CF$5,{0,750,1500},H19:J19),"")</f>
        <v>#N/A</v>
      </c>
      <c r="CG19" s="6" t="str">
        <f t="shared" si="8"/>
        <v/>
      </c>
      <c r="CH19" t="e">
        <f t="shared" si="66"/>
        <v>#N/A</v>
      </c>
      <c r="CI19" t="e">
        <f t="shared" si="67"/>
        <v>#N/A</v>
      </c>
      <c r="CJ19" s="6" t="e">
        <f t="shared" si="68"/>
        <v>#N/A</v>
      </c>
      <c r="CK19" s="6">
        <f t="shared" si="69"/>
        <v>1</v>
      </c>
      <c r="CL19" s="6">
        <f t="shared" si="70"/>
        <v>1</v>
      </c>
      <c r="CM19" s="6">
        <f t="shared" si="71"/>
        <v>1</v>
      </c>
      <c r="CN19" s="6">
        <f t="shared" si="72"/>
        <v>1</v>
      </c>
      <c r="CO19" s="6">
        <f t="shared" si="73"/>
        <v>0</v>
      </c>
      <c r="CP19" s="6">
        <f t="shared" si="74"/>
        <v>1</v>
      </c>
      <c r="CQ19" s="6">
        <f t="shared" si="75"/>
        <v>1</v>
      </c>
      <c r="CR19" s="81" t="str">
        <f t="shared" si="76"/>
        <v/>
      </c>
      <c r="CS19">
        <f t="shared" si="77"/>
        <v>0</v>
      </c>
      <c r="CT19">
        <f t="shared" si="78"/>
        <v>20</v>
      </c>
      <c r="CU19" t="str">
        <f t="shared" si="79"/>
        <v>rm</v>
      </c>
      <c r="CV19" s="81">
        <f t="shared" si="80"/>
        <v>720</v>
      </c>
      <c r="CW19" s="81">
        <f>(CV19/25)^1.5*(Calculator!$BU$4/10000)*CW$5</f>
        <v>399.08260508152779</v>
      </c>
      <c r="CX19" t="str">
        <f t="shared" si="81"/>
        <v>$20/rm</v>
      </c>
    </row>
    <row r="20" spans="2:102" x14ac:dyDescent="0.25">
      <c r="B20" s="115" t="s">
        <v>233</v>
      </c>
      <c r="C20" s="13">
        <v>46256.21597222222</v>
      </c>
      <c r="D20">
        <v>35654</v>
      </c>
      <c r="E20" s="54" t="s">
        <v>235</v>
      </c>
      <c r="F20" s="54" t="s">
        <v>294</v>
      </c>
      <c r="G20" s="54" t="s">
        <v>1690</v>
      </c>
      <c r="H20" s="55">
        <v>11</v>
      </c>
      <c r="I20" s="55">
        <v>10.5</v>
      </c>
      <c r="J20" s="55">
        <v>10.299999999999999</v>
      </c>
      <c r="K20" s="54"/>
      <c r="L20" s="56" t="b">
        <v>0</v>
      </c>
      <c r="M20" s="56" t="b">
        <v>0</v>
      </c>
      <c r="N20" s="54">
        <v>1</v>
      </c>
      <c r="O20" s="54" t="s">
        <v>228</v>
      </c>
      <c r="P20" s="54">
        <v>23</v>
      </c>
      <c r="Q20" s="54">
        <v>10</v>
      </c>
      <c r="R20" s="54" t="s">
        <v>296</v>
      </c>
      <c r="S20" s="54" t="s">
        <v>297</v>
      </c>
      <c r="T20" s="54" t="s">
        <v>2319</v>
      </c>
      <c r="U20" s="54" t="s">
        <v>298</v>
      </c>
      <c r="V20" s="54" t="s">
        <v>299</v>
      </c>
      <c r="W20" s="54" t="b">
        <v>0</v>
      </c>
      <c r="X20" s="54"/>
      <c r="Y20" s="57" t="s">
        <v>1691</v>
      </c>
      <c r="Z20" s="54" t="s">
        <v>297</v>
      </c>
      <c r="AA20" s="54"/>
      <c r="AB20" s="54" t="s">
        <v>301</v>
      </c>
      <c r="AC20" s="56" t="b">
        <v>1</v>
      </c>
      <c r="AD20" s="56" t="b">
        <v>0</v>
      </c>
      <c r="AE20" s="54" t="s">
        <v>302</v>
      </c>
      <c r="AF20" s="58">
        <v>46256</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4.8899999999999999E-2</v>
      </c>
      <c r="BC20" s="60">
        <v>4.9000000000000004</v>
      </c>
      <c r="BD20" s="61">
        <v>5.1461E-2</v>
      </c>
      <c r="BE20" s="62" t="s">
        <v>293</v>
      </c>
      <c r="BF20" s="35">
        <f t="shared" si="57"/>
        <v>4.9000000000000004</v>
      </c>
      <c r="BG20" s="35">
        <f t="shared" si="57"/>
        <v>4.9811000000000001E-2</v>
      </c>
      <c r="BH20" s="35" t="str">
        <f t="shared" si="58"/>
        <v>Low</v>
      </c>
      <c r="BI20" s="110">
        <f t="shared" si="59"/>
        <v>0</v>
      </c>
      <c r="BJ20" s="83" t="str">
        <f>VLOOKUP($F20,REP_Info!$D$6:$H$250,5,FALSE)</f>
        <v/>
      </c>
      <c r="BK20" s="30">
        <f t="shared" si="60"/>
        <v>10.851100000000001</v>
      </c>
      <c r="BL20" s="30">
        <f t="shared" si="60"/>
        <v>10.361099999999999</v>
      </c>
      <c r="BM20" s="30">
        <f t="shared" si="60"/>
        <v>10.116100000000001</v>
      </c>
      <c r="BN20" s="29">
        <f t="shared" si="60"/>
        <v>10.034433333333334</v>
      </c>
      <c r="BO20" s="85" t="str">
        <f t="shared" si="61"/>
        <v>$$$</v>
      </c>
      <c r="BP20" s="88" t="str">
        <f t="shared" si="62"/>
        <v>$$$</v>
      </c>
      <c r="BQ20" s="88" t="str">
        <f t="shared" si="63"/>
        <v>$$$</v>
      </c>
      <c r="BR20" s="88" t="str">
        <f t="shared" si="64"/>
        <v>$$$</v>
      </c>
      <c r="BS20" s="29" t="e">
        <f t="shared" si="65"/>
        <v>#N/A</v>
      </c>
      <c r="BT20" s="29" t="e">
        <f t="shared" si="65"/>
        <v>#N/A</v>
      </c>
      <c r="BU20" s="29" t="e">
        <f t="shared" si="65"/>
        <v>#N/A</v>
      </c>
      <c r="BV20" s="29" t="e">
        <f t="shared" si="65"/>
        <v>#N/A</v>
      </c>
      <c r="BW20" s="29" t="e">
        <f t="shared" si="65"/>
        <v>#N/A</v>
      </c>
      <c r="BX20" s="29" t="e">
        <f t="shared" si="65"/>
        <v>#N/A</v>
      </c>
      <c r="BY20" s="29" t="e">
        <f t="shared" si="65"/>
        <v>#N/A</v>
      </c>
      <c r="BZ20" s="29" t="e">
        <f t="shared" si="65"/>
        <v>#N/A</v>
      </c>
      <c r="CA20" s="29" t="e">
        <f t="shared" si="65"/>
        <v>#N/A</v>
      </c>
      <c r="CB20" s="29" t="e">
        <f t="shared" si="65"/>
        <v>#N/A</v>
      </c>
      <c r="CC20" s="29" t="e">
        <f t="shared" si="65"/>
        <v>#N/A</v>
      </c>
      <c r="CD20" s="29" t="e">
        <f t="shared" si="65"/>
        <v>#N/A</v>
      </c>
      <c r="CE20" s="6" t="str">
        <f t="shared" si="7"/>
        <v/>
      </c>
      <c r="CF20" s="27" t="e">
        <f>IF(AND(CI20,NOT(AD20)),LOOKUP(CF$5,{0,750,1500},H20:J20),"")</f>
        <v>#N/A</v>
      </c>
      <c r="CG20" s="6" t="str">
        <f t="shared" si="8"/>
        <v/>
      </c>
      <c r="CH20" t="e">
        <f t="shared" si="66"/>
        <v>#N/A</v>
      </c>
      <c r="CI20" t="e">
        <f t="shared" si="67"/>
        <v>#N/A</v>
      </c>
      <c r="CJ20" s="6" t="e">
        <f t="shared" si="68"/>
        <v>#N/A</v>
      </c>
      <c r="CK20" s="6">
        <f t="shared" si="69"/>
        <v>1</v>
      </c>
      <c r="CL20" s="6">
        <f t="shared" si="70"/>
        <v>1</v>
      </c>
      <c r="CM20" s="6">
        <f t="shared" si="71"/>
        <v>1</v>
      </c>
      <c r="CN20" s="6">
        <f t="shared" si="72"/>
        <v>0</v>
      </c>
      <c r="CO20" s="6">
        <f t="shared" si="73"/>
        <v>1</v>
      </c>
      <c r="CP20" s="6">
        <f t="shared" si="74"/>
        <v>1</v>
      </c>
      <c r="CQ20" s="6">
        <f t="shared" si="75"/>
        <v>1</v>
      </c>
      <c r="CR20" s="81" t="str">
        <f t="shared" si="76"/>
        <v/>
      </c>
      <c r="CS20">
        <f t="shared" si="77"/>
        <v>3.5999999999999992</v>
      </c>
      <c r="CT20">
        <f t="shared" si="78"/>
        <v>20</v>
      </c>
      <c r="CU20" t="str">
        <f t="shared" si="79"/>
        <v>rm</v>
      </c>
      <c r="CV20" s="81">
        <f t="shared" si="80"/>
        <v>200</v>
      </c>
      <c r="CW20" s="81">
        <f>(CV20/25)^1.5*(Calculator!$BU$4/10000)*CW$5</f>
        <v>58.426389194959008</v>
      </c>
      <c r="CX20" t="str">
        <f t="shared" si="81"/>
        <v>$20/rm</v>
      </c>
    </row>
    <row r="21" spans="2:102" x14ac:dyDescent="0.25">
      <c r="B21" s="115" t="s">
        <v>233</v>
      </c>
      <c r="C21" s="13">
        <v>46256.21597222222</v>
      </c>
      <c r="D21">
        <v>35658</v>
      </c>
      <c r="E21" s="54" t="s">
        <v>237</v>
      </c>
      <c r="F21" s="54" t="s">
        <v>294</v>
      </c>
      <c r="G21" s="54" t="s">
        <v>1690</v>
      </c>
      <c r="H21" s="55">
        <v>11.700000000000001</v>
      </c>
      <c r="I21" s="55">
        <v>11.3</v>
      </c>
      <c r="J21" s="55">
        <v>11.1</v>
      </c>
      <c r="K21" s="54"/>
      <c r="L21" s="56" t="b">
        <v>0</v>
      </c>
      <c r="M21" s="56" t="b">
        <v>0</v>
      </c>
      <c r="N21" s="54">
        <v>1</v>
      </c>
      <c r="O21" s="54" t="s">
        <v>228</v>
      </c>
      <c r="P21" s="54">
        <v>23</v>
      </c>
      <c r="Q21" s="54">
        <v>10</v>
      </c>
      <c r="R21" s="54" t="s">
        <v>296</v>
      </c>
      <c r="S21" s="54" t="s">
        <v>297</v>
      </c>
      <c r="T21" s="54" t="s">
        <v>2319</v>
      </c>
      <c r="U21" s="54" t="s">
        <v>298</v>
      </c>
      <c r="V21" s="54" t="s">
        <v>299</v>
      </c>
      <c r="W21" s="54" t="b">
        <v>0</v>
      </c>
      <c r="X21" s="54"/>
      <c r="Y21" s="57" t="s">
        <v>1692</v>
      </c>
      <c r="Z21" s="54" t="s">
        <v>297</v>
      </c>
      <c r="AA21" s="54"/>
      <c r="AB21" s="54" t="s">
        <v>301</v>
      </c>
      <c r="AC21" s="56" t="b">
        <v>1</v>
      </c>
      <c r="AD21" s="56" t="b">
        <v>0</v>
      </c>
      <c r="AE21" s="54" t="s">
        <v>302</v>
      </c>
      <c r="AF21" s="58">
        <v>46256</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4.8899999999999999E-2</v>
      </c>
      <c r="BC21" s="60">
        <v>4.0599999999999996</v>
      </c>
      <c r="BD21" s="61">
        <v>6.0295000000000001E-2</v>
      </c>
      <c r="BE21" s="62" t="s">
        <v>293</v>
      </c>
      <c r="BF21" s="35">
        <f t="shared" si="57"/>
        <v>4.0600000000000005</v>
      </c>
      <c r="BG21" s="35">
        <f t="shared" si="57"/>
        <v>6.0295000000000001E-2</v>
      </c>
      <c r="BH21" s="35" t="str">
        <f t="shared" si="58"/>
        <v>Low</v>
      </c>
      <c r="BI21" s="110">
        <f t="shared" si="59"/>
        <v>0</v>
      </c>
      <c r="BJ21" s="83" t="str">
        <f>VLOOKUP($F21,REP_Info!$D$6:$H$250,5,FALSE)</f>
        <v/>
      </c>
      <c r="BK21" s="30">
        <f t="shared" si="60"/>
        <v>11.7315</v>
      </c>
      <c r="BL21" s="30">
        <f t="shared" si="60"/>
        <v>11.3255</v>
      </c>
      <c r="BM21" s="30">
        <f t="shared" si="60"/>
        <v>11.1225</v>
      </c>
      <c r="BN21" s="29">
        <f t="shared" si="60"/>
        <v>11.054833333333333</v>
      </c>
      <c r="BO21" s="85" t="str">
        <f t="shared" si="61"/>
        <v>$$$</v>
      </c>
      <c r="BP21" s="88" t="str">
        <f t="shared" si="62"/>
        <v>$$$</v>
      </c>
      <c r="BQ21" s="88" t="str">
        <f t="shared" si="63"/>
        <v>$$$</v>
      </c>
      <c r="BR21" s="88" t="str">
        <f t="shared" si="64"/>
        <v>$$$</v>
      </c>
      <c r="BS21" s="29" t="e">
        <f t="shared" si="65"/>
        <v>#N/A</v>
      </c>
      <c r="BT21" s="29" t="e">
        <f t="shared" si="65"/>
        <v>#N/A</v>
      </c>
      <c r="BU21" s="29" t="e">
        <f t="shared" si="65"/>
        <v>#N/A</v>
      </c>
      <c r="BV21" s="29" t="e">
        <f t="shared" si="65"/>
        <v>#N/A</v>
      </c>
      <c r="BW21" s="29" t="e">
        <f t="shared" si="65"/>
        <v>#N/A</v>
      </c>
      <c r="BX21" s="29" t="e">
        <f t="shared" si="65"/>
        <v>#N/A</v>
      </c>
      <c r="BY21" s="29" t="e">
        <f t="shared" si="65"/>
        <v>#N/A</v>
      </c>
      <c r="BZ21" s="29" t="e">
        <f t="shared" si="65"/>
        <v>#N/A</v>
      </c>
      <c r="CA21" s="29" t="e">
        <f t="shared" si="65"/>
        <v>#N/A</v>
      </c>
      <c r="CB21" s="29" t="e">
        <f t="shared" si="65"/>
        <v>#N/A</v>
      </c>
      <c r="CC21" s="29" t="e">
        <f t="shared" si="65"/>
        <v>#N/A</v>
      </c>
      <c r="CD21" s="29" t="e">
        <f t="shared" si="65"/>
        <v>#N/A</v>
      </c>
      <c r="CE21" s="6" t="str">
        <f t="shared" si="7"/>
        <v/>
      </c>
      <c r="CF21" s="27" t="e">
        <f>IF(AND(CI21,NOT(AD21)),LOOKUP(CF$5,{0,750,1500},H21:J21),"")</f>
        <v>#N/A</v>
      </c>
      <c r="CG21" s="6" t="str">
        <f t="shared" si="8"/>
        <v/>
      </c>
      <c r="CH21" t="e">
        <f t="shared" si="66"/>
        <v>#N/A</v>
      </c>
      <c r="CI21" t="e">
        <f t="shared" si="67"/>
        <v>#N/A</v>
      </c>
      <c r="CJ21" s="6" t="e">
        <f t="shared" si="68"/>
        <v>#N/A</v>
      </c>
      <c r="CK21" s="6">
        <f t="shared" si="69"/>
        <v>1</v>
      </c>
      <c r="CL21" s="6">
        <f t="shared" si="70"/>
        <v>1</v>
      </c>
      <c r="CM21" s="6">
        <f t="shared" si="71"/>
        <v>1</v>
      </c>
      <c r="CN21" s="6">
        <f t="shared" si="72"/>
        <v>0</v>
      </c>
      <c r="CO21" s="6">
        <f t="shared" si="73"/>
        <v>1</v>
      </c>
      <c r="CP21" s="6">
        <f t="shared" si="74"/>
        <v>1</v>
      </c>
      <c r="CQ21" s="6">
        <f t="shared" si="75"/>
        <v>1</v>
      </c>
      <c r="CR21" s="81" t="str">
        <f t="shared" si="76"/>
        <v/>
      </c>
      <c r="CS21">
        <f t="shared" si="77"/>
        <v>3.5999999999999992</v>
      </c>
      <c r="CT21">
        <f t="shared" si="78"/>
        <v>20</v>
      </c>
      <c r="CU21" t="str">
        <f t="shared" si="79"/>
        <v>rm</v>
      </c>
      <c r="CV21" s="81">
        <f t="shared" si="80"/>
        <v>200</v>
      </c>
      <c r="CW21" s="81">
        <f>(CV21/25)^1.5*(Calculator!$BU$4/10000)*CW$5</f>
        <v>58.426389194959008</v>
      </c>
      <c r="CX21" t="str">
        <f t="shared" si="81"/>
        <v>$20/rm</v>
      </c>
    </row>
    <row r="22" spans="2:102" x14ac:dyDescent="0.25">
      <c r="B22" s="115" t="s">
        <v>233</v>
      </c>
      <c r="C22" s="13">
        <v>46248.413194444445</v>
      </c>
      <c r="D22">
        <v>17326</v>
      </c>
      <c r="E22" s="54" t="s">
        <v>237</v>
      </c>
      <c r="F22" s="54" t="s">
        <v>304</v>
      </c>
      <c r="G22" s="54" t="s">
        <v>2001</v>
      </c>
      <c r="H22" s="55">
        <v>11.600000000000001</v>
      </c>
      <c r="I22" s="55">
        <v>10.8</v>
      </c>
      <c r="J22" s="55">
        <v>10.4</v>
      </c>
      <c r="K22" s="54"/>
      <c r="L22" s="56" t="b">
        <v>0</v>
      </c>
      <c r="M22" s="56" t="b">
        <v>1</v>
      </c>
      <c r="N22" s="54">
        <v>1</v>
      </c>
      <c r="O22" s="54" t="s">
        <v>228</v>
      </c>
      <c r="P22" s="54">
        <v>22</v>
      </c>
      <c r="Q22" s="54">
        <v>3</v>
      </c>
      <c r="R22" s="54">
        <v>175</v>
      </c>
      <c r="S22" s="54" t="s">
        <v>305</v>
      </c>
      <c r="T22" s="54" t="s">
        <v>306</v>
      </c>
      <c r="U22" s="54" t="s">
        <v>1988</v>
      </c>
      <c r="V22" s="54" t="s">
        <v>307</v>
      </c>
      <c r="W22" s="54" t="b">
        <v>0</v>
      </c>
      <c r="X22" s="54"/>
      <c r="Y22" s="57" t="s">
        <v>2002</v>
      </c>
      <c r="Z22" s="54" t="s">
        <v>308</v>
      </c>
      <c r="AA22" s="54"/>
      <c r="AB22" s="54" t="s">
        <v>309</v>
      </c>
      <c r="AC22" s="56" t="b">
        <v>1</v>
      </c>
      <c r="AD22" s="56" t="b">
        <v>0</v>
      </c>
      <c r="AE22" s="54" t="s">
        <v>302</v>
      </c>
      <c r="AF22" s="58">
        <v>46248</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3.9530000000000003E-2</v>
      </c>
      <c r="BC22" s="60">
        <v>4.0599999999999996</v>
      </c>
      <c r="BD22" s="61">
        <v>6.0295000000000001E-2</v>
      </c>
      <c r="BE22" s="62" t="e">
        <v>#N/A</v>
      </c>
      <c r="BF22" s="35">
        <f t="shared" si="57"/>
        <v>4.0600000000000005</v>
      </c>
      <c r="BG22" s="35">
        <f t="shared" si="57"/>
        <v>6.0295000000000001E-2</v>
      </c>
      <c r="BH22" s="35" t="str">
        <f t="shared" si="58"/>
        <v>?</v>
      </c>
      <c r="BI22" s="110">
        <f t="shared" si="59"/>
        <v>0</v>
      </c>
      <c r="BJ22" s="83">
        <f>VLOOKUP($F22,REP_Info!$D$6:$H$250,5,FALSE)</f>
        <v>1.573</v>
      </c>
      <c r="BK22" s="30" t="e">
        <f t="shared" si="60"/>
        <v>#N/A</v>
      </c>
      <c r="BL22" s="30" t="e">
        <f t="shared" si="60"/>
        <v>#N/A</v>
      </c>
      <c r="BM22" s="30" t="e">
        <f t="shared" si="60"/>
        <v>#N/A</v>
      </c>
      <c r="BN22" s="29" t="e">
        <f t="shared" si="60"/>
        <v>#N/A</v>
      </c>
      <c r="BO22" s="85" t="str">
        <f t="shared" si="61"/>
        <v>$$$</v>
      </c>
      <c r="BP22" s="88" t="str">
        <f t="shared" si="62"/>
        <v>$$$</v>
      </c>
      <c r="BQ22" s="88" t="str">
        <f t="shared" si="63"/>
        <v>$$$</v>
      </c>
      <c r="BR22" s="88" t="str">
        <f t="shared" si="64"/>
        <v>$$$</v>
      </c>
      <c r="BS22" s="29" t="e">
        <f t="shared" si="65"/>
        <v>#N/A</v>
      </c>
      <c r="BT22" s="29" t="e">
        <f t="shared" si="65"/>
        <v>#N/A</v>
      </c>
      <c r="BU22" s="29" t="e">
        <f t="shared" si="65"/>
        <v>#N/A</v>
      </c>
      <c r="BV22" s="29" t="e">
        <f t="shared" si="65"/>
        <v>#N/A</v>
      </c>
      <c r="BW22" s="29" t="e">
        <f t="shared" si="65"/>
        <v>#N/A</v>
      </c>
      <c r="BX22" s="29" t="e">
        <f t="shared" si="65"/>
        <v>#N/A</v>
      </c>
      <c r="BY22" s="29" t="e">
        <f t="shared" si="65"/>
        <v>#N/A</v>
      </c>
      <c r="BZ22" s="29" t="e">
        <f t="shared" si="65"/>
        <v>#N/A</v>
      </c>
      <c r="CA22" s="29" t="e">
        <f t="shared" si="65"/>
        <v>#N/A</v>
      </c>
      <c r="CB22" s="29" t="e">
        <f t="shared" si="65"/>
        <v>#N/A</v>
      </c>
      <c r="CC22" s="29" t="e">
        <f t="shared" si="65"/>
        <v>#N/A</v>
      </c>
      <c r="CD22" s="29" t="e">
        <f t="shared" si="65"/>
        <v>#N/A</v>
      </c>
      <c r="CE22" s="6" t="str">
        <f t="shared" si="7"/>
        <v/>
      </c>
      <c r="CF22" s="27" t="e">
        <f>IF(AND(CI22,NOT(AD22)),LOOKUP(CF$5,{0,750,1500},H22:J22),"")</f>
        <v>#N/A</v>
      </c>
      <c r="CG22" s="6" t="str">
        <f t="shared" si="8"/>
        <v/>
      </c>
      <c r="CH22" t="e">
        <f t="shared" si="66"/>
        <v>#N/A</v>
      </c>
      <c r="CI22" t="e">
        <f t="shared" si="67"/>
        <v>#N/A</v>
      </c>
      <c r="CJ22" s="6" t="e">
        <f t="shared" si="68"/>
        <v>#N/A</v>
      </c>
      <c r="CK22" s="6">
        <f t="shared" si="69"/>
        <v>1</v>
      </c>
      <c r="CL22" s="6">
        <f t="shared" si="70"/>
        <v>1</v>
      </c>
      <c r="CM22" s="6">
        <f t="shared" si="71"/>
        <v>1</v>
      </c>
      <c r="CN22" s="6">
        <f t="shared" si="72"/>
        <v>0</v>
      </c>
      <c r="CO22" s="6">
        <f t="shared" si="73"/>
        <v>1</v>
      </c>
      <c r="CP22" s="6">
        <f t="shared" si="74"/>
        <v>1</v>
      </c>
      <c r="CQ22" s="6">
        <f t="shared" si="75"/>
        <v>1</v>
      </c>
      <c r="CR22" s="81" t="str">
        <f t="shared" si="76"/>
        <v/>
      </c>
      <c r="CS22">
        <f t="shared" si="77"/>
        <v>54</v>
      </c>
      <c r="CT22">
        <f t="shared" si="78"/>
        <v>175</v>
      </c>
      <c r="CU22" t="str">
        <f t="shared" si="79"/>
        <v/>
      </c>
      <c r="CV22" s="81">
        <f t="shared" si="80"/>
        <v>175</v>
      </c>
      <c r="CW22" s="81">
        <f>(CV22/25)^1.5*(Calculator!$BU$4/10000)*CW$5</f>
        <v>47.821272343654172</v>
      </c>
      <c r="CX22" t="str">
        <f t="shared" si="81"/>
        <v>$175</v>
      </c>
    </row>
    <row r="23" spans="2:102" x14ac:dyDescent="0.25">
      <c r="B23" s="115" t="s">
        <v>233</v>
      </c>
      <c r="C23" s="13">
        <v>46248.413194444445</v>
      </c>
      <c r="D23">
        <v>17330</v>
      </c>
      <c r="E23" s="54" t="s">
        <v>235</v>
      </c>
      <c r="F23" s="54" t="s">
        <v>304</v>
      </c>
      <c r="G23" s="54" t="s">
        <v>2001</v>
      </c>
      <c r="H23" s="55">
        <v>10.9</v>
      </c>
      <c r="I23" s="55">
        <v>10</v>
      </c>
      <c r="J23" s="55">
        <v>9.6</v>
      </c>
      <c r="K23" s="54"/>
      <c r="L23" s="56" t="b">
        <v>0</v>
      </c>
      <c r="M23" s="56" t="b">
        <v>1</v>
      </c>
      <c r="N23" s="54">
        <v>1</v>
      </c>
      <c r="O23" s="54" t="s">
        <v>228</v>
      </c>
      <c r="P23" s="54">
        <v>22</v>
      </c>
      <c r="Q23" s="54">
        <v>3</v>
      </c>
      <c r="R23" s="54">
        <v>175</v>
      </c>
      <c r="S23" s="54" t="s">
        <v>305</v>
      </c>
      <c r="T23" s="54" t="s">
        <v>306</v>
      </c>
      <c r="U23" s="54" t="s">
        <v>1987</v>
      </c>
      <c r="V23" s="54" t="s">
        <v>307</v>
      </c>
      <c r="W23" s="54" t="b">
        <v>0</v>
      </c>
      <c r="X23" s="54"/>
      <c r="Y23" s="57" t="s">
        <v>2003</v>
      </c>
      <c r="Z23" s="54" t="s">
        <v>308</v>
      </c>
      <c r="AA23" s="54"/>
      <c r="AB23" s="54" t="s">
        <v>309</v>
      </c>
      <c r="AC23" s="56" t="b">
        <v>1</v>
      </c>
      <c r="AD23" s="56" t="b">
        <v>0</v>
      </c>
      <c r="AE23" s="54" t="s">
        <v>302</v>
      </c>
      <c r="AF23" s="58">
        <v>46248</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3.9530000000000003E-2</v>
      </c>
      <c r="BC23" s="60">
        <v>4.9000000000000004</v>
      </c>
      <c r="BD23" s="61">
        <v>5.1461E-2</v>
      </c>
      <c r="BE23" s="62" t="e">
        <v>#N/A</v>
      </c>
      <c r="BF23" s="35">
        <f t="shared" si="57"/>
        <v>4.9000000000000004</v>
      </c>
      <c r="BG23" s="35">
        <f t="shared" si="57"/>
        <v>4.9811000000000001E-2</v>
      </c>
      <c r="BH23" s="35" t="str">
        <f t="shared" si="58"/>
        <v>?</v>
      </c>
      <c r="BI23" s="110">
        <f t="shared" si="59"/>
        <v>0</v>
      </c>
      <c r="BJ23" s="83">
        <f>VLOOKUP($F23,REP_Info!$D$6:$H$250,5,FALSE)</f>
        <v>1.573</v>
      </c>
      <c r="BK23" s="30" t="e">
        <f t="shared" si="60"/>
        <v>#N/A</v>
      </c>
      <c r="BL23" s="30" t="e">
        <f t="shared" si="60"/>
        <v>#N/A</v>
      </c>
      <c r="BM23" s="30" t="e">
        <f t="shared" si="60"/>
        <v>#N/A</v>
      </c>
      <c r="BN23" s="29" t="e">
        <f t="shared" si="60"/>
        <v>#N/A</v>
      </c>
      <c r="BO23" s="85" t="str">
        <f t="shared" si="61"/>
        <v>$$$</v>
      </c>
      <c r="BP23" s="88" t="str">
        <f t="shared" si="62"/>
        <v>$$$</v>
      </c>
      <c r="BQ23" s="88" t="str">
        <f t="shared" si="63"/>
        <v>$$$</v>
      </c>
      <c r="BR23" s="88" t="str">
        <f t="shared" si="64"/>
        <v>$$$</v>
      </c>
      <c r="BS23" s="29" t="e">
        <f t="shared" si="65"/>
        <v>#N/A</v>
      </c>
      <c r="BT23" s="29" t="e">
        <f t="shared" si="65"/>
        <v>#N/A</v>
      </c>
      <c r="BU23" s="29" t="e">
        <f t="shared" si="65"/>
        <v>#N/A</v>
      </c>
      <c r="BV23" s="29" t="e">
        <f t="shared" si="65"/>
        <v>#N/A</v>
      </c>
      <c r="BW23" s="29" t="e">
        <f t="shared" si="65"/>
        <v>#N/A</v>
      </c>
      <c r="BX23" s="29" t="e">
        <f t="shared" si="65"/>
        <v>#N/A</v>
      </c>
      <c r="BY23" s="29" t="e">
        <f t="shared" si="65"/>
        <v>#N/A</v>
      </c>
      <c r="BZ23" s="29" t="e">
        <f t="shared" si="65"/>
        <v>#N/A</v>
      </c>
      <c r="CA23" s="29" t="e">
        <f t="shared" si="65"/>
        <v>#N/A</v>
      </c>
      <c r="CB23" s="29" t="e">
        <f t="shared" si="65"/>
        <v>#N/A</v>
      </c>
      <c r="CC23" s="29" t="e">
        <f t="shared" si="65"/>
        <v>#N/A</v>
      </c>
      <c r="CD23" s="29" t="e">
        <f t="shared" si="65"/>
        <v>#N/A</v>
      </c>
      <c r="CE23" s="6" t="str">
        <f t="shared" si="7"/>
        <v/>
      </c>
      <c r="CF23" s="27" t="e">
        <f>IF(AND(CI23,NOT(AD23)),LOOKUP(CF$5,{0,750,1500},H23:J23),"")</f>
        <v>#N/A</v>
      </c>
      <c r="CG23" s="6" t="str">
        <f t="shared" si="8"/>
        <v/>
      </c>
      <c r="CH23" t="e">
        <f t="shared" si="66"/>
        <v>#N/A</v>
      </c>
      <c r="CI23" t="e">
        <f t="shared" si="67"/>
        <v>#N/A</v>
      </c>
      <c r="CJ23" s="6" t="e">
        <f t="shared" si="68"/>
        <v>#N/A</v>
      </c>
      <c r="CK23" s="6">
        <f t="shared" si="69"/>
        <v>1</v>
      </c>
      <c r="CL23" s="6">
        <f t="shared" si="70"/>
        <v>1</v>
      </c>
      <c r="CM23" s="6">
        <f t="shared" si="71"/>
        <v>1</v>
      </c>
      <c r="CN23" s="6">
        <f t="shared" si="72"/>
        <v>0</v>
      </c>
      <c r="CO23" s="6">
        <f t="shared" si="73"/>
        <v>1</v>
      </c>
      <c r="CP23" s="6">
        <f t="shared" si="74"/>
        <v>1</v>
      </c>
      <c r="CQ23" s="6">
        <f t="shared" si="75"/>
        <v>1</v>
      </c>
      <c r="CR23" s="81" t="str">
        <f t="shared" si="76"/>
        <v/>
      </c>
      <c r="CS23">
        <f t="shared" si="77"/>
        <v>54</v>
      </c>
      <c r="CT23">
        <f t="shared" si="78"/>
        <v>175</v>
      </c>
      <c r="CU23" t="str">
        <f t="shared" si="79"/>
        <v/>
      </c>
      <c r="CV23" s="81">
        <f t="shared" si="80"/>
        <v>175</v>
      </c>
      <c r="CW23" s="81">
        <f>(CV23/25)^1.5*(Calculator!$BU$4/10000)*CW$5</f>
        <v>47.821272343654172</v>
      </c>
      <c r="CX23" t="str">
        <f t="shared" si="81"/>
        <v>$175</v>
      </c>
    </row>
    <row r="24" spans="2:102" x14ac:dyDescent="0.25">
      <c r="B24" s="115" t="s">
        <v>233</v>
      </c>
      <c r="C24" s="13">
        <v>46248.413194444445</v>
      </c>
      <c r="D24">
        <v>22141</v>
      </c>
      <c r="E24" s="54" t="s">
        <v>237</v>
      </c>
      <c r="F24" s="54" t="s">
        <v>304</v>
      </c>
      <c r="G24" s="54" t="s">
        <v>2004</v>
      </c>
      <c r="H24" s="55">
        <v>11.600000000000001</v>
      </c>
      <c r="I24" s="55">
        <v>10.8</v>
      </c>
      <c r="J24" s="55">
        <v>10.299999999999999</v>
      </c>
      <c r="K24" s="54"/>
      <c r="L24" s="56" t="b">
        <v>0</v>
      </c>
      <c r="M24" s="56" t="b">
        <v>0</v>
      </c>
      <c r="N24" s="54">
        <v>1</v>
      </c>
      <c r="O24" s="54" t="s">
        <v>228</v>
      </c>
      <c r="P24" s="54">
        <v>22</v>
      </c>
      <c r="Q24" s="54">
        <v>3</v>
      </c>
      <c r="R24" s="54">
        <v>175</v>
      </c>
      <c r="S24" s="54" t="s">
        <v>305</v>
      </c>
      <c r="T24" s="54" t="s">
        <v>310</v>
      </c>
      <c r="U24" s="54" t="s">
        <v>1989</v>
      </c>
      <c r="V24" s="54" t="s">
        <v>307</v>
      </c>
      <c r="W24" s="54" t="b">
        <v>0</v>
      </c>
      <c r="X24" s="54"/>
      <c r="Y24" s="57" t="s">
        <v>2005</v>
      </c>
      <c r="Z24" s="54" t="s">
        <v>308</v>
      </c>
      <c r="AA24" s="54"/>
      <c r="AB24" s="54" t="s">
        <v>309</v>
      </c>
      <c r="AC24" s="56" t="b">
        <v>1</v>
      </c>
      <c r="AD24" s="56" t="b">
        <v>0</v>
      </c>
      <c r="AE24" s="54" t="s">
        <v>302</v>
      </c>
      <c r="AF24" s="58">
        <v>46248</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3.9E-2</v>
      </c>
      <c r="BC24" s="60">
        <v>4.0599999999999996</v>
      </c>
      <c r="BD24" s="61">
        <v>6.0295000000000001E-2</v>
      </c>
      <c r="BE24" s="62" t="s">
        <v>293</v>
      </c>
      <c r="BF24" s="35">
        <f t="shared" si="57"/>
        <v>4.0600000000000005</v>
      </c>
      <c r="BG24" s="35">
        <f t="shared" si="57"/>
        <v>6.0295000000000001E-2</v>
      </c>
      <c r="BH24" s="35" t="str">
        <f t="shared" si="58"/>
        <v>Med</v>
      </c>
      <c r="BI24" s="110">
        <f t="shared" si="59"/>
        <v>0</v>
      </c>
      <c r="BJ24" s="83">
        <f>VLOOKUP($F24,REP_Info!$D$6:$H$250,5,FALSE)</f>
        <v>1.573</v>
      </c>
      <c r="BK24" s="30">
        <f t="shared" si="60"/>
        <v>14.074166666666668</v>
      </c>
      <c r="BL24" s="30">
        <f t="shared" si="60"/>
        <v>12.001833333333334</v>
      </c>
      <c r="BM24" s="30">
        <f t="shared" si="60"/>
        <v>10.965666666666666</v>
      </c>
      <c r="BN24" s="29">
        <f t="shared" si="60"/>
        <v>10.620277777777778</v>
      </c>
      <c r="BO24" s="85" t="str">
        <f t="shared" si="61"/>
        <v>$$$</v>
      </c>
      <c r="BP24" s="88" t="str">
        <f t="shared" si="62"/>
        <v>$$$</v>
      </c>
      <c r="BQ24" s="88" t="str">
        <f t="shared" si="63"/>
        <v>$$$</v>
      </c>
      <c r="BR24" s="88" t="str">
        <f t="shared" si="64"/>
        <v>$$$</v>
      </c>
      <c r="BS24" s="29" t="e">
        <f t="shared" si="65"/>
        <v>#N/A</v>
      </c>
      <c r="BT24" s="29" t="e">
        <f t="shared" si="65"/>
        <v>#N/A</v>
      </c>
      <c r="BU24" s="29" t="e">
        <f t="shared" si="65"/>
        <v>#N/A</v>
      </c>
      <c r="BV24" s="29" t="e">
        <f t="shared" si="65"/>
        <v>#N/A</v>
      </c>
      <c r="BW24" s="29" t="e">
        <f t="shared" si="65"/>
        <v>#N/A</v>
      </c>
      <c r="BX24" s="29" t="e">
        <f t="shared" si="65"/>
        <v>#N/A</v>
      </c>
      <c r="BY24" s="29" t="e">
        <f t="shared" si="65"/>
        <v>#N/A</v>
      </c>
      <c r="BZ24" s="29" t="e">
        <f t="shared" si="65"/>
        <v>#N/A</v>
      </c>
      <c r="CA24" s="29" t="e">
        <f t="shared" si="65"/>
        <v>#N/A</v>
      </c>
      <c r="CB24" s="29" t="e">
        <f t="shared" si="65"/>
        <v>#N/A</v>
      </c>
      <c r="CC24" s="29" t="e">
        <f t="shared" si="65"/>
        <v>#N/A</v>
      </c>
      <c r="CD24" s="29" t="e">
        <f t="shared" si="65"/>
        <v>#N/A</v>
      </c>
      <c r="CE24" s="6" t="str">
        <f t="shared" si="7"/>
        <v/>
      </c>
      <c r="CF24" s="27" t="e">
        <f>IF(AND(CI24,NOT(AD24)),LOOKUP(CF$5,{0,750,1500},H24:J24),"")</f>
        <v>#N/A</v>
      </c>
      <c r="CG24" s="6" t="str">
        <f t="shared" si="8"/>
        <v/>
      </c>
      <c r="CH24" t="e">
        <f t="shared" si="66"/>
        <v>#N/A</v>
      </c>
      <c r="CI24" t="e">
        <f t="shared" si="67"/>
        <v>#N/A</v>
      </c>
      <c r="CJ24" s="6" t="e">
        <f t="shared" si="68"/>
        <v>#N/A</v>
      </c>
      <c r="CK24" s="6">
        <f t="shared" si="69"/>
        <v>1</v>
      </c>
      <c r="CL24" s="6">
        <f t="shared" si="70"/>
        <v>1</v>
      </c>
      <c r="CM24" s="6">
        <f t="shared" si="71"/>
        <v>1</v>
      </c>
      <c r="CN24" s="6">
        <f t="shared" si="72"/>
        <v>0</v>
      </c>
      <c r="CO24" s="6">
        <f t="shared" si="73"/>
        <v>1</v>
      </c>
      <c r="CP24" s="6">
        <f t="shared" si="74"/>
        <v>1</v>
      </c>
      <c r="CQ24" s="6">
        <f t="shared" si="75"/>
        <v>1</v>
      </c>
      <c r="CR24" s="81" t="str">
        <f t="shared" si="76"/>
        <v/>
      </c>
      <c r="CS24">
        <f t="shared" si="77"/>
        <v>54</v>
      </c>
      <c r="CT24">
        <f t="shared" si="78"/>
        <v>175</v>
      </c>
      <c r="CU24" t="str">
        <f t="shared" si="79"/>
        <v/>
      </c>
      <c r="CV24" s="81">
        <f t="shared" si="80"/>
        <v>175</v>
      </c>
      <c r="CW24" s="81">
        <f>(CV24/25)^1.5*(Calculator!$BU$4/10000)*CW$5</f>
        <v>47.821272343654172</v>
      </c>
      <c r="CX24" t="str">
        <f t="shared" si="81"/>
        <v>$175</v>
      </c>
    </row>
    <row r="25" spans="2:102" x14ac:dyDescent="0.25">
      <c r="B25" s="115" t="s">
        <v>233</v>
      </c>
      <c r="C25" s="13">
        <v>46248.413194444445</v>
      </c>
      <c r="D25">
        <v>22143</v>
      </c>
      <c r="E25" s="54" t="s">
        <v>235</v>
      </c>
      <c r="F25" s="54" t="s">
        <v>304</v>
      </c>
      <c r="G25" s="54" t="s">
        <v>2004</v>
      </c>
      <c r="H25" s="55">
        <v>10.9</v>
      </c>
      <c r="I25" s="55">
        <v>10</v>
      </c>
      <c r="J25" s="55">
        <v>9.5</v>
      </c>
      <c r="K25" s="54"/>
      <c r="L25" s="56" t="b">
        <v>0</v>
      </c>
      <c r="M25" s="56" t="b">
        <v>0</v>
      </c>
      <c r="N25" s="54">
        <v>1</v>
      </c>
      <c r="O25" s="54" t="s">
        <v>228</v>
      </c>
      <c r="P25" s="54">
        <v>22</v>
      </c>
      <c r="Q25" s="54">
        <v>3</v>
      </c>
      <c r="R25" s="54">
        <v>175</v>
      </c>
      <c r="S25" s="54" t="s">
        <v>305</v>
      </c>
      <c r="T25" s="54" t="s">
        <v>310</v>
      </c>
      <c r="U25" s="54" t="s">
        <v>1991</v>
      </c>
      <c r="V25" s="54" t="s">
        <v>307</v>
      </c>
      <c r="W25" s="54" t="b">
        <v>0</v>
      </c>
      <c r="X25" s="54"/>
      <c r="Y25" s="57" t="s">
        <v>2006</v>
      </c>
      <c r="Z25" s="54" t="s">
        <v>308</v>
      </c>
      <c r="AA25" s="54"/>
      <c r="AB25" s="54" t="s">
        <v>309</v>
      </c>
      <c r="AC25" s="56" t="b">
        <v>1</v>
      </c>
      <c r="AD25" s="56" t="b">
        <v>0</v>
      </c>
      <c r="AE25" s="54" t="s">
        <v>302</v>
      </c>
      <c r="AF25" s="58">
        <v>46248</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3.9E-2</v>
      </c>
      <c r="BC25" s="60">
        <v>4.9000000000000004</v>
      </c>
      <c r="BD25" s="61">
        <v>5.1461E-2</v>
      </c>
      <c r="BE25" s="62" t="s">
        <v>293</v>
      </c>
      <c r="BF25" s="35">
        <f t="shared" si="57"/>
        <v>4.9000000000000004</v>
      </c>
      <c r="BG25" s="35">
        <f t="shared" si="57"/>
        <v>4.9811000000000001E-2</v>
      </c>
      <c r="BH25" s="35" t="str">
        <f t="shared" si="58"/>
        <v>Med</v>
      </c>
      <c r="BI25" s="110">
        <f t="shared" si="59"/>
        <v>0</v>
      </c>
      <c r="BJ25" s="83">
        <f>VLOOKUP($F25,REP_Info!$D$6:$H$250,5,FALSE)</f>
        <v>1.573</v>
      </c>
      <c r="BK25" s="30">
        <f t="shared" si="60"/>
        <v>13.193766666666667</v>
      </c>
      <c r="BL25" s="30">
        <f t="shared" si="60"/>
        <v>11.037433333333334</v>
      </c>
      <c r="BM25" s="30">
        <f t="shared" si="60"/>
        <v>9.9592666666666663</v>
      </c>
      <c r="BN25" s="29">
        <f t="shared" si="60"/>
        <v>9.5998777777777775</v>
      </c>
      <c r="BO25" s="85" t="str">
        <f t="shared" si="61"/>
        <v>$$$</v>
      </c>
      <c r="BP25" s="88" t="str">
        <f t="shared" si="62"/>
        <v>$$$</v>
      </c>
      <c r="BQ25" s="88" t="str">
        <f t="shared" si="63"/>
        <v>$$$</v>
      </c>
      <c r="BR25" s="88" t="str">
        <f t="shared" si="64"/>
        <v>$$$</v>
      </c>
      <c r="BS25" s="29" t="e">
        <f t="shared" si="65"/>
        <v>#N/A</v>
      </c>
      <c r="BT25" s="29" t="e">
        <f t="shared" si="65"/>
        <v>#N/A</v>
      </c>
      <c r="BU25" s="29" t="e">
        <f t="shared" si="65"/>
        <v>#N/A</v>
      </c>
      <c r="BV25" s="29" t="e">
        <f t="shared" si="65"/>
        <v>#N/A</v>
      </c>
      <c r="BW25" s="29" t="e">
        <f t="shared" si="65"/>
        <v>#N/A</v>
      </c>
      <c r="BX25" s="29" t="e">
        <f t="shared" si="65"/>
        <v>#N/A</v>
      </c>
      <c r="BY25" s="29" t="e">
        <f t="shared" si="65"/>
        <v>#N/A</v>
      </c>
      <c r="BZ25" s="29" t="e">
        <f t="shared" si="65"/>
        <v>#N/A</v>
      </c>
      <c r="CA25" s="29" t="e">
        <f t="shared" si="65"/>
        <v>#N/A</v>
      </c>
      <c r="CB25" s="29" t="e">
        <f t="shared" si="65"/>
        <v>#N/A</v>
      </c>
      <c r="CC25" s="29" t="e">
        <f t="shared" si="65"/>
        <v>#N/A</v>
      </c>
      <c r="CD25" s="29" t="e">
        <f t="shared" si="65"/>
        <v>#N/A</v>
      </c>
      <c r="CE25" s="6" t="str">
        <f t="shared" si="7"/>
        <v/>
      </c>
      <c r="CF25" s="27" t="e">
        <f>IF(AND(CI25,NOT(AD25)),LOOKUP(CF$5,{0,750,1500},H25:J25),"")</f>
        <v>#N/A</v>
      </c>
      <c r="CG25" s="6" t="str">
        <f t="shared" si="8"/>
        <v/>
      </c>
      <c r="CH25" t="e">
        <f t="shared" si="66"/>
        <v>#N/A</v>
      </c>
      <c r="CI25" t="e">
        <f t="shared" si="67"/>
        <v>#N/A</v>
      </c>
      <c r="CJ25" s="6" t="e">
        <f t="shared" si="68"/>
        <v>#N/A</v>
      </c>
      <c r="CK25" s="6">
        <f t="shared" si="69"/>
        <v>1</v>
      </c>
      <c r="CL25" s="6">
        <f t="shared" si="70"/>
        <v>1</v>
      </c>
      <c r="CM25" s="6">
        <f t="shared" si="71"/>
        <v>1</v>
      </c>
      <c r="CN25" s="6">
        <f t="shared" si="72"/>
        <v>0</v>
      </c>
      <c r="CO25" s="6">
        <f t="shared" si="73"/>
        <v>1</v>
      </c>
      <c r="CP25" s="6">
        <f t="shared" si="74"/>
        <v>1</v>
      </c>
      <c r="CQ25" s="6">
        <f t="shared" si="75"/>
        <v>1</v>
      </c>
      <c r="CR25" s="81" t="str">
        <f t="shared" si="76"/>
        <v/>
      </c>
      <c r="CS25">
        <f t="shared" si="77"/>
        <v>54</v>
      </c>
      <c r="CT25">
        <f t="shared" si="78"/>
        <v>175</v>
      </c>
      <c r="CU25" t="str">
        <f t="shared" si="79"/>
        <v/>
      </c>
      <c r="CV25" s="81">
        <f t="shared" si="80"/>
        <v>175</v>
      </c>
      <c r="CW25" s="81">
        <f>(CV25/25)^1.5*(Calculator!$BU$4/10000)*CW$5</f>
        <v>47.821272343654172</v>
      </c>
      <c r="CX25" t="str">
        <f t="shared" si="81"/>
        <v>$175</v>
      </c>
    </row>
    <row r="26" spans="2:102" x14ac:dyDescent="0.25">
      <c r="B26" s="115" t="s">
        <v>233</v>
      </c>
      <c r="C26" s="13">
        <v>46242.178472222222</v>
      </c>
      <c r="D26">
        <v>22774</v>
      </c>
      <c r="E26" s="54" t="s">
        <v>237</v>
      </c>
      <c r="F26" s="54" t="s">
        <v>304</v>
      </c>
      <c r="G26" s="54" t="s">
        <v>311</v>
      </c>
      <c r="H26" s="55">
        <v>23.799999999999997</v>
      </c>
      <c r="I26" s="55">
        <v>10.9</v>
      </c>
      <c r="J26" s="55">
        <v>17</v>
      </c>
      <c r="K26" s="54" t="s">
        <v>312</v>
      </c>
      <c r="L26" s="56" t="b">
        <v>0</v>
      </c>
      <c r="M26" s="56" t="b">
        <v>0</v>
      </c>
      <c r="N26" s="54">
        <v>1</v>
      </c>
      <c r="O26" s="54" t="s">
        <v>228</v>
      </c>
      <c r="P26" s="54">
        <v>22</v>
      </c>
      <c r="Q26" s="54">
        <v>12</v>
      </c>
      <c r="R26" s="54">
        <v>175</v>
      </c>
      <c r="S26" s="54" t="s">
        <v>305</v>
      </c>
      <c r="T26" s="54" t="s">
        <v>313</v>
      </c>
      <c r="U26" s="54" t="s">
        <v>314</v>
      </c>
      <c r="V26" s="54" t="s">
        <v>307</v>
      </c>
      <c r="W26" s="54" t="b">
        <v>0</v>
      </c>
      <c r="X26" s="54"/>
      <c r="Y26" s="57" t="s">
        <v>315</v>
      </c>
      <c r="Z26" s="54" t="s">
        <v>316</v>
      </c>
      <c r="AA26" s="54"/>
      <c r="AB26" s="54" t="s">
        <v>309</v>
      </c>
      <c r="AC26" s="56" t="b">
        <v>1</v>
      </c>
      <c r="AD26" s="56" t="b">
        <v>1</v>
      </c>
      <c r="AE26" s="54" t="s">
        <v>302</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si="57"/>
        <v>4.0600000000000005</v>
      </c>
      <c r="BG26" s="35">
        <f t="shared" si="57"/>
        <v>6.0295000000000001E-2</v>
      </c>
      <c r="BH26" s="35" t="str">
        <f t="shared" si="58"/>
        <v>High</v>
      </c>
      <c r="BI26" s="110">
        <f t="shared" si="59"/>
        <v>0</v>
      </c>
      <c r="BJ26" s="83">
        <f>VLOOKUP($F26,REP_Info!$D$6:$H$250,5,FALSE)</f>
        <v>1.573</v>
      </c>
      <c r="BK26" s="30">
        <f t="shared" si="60"/>
        <v>23.841500000000003</v>
      </c>
      <c r="BL26" s="30">
        <f t="shared" si="60"/>
        <v>10.935499999999999</v>
      </c>
      <c r="BM26" s="30">
        <f t="shared" si="60"/>
        <v>16.982500000000002</v>
      </c>
      <c r="BN26" s="29">
        <f t="shared" si="60"/>
        <v>18.99816666666667</v>
      </c>
      <c r="BO26" s="85" t="str">
        <f t="shared" si="61"/>
        <v>$$$</v>
      </c>
      <c r="BP26" s="88" t="str">
        <f t="shared" si="62"/>
        <v>$$$</v>
      </c>
      <c r="BQ26" s="88" t="str">
        <f t="shared" si="63"/>
        <v>$$$</v>
      </c>
      <c r="BR26" s="88" t="str">
        <f t="shared" si="64"/>
        <v>$$$</v>
      </c>
      <c r="BS26" s="29" t="e">
        <f t="shared" si="65"/>
        <v>#N/A</v>
      </c>
      <c r="BT26" s="29" t="e">
        <f t="shared" si="65"/>
        <v>#N/A</v>
      </c>
      <c r="BU26" s="29" t="e">
        <f t="shared" si="65"/>
        <v>#N/A</v>
      </c>
      <c r="BV26" s="29" t="e">
        <f t="shared" si="65"/>
        <v>#N/A</v>
      </c>
      <c r="BW26" s="29" t="e">
        <f t="shared" si="65"/>
        <v>#N/A</v>
      </c>
      <c r="BX26" s="29" t="e">
        <f t="shared" si="65"/>
        <v>#N/A</v>
      </c>
      <c r="BY26" s="29" t="e">
        <f t="shared" si="65"/>
        <v>#N/A</v>
      </c>
      <c r="BZ26" s="29" t="e">
        <f t="shared" si="65"/>
        <v>#N/A</v>
      </c>
      <c r="CA26" s="29" t="e">
        <f t="shared" si="65"/>
        <v>#N/A</v>
      </c>
      <c r="CB26" s="29" t="e">
        <f t="shared" si="65"/>
        <v>#N/A</v>
      </c>
      <c r="CC26" s="29" t="e">
        <f t="shared" si="65"/>
        <v>#N/A</v>
      </c>
      <c r="CD26" s="29" t="e">
        <f t="shared" si="65"/>
        <v>#N/A</v>
      </c>
      <c r="CE26" s="6" t="str">
        <f t="shared" si="7"/>
        <v/>
      </c>
      <c r="CF26" s="27" t="e">
        <f>IF(AND(CI26,NOT(AD26)),LOOKUP(CF$5,{0,750,1500},H26:J26),"")</f>
        <v>#N/A</v>
      </c>
      <c r="CG26" s="6" t="str">
        <f t="shared" si="8"/>
        <v/>
      </c>
      <c r="CH26" t="e">
        <f t="shared" si="66"/>
        <v>#N/A</v>
      </c>
      <c r="CI26" t="e">
        <f t="shared" si="67"/>
        <v>#N/A</v>
      </c>
      <c r="CJ26" s="6" t="e">
        <f t="shared" si="68"/>
        <v>#N/A</v>
      </c>
      <c r="CK26" s="6">
        <f t="shared" si="69"/>
        <v>1</v>
      </c>
      <c r="CL26" s="6">
        <f t="shared" si="70"/>
        <v>1</v>
      </c>
      <c r="CM26" s="6">
        <f t="shared" si="71"/>
        <v>1</v>
      </c>
      <c r="CN26" s="6">
        <f t="shared" si="72"/>
        <v>1</v>
      </c>
      <c r="CO26" s="6">
        <f t="shared" si="73"/>
        <v>1</v>
      </c>
      <c r="CP26" s="6">
        <f t="shared" si="74"/>
        <v>1</v>
      </c>
      <c r="CQ26" s="6">
        <f t="shared" si="75"/>
        <v>1</v>
      </c>
      <c r="CR26" s="81" t="str">
        <f t="shared" si="76"/>
        <v/>
      </c>
      <c r="CS26">
        <f t="shared" si="77"/>
        <v>0</v>
      </c>
      <c r="CT26">
        <f t="shared" si="78"/>
        <v>175</v>
      </c>
      <c r="CU26" t="str">
        <f t="shared" si="79"/>
        <v/>
      </c>
      <c r="CV26" s="81">
        <f t="shared" si="80"/>
        <v>175</v>
      </c>
      <c r="CW26" s="81">
        <f>(CV26/25)^1.5*(Calculator!$BU$4/10000)*CW$5</f>
        <v>47.821272343654172</v>
      </c>
      <c r="CX26" t="str">
        <f t="shared" si="81"/>
        <v>$175</v>
      </c>
    </row>
    <row r="27" spans="2:102" x14ac:dyDescent="0.25">
      <c r="B27" s="115" t="s">
        <v>233</v>
      </c>
      <c r="C27" s="13">
        <v>46242.178472222222</v>
      </c>
      <c r="D27">
        <v>24328</v>
      </c>
      <c r="E27" s="54" t="s">
        <v>235</v>
      </c>
      <c r="F27" s="54" t="s">
        <v>304</v>
      </c>
      <c r="G27" s="54" t="s">
        <v>311</v>
      </c>
      <c r="H27" s="55">
        <v>21.5</v>
      </c>
      <c r="I27" s="55">
        <v>8.5</v>
      </c>
      <c r="J27" s="55">
        <v>14.499999999999998</v>
      </c>
      <c r="K27" s="54" t="s">
        <v>312</v>
      </c>
      <c r="L27" s="56" t="b">
        <v>0</v>
      </c>
      <c r="M27" s="56" t="b">
        <v>0</v>
      </c>
      <c r="N27" s="54">
        <v>1</v>
      </c>
      <c r="O27" s="54" t="s">
        <v>228</v>
      </c>
      <c r="P27" s="54">
        <v>22</v>
      </c>
      <c r="Q27" s="54">
        <v>12</v>
      </c>
      <c r="R27" s="54">
        <v>175</v>
      </c>
      <c r="S27" s="54" t="s">
        <v>305</v>
      </c>
      <c r="T27" s="54" t="s">
        <v>313</v>
      </c>
      <c r="U27" s="54" t="s">
        <v>317</v>
      </c>
      <c r="V27" s="54" t="s">
        <v>307</v>
      </c>
      <c r="W27" s="54" t="b">
        <v>0</v>
      </c>
      <c r="X27" s="54"/>
      <c r="Y27" s="57" t="s">
        <v>318</v>
      </c>
      <c r="Z27" s="54" t="s">
        <v>316</v>
      </c>
      <c r="AA27" s="54"/>
      <c r="AB27" s="54" t="s">
        <v>309</v>
      </c>
      <c r="AC27" s="56" t="b">
        <v>1</v>
      </c>
      <c r="AD27" s="56" t="b">
        <v>1</v>
      </c>
      <c r="AE27" s="54" t="s">
        <v>302</v>
      </c>
      <c r="AF27" s="58">
        <v>46242</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5.1461E-2</v>
      </c>
      <c r="BE27" s="62" t="s">
        <v>293</v>
      </c>
      <c r="BF27" s="35">
        <f t="shared" si="57"/>
        <v>4.9000000000000004</v>
      </c>
      <c r="BG27" s="35">
        <f t="shared" si="57"/>
        <v>4.9811000000000001E-2</v>
      </c>
      <c r="BH27" s="35" t="str">
        <f t="shared" si="58"/>
        <v>High</v>
      </c>
      <c r="BI27" s="110">
        <f t="shared" si="59"/>
        <v>0</v>
      </c>
      <c r="BJ27" s="83">
        <f>VLOOKUP($F27,REP_Info!$D$6:$H$250,5,FALSE)</f>
        <v>1.573</v>
      </c>
      <c r="BK27" s="30">
        <f t="shared" si="60"/>
        <v>21.3611</v>
      </c>
      <c r="BL27" s="30">
        <f t="shared" si="60"/>
        <v>8.3711000000000002</v>
      </c>
      <c r="BM27" s="30">
        <f t="shared" si="60"/>
        <v>14.376100000000001</v>
      </c>
      <c r="BN27" s="29">
        <f t="shared" si="60"/>
        <v>16.377766666666666</v>
      </c>
      <c r="BO27" s="85" t="str">
        <f t="shared" si="61"/>
        <v>$$$</v>
      </c>
      <c r="BP27" s="88" t="str">
        <f t="shared" si="62"/>
        <v>$$$</v>
      </c>
      <c r="BQ27" s="88" t="str">
        <f t="shared" si="63"/>
        <v>$$$</v>
      </c>
      <c r="BR27" s="88" t="str">
        <f t="shared" si="64"/>
        <v>$$$</v>
      </c>
      <c r="BS27" s="29" t="e">
        <f t="shared" si="65"/>
        <v>#N/A</v>
      </c>
      <c r="BT27" s="29" t="e">
        <f t="shared" si="65"/>
        <v>#N/A</v>
      </c>
      <c r="BU27" s="29" t="e">
        <f t="shared" si="65"/>
        <v>#N/A</v>
      </c>
      <c r="BV27" s="29" t="e">
        <f t="shared" si="65"/>
        <v>#N/A</v>
      </c>
      <c r="BW27" s="29" t="e">
        <f t="shared" si="65"/>
        <v>#N/A</v>
      </c>
      <c r="BX27" s="29" t="e">
        <f t="shared" si="65"/>
        <v>#N/A</v>
      </c>
      <c r="BY27" s="29" t="e">
        <f t="shared" si="65"/>
        <v>#N/A</v>
      </c>
      <c r="BZ27" s="29" t="e">
        <f t="shared" si="65"/>
        <v>#N/A</v>
      </c>
      <c r="CA27" s="29" t="e">
        <f t="shared" si="65"/>
        <v>#N/A</v>
      </c>
      <c r="CB27" s="29" t="e">
        <f t="shared" si="65"/>
        <v>#N/A</v>
      </c>
      <c r="CC27" s="29" t="e">
        <f t="shared" si="65"/>
        <v>#N/A</v>
      </c>
      <c r="CD27" s="29" t="e">
        <f t="shared" si="65"/>
        <v>#N/A</v>
      </c>
      <c r="CE27" s="6" t="str">
        <f t="shared" si="7"/>
        <v/>
      </c>
      <c r="CF27" s="27" t="e">
        <f>IF(AND(CI27,NOT(AD27)),LOOKUP(CF$5,{0,750,1500},H27:J27),"")</f>
        <v>#N/A</v>
      </c>
      <c r="CG27" s="6" t="str">
        <f t="shared" si="8"/>
        <v/>
      </c>
      <c r="CH27" t="e">
        <f t="shared" si="66"/>
        <v>#N/A</v>
      </c>
      <c r="CI27" t="e">
        <f t="shared" si="67"/>
        <v>#N/A</v>
      </c>
      <c r="CJ27" s="6" t="e">
        <f t="shared" si="68"/>
        <v>#N/A</v>
      </c>
      <c r="CK27" s="6">
        <f t="shared" si="69"/>
        <v>1</v>
      </c>
      <c r="CL27" s="6">
        <f t="shared" si="70"/>
        <v>1</v>
      </c>
      <c r="CM27" s="6">
        <f t="shared" si="71"/>
        <v>1</v>
      </c>
      <c r="CN27" s="6">
        <f t="shared" si="72"/>
        <v>1</v>
      </c>
      <c r="CO27" s="6">
        <f t="shared" si="73"/>
        <v>1</v>
      </c>
      <c r="CP27" s="6">
        <f t="shared" si="74"/>
        <v>1</v>
      </c>
      <c r="CQ27" s="6">
        <f t="shared" si="75"/>
        <v>1</v>
      </c>
      <c r="CR27" s="81" t="str">
        <f t="shared" si="76"/>
        <v/>
      </c>
      <c r="CS27">
        <f t="shared" si="77"/>
        <v>0</v>
      </c>
      <c r="CT27">
        <f t="shared" si="78"/>
        <v>175</v>
      </c>
      <c r="CU27" t="str">
        <f t="shared" si="79"/>
        <v/>
      </c>
      <c r="CV27" s="81">
        <f t="shared" si="80"/>
        <v>175</v>
      </c>
      <c r="CW27" s="81">
        <f>(CV27/25)^1.5*(Calculator!$BU$4/10000)*CW$5</f>
        <v>47.821272343654172</v>
      </c>
      <c r="CX27" t="str">
        <f t="shared" si="81"/>
        <v>$175</v>
      </c>
    </row>
    <row r="28" spans="2:102" x14ac:dyDescent="0.25">
      <c r="B28" s="115" t="s">
        <v>233</v>
      </c>
      <c r="C28" s="13">
        <v>46242.178472222222</v>
      </c>
      <c r="D28">
        <v>24338</v>
      </c>
      <c r="E28" s="54" t="s">
        <v>237</v>
      </c>
      <c r="F28" s="54" t="s">
        <v>304</v>
      </c>
      <c r="G28" s="54" t="s">
        <v>319</v>
      </c>
      <c r="H28" s="55">
        <v>15.9</v>
      </c>
      <c r="I28" s="55">
        <v>15.5</v>
      </c>
      <c r="J28" s="55">
        <v>15.299999999999999</v>
      </c>
      <c r="K28" s="54"/>
      <c r="L28" s="56" t="b">
        <v>0</v>
      </c>
      <c r="M28" s="56" t="b">
        <v>0</v>
      </c>
      <c r="N28" s="54">
        <v>1</v>
      </c>
      <c r="O28" s="54" t="s">
        <v>228</v>
      </c>
      <c r="P28" s="54">
        <v>22</v>
      </c>
      <c r="Q28" s="54">
        <v>36</v>
      </c>
      <c r="R28" s="54">
        <v>175</v>
      </c>
      <c r="S28" s="54" t="s">
        <v>305</v>
      </c>
      <c r="T28" s="54" t="s">
        <v>320</v>
      </c>
      <c r="U28" s="54" t="s">
        <v>321</v>
      </c>
      <c r="V28" s="54" t="s">
        <v>307</v>
      </c>
      <c r="W28" s="54" t="b">
        <v>0</v>
      </c>
      <c r="X28" s="54"/>
      <c r="Y28" s="57" t="s">
        <v>322</v>
      </c>
      <c r="Z28" s="54" t="s">
        <v>323</v>
      </c>
      <c r="AA28" s="54"/>
      <c r="AB28" s="54" t="s">
        <v>309</v>
      </c>
      <c r="AC28" s="56" t="b">
        <v>1</v>
      </c>
      <c r="AD28" s="56" t="b">
        <v>0</v>
      </c>
      <c r="AE28" s="54" t="s">
        <v>302</v>
      </c>
      <c r="AF28" s="58">
        <v>46242</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9.0999999999999998E-2</v>
      </c>
      <c r="BC28" s="60">
        <v>4.0599999999999996</v>
      </c>
      <c r="BD28" s="61">
        <v>6.0295000000000001E-2</v>
      </c>
      <c r="BE28" s="62" t="s">
        <v>293</v>
      </c>
      <c r="BF28" s="35">
        <f t="shared" si="57"/>
        <v>4.0600000000000005</v>
      </c>
      <c r="BG28" s="35">
        <f t="shared" si="57"/>
        <v>6.0295000000000001E-2</v>
      </c>
      <c r="BH28" s="35" t="str">
        <f t="shared" si="58"/>
        <v>Low</v>
      </c>
      <c r="BI28" s="110">
        <f t="shared" si="59"/>
        <v>0</v>
      </c>
      <c r="BJ28" s="83">
        <f>VLOOKUP($F28,REP_Info!$D$6:$H$250,5,FALSE)</f>
        <v>1.573</v>
      </c>
      <c r="BK28" s="30">
        <f t="shared" si="60"/>
        <v>15.941500000000001</v>
      </c>
      <c r="BL28" s="30">
        <f t="shared" si="60"/>
        <v>15.535500000000003</v>
      </c>
      <c r="BM28" s="30">
        <f t="shared" si="60"/>
        <v>15.332499999999998</v>
      </c>
      <c r="BN28" s="29">
        <f t="shared" si="60"/>
        <v>15.264833333333334</v>
      </c>
      <c r="BO28" s="85" t="str">
        <f t="shared" si="61"/>
        <v>$$$</v>
      </c>
      <c r="BP28" s="88" t="str">
        <f t="shared" si="62"/>
        <v>$$$</v>
      </c>
      <c r="BQ28" s="88" t="str">
        <f t="shared" si="63"/>
        <v>$$$</v>
      </c>
      <c r="BR28" s="88" t="str">
        <f t="shared" si="64"/>
        <v>$$$</v>
      </c>
      <c r="BS28" s="29" t="e">
        <f t="shared" si="65"/>
        <v>#N/A</v>
      </c>
      <c r="BT28" s="29" t="e">
        <f t="shared" si="65"/>
        <v>#N/A</v>
      </c>
      <c r="BU28" s="29" t="e">
        <f t="shared" si="65"/>
        <v>#N/A</v>
      </c>
      <c r="BV28" s="29" t="e">
        <f t="shared" si="65"/>
        <v>#N/A</v>
      </c>
      <c r="BW28" s="29" t="e">
        <f t="shared" si="65"/>
        <v>#N/A</v>
      </c>
      <c r="BX28" s="29" t="e">
        <f t="shared" si="65"/>
        <v>#N/A</v>
      </c>
      <c r="BY28" s="29" t="e">
        <f t="shared" si="65"/>
        <v>#N/A</v>
      </c>
      <c r="BZ28" s="29" t="e">
        <f t="shared" si="65"/>
        <v>#N/A</v>
      </c>
      <c r="CA28" s="29" t="e">
        <f t="shared" si="65"/>
        <v>#N/A</v>
      </c>
      <c r="CB28" s="29" t="e">
        <f t="shared" si="65"/>
        <v>#N/A</v>
      </c>
      <c r="CC28" s="29" t="e">
        <f t="shared" si="65"/>
        <v>#N/A</v>
      </c>
      <c r="CD28" s="29" t="e">
        <f t="shared" si="65"/>
        <v>#N/A</v>
      </c>
      <c r="CE28" s="6" t="str">
        <f t="shared" si="7"/>
        <v/>
      </c>
      <c r="CF28" s="27" t="e">
        <f>IF(AND(CI28,NOT(AD28)),LOOKUP(CF$5,{0,750,1500},H28:J28),"")</f>
        <v>#N/A</v>
      </c>
      <c r="CG28" s="6" t="str">
        <f t="shared" si="8"/>
        <v/>
      </c>
      <c r="CH28" t="e">
        <f t="shared" si="66"/>
        <v>#N/A</v>
      </c>
      <c r="CI28" t="e">
        <f t="shared" si="67"/>
        <v>#N/A</v>
      </c>
      <c r="CJ28" s="6" t="e">
        <f t="shared" si="68"/>
        <v>#N/A</v>
      </c>
      <c r="CK28" s="6">
        <f t="shared" si="69"/>
        <v>1</v>
      </c>
      <c r="CL28" s="6">
        <f t="shared" si="70"/>
        <v>1</v>
      </c>
      <c r="CM28" s="6">
        <f t="shared" si="71"/>
        <v>1</v>
      </c>
      <c r="CN28" s="6">
        <f t="shared" si="72"/>
        <v>1</v>
      </c>
      <c r="CO28" s="6">
        <f t="shared" si="73"/>
        <v>0</v>
      </c>
      <c r="CP28" s="6">
        <f t="shared" si="74"/>
        <v>1</v>
      </c>
      <c r="CQ28" s="6">
        <f t="shared" si="75"/>
        <v>1</v>
      </c>
      <c r="CR28" s="81" t="str">
        <f t="shared" si="76"/>
        <v/>
      </c>
      <c r="CS28">
        <f t="shared" si="77"/>
        <v>0</v>
      </c>
      <c r="CT28">
        <f t="shared" si="78"/>
        <v>175</v>
      </c>
      <c r="CU28" t="str">
        <f t="shared" si="79"/>
        <v/>
      </c>
      <c r="CV28" s="81">
        <f t="shared" si="80"/>
        <v>175</v>
      </c>
      <c r="CW28" s="81">
        <f>(CV28/25)^1.5*(Calculator!$BU$4/10000)*CW$5</f>
        <v>47.821272343654172</v>
      </c>
      <c r="CX28" t="str">
        <f t="shared" si="81"/>
        <v>$175</v>
      </c>
    </row>
    <row r="29" spans="2:102" x14ac:dyDescent="0.25">
      <c r="B29" s="115" t="s">
        <v>233</v>
      </c>
      <c r="C29" s="13">
        <v>46242.178472222222</v>
      </c>
      <c r="D29">
        <v>24621</v>
      </c>
      <c r="E29" s="54" t="s">
        <v>235</v>
      </c>
      <c r="F29" s="54" t="s">
        <v>304</v>
      </c>
      <c r="G29" s="54" t="s">
        <v>319</v>
      </c>
      <c r="H29" s="55">
        <v>15.4</v>
      </c>
      <c r="I29" s="55">
        <v>14.899999999999999</v>
      </c>
      <c r="J29" s="55">
        <v>14.7</v>
      </c>
      <c r="K29" s="54"/>
      <c r="L29" s="56" t="b">
        <v>0</v>
      </c>
      <c r="M29" s="56" t="b">
        <v>0</v>
      </c>
      <c r="N29" s="54">
        <v>1</v>
      </c>
      <c r="O29" s="54" t="s">
        <v>228</v>
      </c>
      <c r="P29" s="54">
        <v>22</v>
      </c>
      <c r="Q29" s="54">
        <v>36</v>
      </c>
      <c r="R29" s="54">
        <v>175</v>
      </c>
      <c r="S29" s="54" t="s">
        <v>305</v>
      </c>
      <c r="T29" s="54" t="s">
        <v>320</v>
      </c>
      <c r="U29" s="54" t="s">
        <v>324</v>
      </c>
      <c r="V29" s="54" t="s">
        <v>307</v>
      </c>
      <c r="W29" s="54" t="b">
        <v>0</v>
      </c>
      <c r="X29" s="54"/>
      <c r="Y29" s="57" t="s">
        <v>325</v>
      </c>
      <c r="Z29" s="54" t="s">
        <v>323</v>
      </c>
      <c r="AA29" s="54"/>
      <c r="AB29" s="54" t="s">
        <v>309</v>
      </c>
      <c r="AC29" s="56" t="b">
        <v>1</v>
      </c>
      <c r="AD29" s="56" t="b">
        <v>0</v>
      </c>
      <c r="AE29" s="54" t="s">
        <v>302</v>
      </c>
      <c r="AF29" s="58">
        <v>46242</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57"/>
        <v>4.9000000000000004</v>
      </c>
      <c r="BG29" s="35">
        <f t="shared" si="57"/>
        <v>4.9811000000000001E-2</v>
      </c>
      <c r="BH29" s="35" t="str">
        <f t="shared" si="58"/>
        <v>Low</v>
      </c>
      <c r="BI29" s="110">
        <f t="shared" si="59"/>
        <v>0</v>
      </c>
      <c r="BJ29" s="83">
        <f>VLOOKUP($F29,REP_Info!$D$6:$H$250,5,FALSE)</f>
        <v>1.573</v>
      </c>
      <c r="BK29" s="30">
        <f t="shared" si="60"/>
        <v>15.261099999999999</v>
      </c>
      <c r="BL29" s="30">
        <f t="shared" si="60"/>
        <v>14.771100000000002</v>
      </c>
      <c r="BM29" s="30">
        <f t="shared" si="60"/>
        <v>14.5261</v>
      </c>
      <c r="BN29" s="29">
        <f t="shared" si="60"/>
        <v>14.444433333333333</v>
      </c>
      <c r="BO29" s="85" t="str">
        <f t="shared" si="61"/>
        <v>$$$</v>
      </c>
      <c r="BP29" s="88" t="str">
        <f t="shared" si="62"/>
        <v>$$$</v>
      </c>
      <c r="BQ29" s="88" t="str">
        <f t="shared" si="63"/>
        <v>$$$</v>
      </c>
      <c r="BR29" s="88" t="str">
        <f t="shared" si="64"/>
        <v>$$$</v>
      </c>
      <c r="BS29" s="29" t="e">
        <f t="shared" si="65"/>
        <v>#N/A</v>
      </c>
      <c r="BT29" s="29" t="e">
        <f t="shared" si="65"/>
        <v>#N/A</v>
      </c>
      <c r="BU29" s="29" t="e">
        <f t="shared" si="65"/>
        <v>#N/A</v>
      </c>
      <c r="BV29" s="29" t="e">
        <f t="shared" si="65"/>
        <v>#N/A</v>
      </c>
      <c r="BW29" s="29" t="e">
        <f t="shared" si="65"/>
        <v>#N/A</v>
      </c>
      <c r="BX29" s="29" t="e">
        <f t="shared" si="65"/>
        <v>#N/A</v>
      </c>
      <c r="BY29" s="29" t="e">
        <f t="shared" si="65"/>
        <v>#N/A</v>
      </c>
      <c r="BZ29" s="29" t="e">
        <f t="shared" si="65"/>
        <v>#N/A</v>
      </c>
      <c r="CA29" s="29" t="e">
        <f t="shared" si="65"/>
        <v>#N/A</v>
      </c>
      <c r="CB29" s="29" t="e">
        <f t="shared" si="65"/>
        <v>#N/A</v>
      </c>
      <c r="CC29" s="29" t="e">
        <f t="shared" si="65"/>
        <v>#N/A</v>
      </c>
      <c r="CD29" s="29" t="e">
        <f t="shared" si="65"/>
        <v>#N/A</v>
      </c>
      <c r="CE29" s="6" t="str">
        <f t="shared" si="7"/>
        <v/>
      </c>
      <c r="CF29" s="27" t="e">
        <f>IF(AND(CI29,NOT(AD29)),LOOKUP(CF$5,{0,750,1500},H29:J29),"")</f>
        <v>#N/A</v>
      </c>
      <c r="CG29" s="6" t="str">
        <f t="shared" si="8"/>
        <v/>
      </c>
      <c r="CH29" t="e">
        <f t="shared" si="66"/>
        <v>#N/A</v>
      </c>
      <c r="CI29" t="e">
        <f t="shared" si="67"/>
        <v>#N/A</v>
      </c>
      <c r="CJ29" s="6" t="e">
        <f t="shared" si="68"/>
        <v>#N/A</v>
      </c>
      <c r="CK29" s="6">
        <f t="shared" si="69"/>
        <v>1</v>
      </c>
      <c r="CL29" s="6">
        <f t="shared" si="70"/>
        <v>1</v>
      </c>
      <c r="CM29" s="6">
        <f t="shared" si="71"/>
        <v>1</v>
      </c>
      <c r="CN29" s="6">
        <f t="shared" si="72"/>
        <v>1</v>
      </c>
      <c r="CO29" s="6">
        <f t="shared" si="73"/>
        <v>0</v>
      </c>
      <c r="CP29" s="6">
        <f t="shared" si="74"/>
        <v>1</v>
      </c>
      <c r="CQ29" s="6">
        <f t="shared" si="75"/>
        <v>1</v>
      </c>
      <c r="CR29" s="81" t="str">
        <f t="shared" si="76"/>
        <v/>
      </c>
      <c r="CS29">
        <f t="shared" si="77"/>
        <v>0</v>
      </c>
      <c r="CT29">
        <f t="shared" si="78"/>
        <v>175</v>
      </c>
      <c r="CU29" t="str">
        <f t="shared" si="79"/>
        <v/>
      </c>
      <c r="CV29" s="81">
        <f t="shared" si="80"/>
        <v>175</v>
      </c>
      <c r="CW29" s="81">
        <f>(CV29/25)^1.5*(Calculator!$BU$4/10000)*CW$5</f>
        <v>47.821272343654172</v>
      </c>
      <c r="CX29" t="str">
        <f t="shared" si="81"/>
        <v>$175</v>
      </c>
    </row>
    <row r="30" spans="2:102" x14ac:dyDescent="0.25">
      <c r="B30" s="115" t="s">
        <v>233</v>
      </c>
      <c r="C30" s="13">
        <v>46242.178472222222</v>
      </c>
      <c r="D30">
        <v>31967</v>
      </c>
      <c r="E30" s="54" t="s">
        <v>237</v>
      </c>
      <c r="F30" s="54" t="s">
        <v>304</v>
      </c>
      <c r="G30" s="54" t="s">
        <v>326</v>
      </c>
      <c r="H30" s="55">
        <v>15.9</v>
      </c>
      <c r="I30" s="55">
        <v>15.5</v>
      </c>
      <c r="J30" s="55">
        <v>15.299999999999999</v>
      </c>
      <c r="K30" s="54"/>
      <c r="L30" s="56" t="b">
        <v>0</v>
      </c>
      <c r="M30" s="56" t="b">
        <v>0</v>
      </c>
      <c r="N30" s="54">
        <v>1</v>
      </c>
      <c r="O30" s="54" t="s">
        <v>228</v>
      </c>
      <c r="P30" s="54">
        <v>22</v>
      </c>
      <c r="Q30" s="54">
        <v>24</v>
      </c>
      <c r="R30" s="54">
        <v>175</v>
      </c>
      <c r="S30" s="54" t="s">
        <v>305</v>
      </c>
      <c r="T30" s="54" t="s">
        <v>320</v>
      </c>
      <c r="U30" s="54" t="s">
        <v>327</v>
      </c>
      <c r="V30" s="54" t="s">
        <v>307</v>
      </c>
      <c r="W30" s="54" t="b">
        <v>0</v>
      </c>
      <c r="X30" s="54"/>
      <c r="Y30" s="57" t="s">
        <v>328</v>
      </c>
      <c r="Z30" s="54" t="s">
        <v>323</v>
      </c>
      <c r="AA30" s="54"/>
      <c r="AB30" s="54" t="s">
        <v>309</v>
      </c>
      <c r="AC30" s="56" t="b">
        <v>1</v>
      </c>
      <c r="AD30" s="56" t="b">
        <v>0</v>
      </c>
      <c r="AE30" s="54" t="s">
        <v>302</v>
      </c>
      <c r="AF30" s="58">
        <v>46242</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9.0999999999999998E-2</v>
      </c>
      <c r="BC30" s="60">
        <v>4.0599999999999996</v>
      </c>
      <c r="BD30" s="61">
        <v>6.0295000000000001E-2</v>
      </c>
      <c r="BE30" s="62" t="s">
        <v>293</v>
      </c>
      <c r="BF30" s="35">
        <f t="shared" si="57"/>
        <v>4.0600000000000005</v>
      </c>
      <c r="BG30" s="35">
        <f t="shared" si="57"/>
        <v>6.0295000000000001E-2</v>
      </c>
      <c r="BH30" s="35" t="str">
        <f t="shared" si="58"/>
        <v>Low</v>
      </c>
      <c r="BI30" s="110">
        <f t="shared" si="59"/>
        <v>0</v>
      </c>
      <c r="BJ30" s="83">
        <f>VLOOKUP($F30,REP_Info!$D$6:$H$250,5,FALSE)</f>
        <v>1.573</v>
      </c>
      <c r="BK30" s="30">
        <f t="shared" si="60"/>
        <v>15.941500000000001</v>
      </c>
      <c r="BL30" s="30">
        <f t="shared" si="60"/>
        <v>15.535500000000003</v>
      </c>
      <c r="BM30" s="30">
        <f t="shared" si="60"/>
        <v>15.332499999999998</v>
      </c>
      <c r="BN30" s="29">
        <f t="shared" si="60"/>
        <v>15.264833333333334</v>
      </c>
      <c r="BO30" s="85" t="str">
        <f t="shared" si="61"/>
        <v>$$$</v>
      </c>
      <c r="BP30" s="88" t="str">
        <f t="shared" si="62"/>
        <v>$$$</v>
      </c>
      <c r="BQ30" s="88" t="str">
        <f t="shared" si="63"/>
        <v>$$$</v>
      </c>
      <c r="BR30" s="88" t="str">
        <f t="shared" si="64"/>
        <v>$$$</v>
      </c>
      <c r="BS30" s="29" t="e">
        <f t="shared" si="65"/>
        <v>#N/A</v>
      </c>
      <c r="BT30" s="29" t="e">
        <f t="shared" si="65"/>
        <v>#N/A</v>
      </c>
      <c r="BU30" s="29" t="e">
        <f t="shared" si="65"/>
        <v>#N/A</v>
      </c>
      <c r="BV30" s="29" t="e">
        <f t="shared" ref="BS30:CD35" si="82">IF($CI30,IF(BV$7&gt;0,IF(BV$4&gt;$Q30,$BF30+BV$7*(BV$5+$BG30+$BI30),LOOKUP(BV$7,$AH30:$AL30,$AM30:$AQ30)+IF($AG30="Y",SUMPRODUCT($AX30:$BB30-$AW30:$BA30,BV$7-$AR30:$AV30,N(BV$7&gt;$AR30:$AV30)),BV$7*LOOKUP(BV$7,$AR30:$AV30,$AX30:$BB30))+IF($BE30="Y",$BF30,$BC30)+BV$7*IF($BE30="Y",$BG30,$BD30))*100/BV$7,""),NA())</f>
        <v>#N/A</v>
      </c>
      <c r="BW30" s="29" t="e">
        <f t="shared" si="82"/>
        <v>#N/A</v>
      </c>
      <c r="BX30" s="29" t="e">
        <f t="shared" si="82"/>
        <v>#N/A</v>
      </c>
      <c r="BY30" s="29" t="e">
        <f t="shared" si="82"/>
        <v>#N/A</v>
      </c>
      <c r="BZ30" s="29" t="e">
        <f t="shared" si="82"/>
        <v>#N/A</v>
      </c>
      <c r="CA30" s="29" t="e">
        <f t="shared" si="82"/>
        <v>#N/A</v>
      </c>
      <c r="CB30" s="29" t="e">
        <f t="shared" si="82"/>
        <v>#N/A</v>
      </c>
      <c r="CC30" s="29" t="e">
        <f t="shared" si="82"/>
        <v>#N/A</v>
      </c>
      <c r="CD30" s="29" t="e">
        <f t="shared" si="82"/>
        <v>#N/A</v>
      </c>
      <c r="CE30" s="6" t="str">
        <f t="shared" si="7"/>
        <v/>
      </c>
      <c r="CF30" s="27" t="e">
        <f>IF(AND(CI30,NOT(AD30)),LOOKUP(CF$5,{0,750,1500},H30:J30),"")</f>
        <v>#N/A</v>
      </c>
      <c r="CG30" s="6" t="str">
        <f t="shared" si="8"/>
        <v/>
      </c>
      <c r="CH30" t="e">
        <f t="shared" si="66"/>
        <v>#N/A</v>
      </c>
      <c r="CI30" t="e">
        <f t="shared" si="67"/>
        <v>#N/A</v>
      </c>
      <c r="CJ30" s="6" t="e">
        <f t="shared" si="68"/>
        <v>#N/A</v>
      </c>
      <c r="CK30" s="6">
        <f t="shared" si="69"/>
        <v>1</v>
      </c>
      <c r="CL30" s="6">
        <f t="shared" si="70"/>
        <v>1</v>
      </c>
      <c r="CM30" s="6">
        <f t="shared" si="71"/>
        <v>1</v>
      </c>
      <c r="CN30" s="6">
        <f t="shared" si="72"/>
        <v>1</v>
      </c>
      <c r="CO30" s="6">
        <f t="shared" si="73"/>
        <v>0</v>
      </c>
      <c r="CP30" s="6">
        <f t="shared" si="74"/>
        <v>1</v>
      </c>
      <c r="CQ30" s="6">
        <f t="shared" si="75"/>
        <v>1</v>
      </c>
      <c r="CR30" s="81" t="str">
        <f t="shared" si="76"/>
        <v/>
      </c>
      <c r="CS30">
        <f t="shared" si="77"/>
        <v>0</v>
      </c>
      <c r="CT30">
        <f t="shared" si="78"/>
        <v>175</v>
      </c>
      <c r="CU30" t="str">
        <f t="shared" si="79"/>
        <v/>
      </c>
      <c r="CV30" s="81">
        <f t="shared" si="80"/>
        <v>175</v>
      </c>
      <c r="CW30" s="81">
        <f>(CV30/25)^1.5*(Calculator!$BU$4/10000)*CW$5</f>
        <v>47.821272343654172</v>
      </c>
      <c r="CX30" t="str">
        <f t="shared" si="81"/>
        <v>$175</v>
      </c>
    </row>
    <row r="31" spans="2:102" x14ac:dyDescent="0.25">
      <c r="B31" s="115" t="s">
        <v>233</v>
      </c>
      <c r="C31" s="13">
        <v>46242.178472222222</v>
      </c>
      <c r="D31">
        <v>31969</v>
      </c>
      <c r="E31" s="54" t="s">
        <v>235</v>
      </c>
      <c r="F31" s="54" t="s">
        <v>304</v>
      </c>
      <c r="G31" s="54" t="s">
        <v>326</v>
      </c>
      <c r="H31" s="55">
        <v>15.4</v>
      </c>
      <c r="I31" s="55">
        <v>14.899999999999999</v>
      </c>
      <c r="J31" s="55">
        <v>14.7</v>
      </c>
      <c r="K31" s="54"/>
      <c r="L31" s="56" t="b">
        <v>0</v>
      </c>
      <c r="M31" s="56" t="b">
        <v>0</v>
      </c>
      <c r="N31" s="54">
        <v>1</v>
      </c>
      <c r="O31" s="54" t="s">
        <v>228</v>
      </c>
      <c r="P31" s="54">
        <v>22</v>
      </c>
      <c r="Q31" s="54">
        <v>24</v>
      </c>
      <c r="R31" s="54">
        <v>175</v>
      </c>
      <c r="S31" s="54" t="s">
        <v>305</v>
      </c>
      <c r="T31" s="54" t="s">
        <v>320</v>
      </c>
      <c r="U31" s="54" t="s">
        <v>329</v>
      </c>
      <c r="V31" s="54" t="s">
        <v>307</v>
      </c>
      <c r="W31" s="54" t="b">
        <v>0</v>
      </c>
      <c r="X31" s="54"/>
      <c r="Y31" s="57" t="s">
        <v>330</v>
      </c>
      <c r="Z31" s="54" t="s">
        <v>323</v>
      </c>
      <c r="AA31" s="54"/>
      <c r="AB31" s="54" t="s">
        <v>309</v>
      </c>
      <c r="AC31" s="56" t="b">
        <v>1</v>
      </c>
      <c r="AD31" s="56" t="b">
        <v>0</v>
      </c>
      <c r="AE31" s="54" t="s">
        <v>302</v>
      </c>
      <c r="AF31" s="58">
        <v>46242</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9.2999999999999999E-2</v>
      </c>
      <c r="BC31" s="60">
        <v>4.9000000000000004</v>
      </c>
      <c r="BD31" s="61">
        <v>5.1461E-2</v>
      </c>
      <c r="BE31" s="62" t="s">
        <v>293</v>
      </c>
      <c r="BF31" s="35">
        <f t="shared" si="57"/>
        <v>4.9000000000000004</v>
      </c>
      <c r="BG31" s="35">
        <f t="shared" si="57"/>
        <v>4.9811000000000001E-2</v>
      </c>
      <c r="BH31" s="35" t="str">
        <f t="shared" si="58"/>
        <v>Low</v>
      </c>
      <c r="BI31" s="110">
        <f t="shared" si="59"/>
        <v>0</v>
      </c>
      <c r="BJ31" s="83">
        <f>VLOOKUP($F31,REP_Info!$D$6:$H$250,5,FALSE)</f>
        <v>1.573</v>
      </c>
      <c r="BK31" s="30">
        <f t="shared" si="60"/>
        <v>15.261099999999999</v>
      </c>
      <c r="BL31" s="30">
        <f t="shared" si="60"/>
        <v>14.771100000000002</v>
      </c>
      <c r="BM31" s="30">
        <f t="shared" si="60"/>
        <v>14.5261</v>
      </c>
      <c r="BN31" s="29">
        <f t="shared" si="60"/>
        <v>14.444433333333333</v>
      </c>
      <c r="BO31" s="85" t="str">
        <f t="shared" si="61"/>
        <v>$$$</v>
      </c>
      <c r="BP31" s="88" t="str">
        <f t="shared" si="62"/>
        <v>$$$</v>
      </c>
      <c r="BQ31" s="88" t="str">
        <f t="shared" si="63"/>
        <v>$$$</v>
      </c>
      <c r="BR31" s="88" t="str">
        <f t="shared" si="64"/>
        <v>$$$</v>
      </c>
      <c r="BS31" s="29" t="e">
        <f t="shared" si="82"/>
        <v>#N/A</v>
      </c>
      <c r="BT31" s="29" t="e">
        <f t="shared" si="82"/>
        <v>#N/A</v>
      </c>
      <c r="BU31" s="29" t="e">
        <f t="shared" si="82"/>
        <v>#N/A</v>
      </c>
      <c r="BV31" s="29" t="e">
        <f t="shared" si="82"/>
        <v>#N/A</v>
      </c>
      <c r="BW31" s="29" t="e">
        <f t="shared" si="82"/>
        <v>#N/A</v>
      </c>
      <c r="BX31" s="29" t="e">
        <f t="shared" si="82"/>
        <v>#N/A</v>
      </c>
      <c r="BY31" s="29" t="e">
        <f t="shared" si="82"/>
        <v>#N/A</v>
      </c>
      <c r="BZ31" s="29" t="e">
        <f t="shared" si="82"/>
        <v>#N/A</v>
      </c>
      <c r="CA31" s="29" t="e">
        <f t="shared" si="82"/>
        <v>#N/A</v>
      </c>
      <c r="CB31" s="29" t="e">
        <f t="shared" si="82"/>
        <v>#N/A</v>
      </c>
      <c r="CC31" s="29" t="e">
        <f t="shared" si="82"/>
        <v>#N/A</v>
      </c>
      <c r="CD31" s="29" t="e">
        <f t="shared" si="82"/>
        <v>#N/A</v>
      </c>
      <c r="CE31" s="6" t="str">
        <f t="shared" si="7"/>
        <v/>
      </c>
      <c r="CF31" s="27" t="e">
        <f>IF(AND(CI31,NOT(AD31)),LOOKUP(CF$5,{0,750,1500},H31:J31),"")</f>
        <v>#N/A</v>
      </c>
      <c r="CG31" s="6" t="str">
        <f t="shared" si="8"/>
        <v/>
      </c>
      <c r="CH31" t="e">
        <f t="shared" si="66"/>
        <v>#N/A</v>
      </c>
      <c r="CI31" t="e">
        <f t="shared" si="67"/>
        <v>#N/A</v>
      </c>
      <c r="CJ31" s="6" t="e">
        <f t="shared" si="68"/>
        <v>#N/A</v>
      </c>
      <c r="CK31" s="6">
        <f t="shared" si="69"/>
        <v>1</v>
      </c>
      <c r="CL31" s="6">
        <f t="shared" si="70"/>
        <v>1</v>
      </c>
      <c r="CM31" s="6">
        <f t="shared" si="71"/>
        <v>1</v>
      </c>
      <c r="CN31" s="6">
        <f t="shared" si="72"/>
        <v>1</v>
      </c>
      <c r="CO31" s="6">
        <f t="shared" si="73"/>
        <v>0</v>
      </c>
      <c r="CP31" s="6">
        <f t="shared" si="74"/>
        <v>1</v>
      </c>
      <c r="CQ31" s="6">
        <f t="shared" si="75"/>
        <v>1</v>
      </c>
      <c r="CR31" s="81" t="str">
        <f t="shared" si="76"/>
        <v/>
      </c>
      <c r="CS31">
        <f t="shared" si="77"/>
        <v>0</v>
      </c>
      <c r="CT31">
        <f t="shared" si="78"/>
        <v>175</v>
      </c>
      <c r="CU31" t="str">
        <f t="shared" si="79"/>
        <v/>
      </c>
      <c r="CV31" s="81">
        <f t="shared" si="80"/>
        <v>175</v>
      </c>
      <c r="CW31" s="81">
        <f>(CV31/25)^1.5*(Calculator!$BU$4/10000)*CW$5</f>
        <v>47.821272343654172</v>
      </c>
      <c r="CX31" t="str">
        <f t="shared" si="81"/>
        <v>$175</v>
      </c>
    </row>
    <row r="32" spans="2:102" x14ac:dyDescent="0.25">
      <c r="B32" s="115" t="s">
        <v>233</v>
      </c>
      <c r="C32" s="13">
        <v>46254.637499999997</v>
      </c>
      <c r="D32">
        <v>33198</v>
      </c>
      <c r="E32" s="54" t="s">
        <v>235</v>
      </c>
      <c r="F32" s="54" t="s">
        <v>331</v>
      </c>
      <c r="G32" s="54" t="s">
        <v>332</v>
      </c>
      <c r="H32" s="55">
        <v>11.600000000000001</v>
      </c>
      <c r="I32" s="55">
        <v>11.1</v>
      </c>
      <c r="J32" s="55">
        <v>10.9</v>
      </c>
      <c r="K32" s="54"/>
      <c r="L32" s="56" t="b">
        <v>0</v>
      </c>
      <c r="M32" s="56" t="b">
        <v>0</v>
      </c>
      <c r="N32" s="54">
        <v>1</v>
      </c>
      <c r="O32" s="54" t="s">
        <v>228</v>
      </c>
      <c r="P32" s="54">
        <v>6</v>
      </c>
      <c r="Q32" s="54">
        <v>12</v>
      </c>
      <c r="R32" s="54">
        <v>150</v>
      </c>
      <c r="S32" s="54" t="s">
        <v>333</v>
      </c>
      <c r="T32" s="54" t="s">
        <v>334</v>
      </c>
      <c r="U32" s="54" t="s">
        <v>335</v>
      </c>
      <c r="V32" s="54" t="s">
        <v>336</v>
      </c>
      <c r="W32" s="54" t="b">
        <v>0</v>
      </c>
      <c r="X32" s="54"/>
      <c r="Y32" s="57" t="s">
        <v>337</v>
      </c>
      <c r="Z32" s="54" t="s">
        <v>1584</v>
      </c>
      <c r="AA32" s="54"/>
      <c r="AB32" s="54" t="s">
        <v>338</v>
      </c>
      <c r="AC32" s="56" t="b">
        <v>1</v>
      </c>
      <c r="AD32" s="56" t="b">
        <v>0</v>
      </c>
      <c r="AE32" s="54" t="s">
        <v>302</v>
      </c>
      <c r="AF32" s="58">
        <v>46254</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5.629E-2</v>
      </c>
      <c r="BC32" s="60">
        <v>4.9000000000000004</v>
      </c>
      <c r="BD32" s="61">
        <v>4.9811000000000001E-2</v>
      </c>
      <c r="BE32" s="62" t="s">
        <v>293</v>
      </c>
      <c r="BF32" s="35">
        <f t="shared" si="57"/>
        <v>4.9000000000000004</v>
      </c>
      <c r="BG32" s="35">
        <f t="shared" si="57"/>
        <v>4.9811000000000001E-2</v>
      </c>
      <c r="BH32" s="35" t="str">
        <f t="shared" si="58"/>
        <v>Low</v>
      </c>
      <c r="BI32" s="110">
        <f t="shared" si="59"/>
        <v>0</v>
      </c>
      <c r="BJ32" s="83">
        <f>VLOOKUP($F32,REP_Info!$D$6:$H$250,5,FALSE)</f>
        <v>2.0139999999999998</v>
      </c>
      <c r="BK32" s="30">
        <f t="shared" si="60"/>
        <v>11.5901</v>
      </c>
      <c r="BL32" s="30">
        <f t="shared" si="60"/>
        <v>11.100100000000001</v>
      </c>
      <c r="BM32" s="30">
        <f t="shared" si="60"/>
        <v>10.8551</v>
      </c>
      <c r="BN32" s="29">
        <f t="shared" si="60"/>
        <v>10.773433333333331</v>
      </c>
      <c r="BO32" s="85" t="str">
        <f t="shared" si="61"/>
        <v>$$$</v>
      </c>
      <c r="BP32" s="88" t="str">
        <f t="shared" si="62"/>
        <v>$$$</v>
      </c>
      <c r="BQ32" s="88" t="str">
        <f t="shared" si="63"/>
        <v>$$$</v>
      </c>
      <c r="BR32" s="88" t="str">
        <f t="shared" si="64"/>
        <v>$$$</v>
      </c>
      <c r="BS32" s="29" t="e">
        <f t="shared" si="82"/>
        <v>#N/A</v>
      </c>
      <c r="BT32" s="29" t="e">
        <f t="shared" si="82"/>
        <v>#N/A</v>
      </c>
      <c r="BU32" s="29" t="e">
        <f t="shared" si="82"/>
        <v>#N/A</v>
      </c>
      <c r="BV32" s="29" t="e">
        <f t="shared" si="82"/>
        <v>#N/A</v>
      </c>
      <c r="BW32" s="29" t="e">
        <f t="shared" si="82"/>
        <v>#N/A</v>
      </c>
      <c r="BX32" s="29" t="e">
        <f t="shared" si="82"/>
        <v>#N/A</v>
      </c>
      <c r="BY32" s="29" t="e">
        <f t="shared" si="82"/>
        <v>#N/A</v>
      </c>
      <c r="BZ32" s="29" t="e">
        <f t="shared" si="82"/>
        <v>#N/A</v>
      </c>
      <c r="CA32" s="29" t="e">
        <f t="shared" si="82"/>
        <v>#N/A</v>
      </c>
      <c r="CB32" s="29" t="e">
        <f t="shared" si="82"/>
        <v>#N/A</v>
      </c>
      <c r="CC32" s="29" t="e">
        <f t="shared" si="82"/>
        <v>#N/A</v>
      </c>
      <c r="CD32" s="29" t="e">
        <f t="shared" si="82"/>
        <v>#N/A</v>
      </c>
      <c r="CE32" s="6" t="str">
        <f t="shared" si="7"/>
        <v/>
      </c>
      <c r="CF32" s="27" t="e">
        <f>IF(AND(CI32,NOT(AD32)),LOOKUP(CF$5,{0,750,1500},H32:J32),"")</f>
        <v>#N/A</v>
      </c>
      <c r="CG32" s="6" t="str">
        <f t="shared" si="8"/>
        <v/>
      </c>
      <c r="CH32" t="e">
        <f t="shared" si="66"/>
        <v>#N/A</v>
      </c>
      <c r="CI32" t="e">
        <f t="shared" si="67"/>
        <v>#N/A</v>
      </c>
      <c r="CJ32" s="6" t="e">
        <f t="shared" si="68"/>
        <v>#N/A</v>
      </c>
      <c r="CK32" s="6">
        <f t="shared" si="69"/>
        <v>1</v>
      </c>
      <c r="CL32" s="6">
        <f t="shared" si="70"/>
        <v>1</v>
      </c>
      <c r="CM32" s="6">
        <f t="shared" si="71"/>
        <v>1</v>
      </c>
      <c r="CN32" s="6">
        <f t="shared" si="72"/>
        <v>1</v>
      </c>
      <c r="CO32" s="6">
        <f t="shared" si="73"/>
        <v>1</v>
      </c>
      <c r="CP32" s="6">
        <f t="shared" si="74"/>
        <v>1</v>
      </c>
      <c r="CQ32" s="6">
        <f t="shared" si="75"/>
        <v>1</v>
      </c>
      <c r="CR32" s="81" t="str">
        <f t="shared" si="76"/>
        <v/>
      </c>
      <c r="CS32">
        <f t="shared" si="77"/>
        <v>0</v>
      </c>
      <c r="CT32">
        <f t="shared" si="78"/>
        <v>150</v>
      </c>
      <c r="CU32" t="str">
        <f t="shared" si="79"/>
        <v/>
      </c>
      <c r="CV32" s="81">
        <f t="shared" si="80"/>
        <v>150</v>
      </c>
      <c r="CW32" s="81">
        <f>(CV32/25)^1.5*(Calculator!$BU$4/10000)*CW$5</f>
        <v>37.949052970673385</v>
      </c>
      <c r="CX32" t="str">
        <f t="shared" si="81"/>
        <v>$150</v>
      </c>
    </row>
    <row r="33" spans="2:102" x14ac:dyDescent="0.25">
      <c r="B33" s="115" t="s">
        <v>233</v>
      </c>
      <c r="C33" s="13">
        <v>46254.637499999997</v>
      </c>
      <c r="D33">
        <v>33210</v>
      </c>
      <c r="E33" s="54" t="s">
        <v>237</v>
      </c>
      <c r="F33" s="54" t="s">
        <v>331</v>
      </c>
      <c r="G33" s="54" t="s">
        <v>332</v>
      </c>
      <c r="H33" s="55">
        <v>12.2</v>
      </c>
      <c r="I33" s="55">
        <v>11.799999999999999</v>
      </c>
      <c r="J33" s="55">
        <v>11.600000000000001</v>
      </c>
      <c r="K33" s="54"/>
      <c r="L33" s="56" t="b">
        <v>0</v>
      </c>
      <c r="M33" s="56" t="b">
        <v>0</v>
      </c>
      <c r="N33" s="54">
        <v>1</v>
      </c>
      <c r="O33" s="54" t="s">
        <v>228</v>
      </c>
      <c r="P33" s="54">
        <v>6</v>
      </c>
      <c r="Q33" s="54">
        <v>12</v>
      </c>
      <c r="R33" s="54">
        <v>150</v>
      </c>
      <c r="S33" s="54" t="s">
        <v>333</v>
      </c>
      <c r="T33" s="54" t="s">
        <v>334</v>
      </c>
      <c r="U33" s="54" t="s">
        <v>339</v>
      </c>
      <c r="V33" s="54" t="s">
        <v>340</v>
      </c>
      <c r="W33" s="54" t="b">
        <v>0</v>
      </c>
      <c r="X33" s="54"/>
      <c r="Y33" s="57" t="s">
        <v>341</v>
      </c>
      <c r="Z33" s="54" t="s">
        <v>342</v>
      </c>
      <c r="AA33" s="54"/>
      <c r="AB33" s="54" t="s">
        <v>338</v>
      </c>
      <c r="AC33" s="56" t="b">
        <v>1</v>
      </c>
      <c r="AD33" s="56" t="b">
        <v>0</v>
      </c>
      <c r="AE33" s="54" t="s">
        <v>302</v>
      </c>
      <c r="AF33" s="58">
        <v>46254</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5.3650000000000003E-2</v>
      </c>
      <c r="BC33" s="60">
        <v>4.0599999999999996</v>
      </c>
      <c r="BD33" s="61">
        <v>6.0295000000000001E-2</v>
      </c>
      <c r="BE33" s="62" t="s">
        <v>293</v>
      </c>
      <c r="BF33" s="35">
        <f t="shared" si="57"/>
        <v>4.0600000000000005</v>
      </c>
      <c r="BG33" s="35">
        <f t="shared" si="57"/>
        <v>6.0295000000000001E-2</v>
      </c>
      <c r="BH33" s="35" t="str">
        <f t="shared" si="58"/>
        <v>Low</v>
      </c>
      <c r="BI33" s="110">
        <f t="shared" si="59"/>
        <v>0</v>
      </c>
      <c r="BJ33" s="83">
        <f>VLOOKUP($F33,REP_Info!$D$6:$H$250,5,FALSE)</f>
        <v>2.0139999999999998</v>
      </c>
      <c r="BK33" s="30">
        <f t="shared" si="60"/>
        <v>12.206500000000002</v>
      </c>
      <c r="BL33" s="30">
        <f t="shared" si="60"/>
        <v>11.800500000000001</v>
      </c>
      <c r="BM33" s="30">
        <f t="shared" si="60"/>
        <v>11.5975</v>
      </c>
      <c r="BN33" s="29">
        <f t="shared" si="60"/>
        <v>11.529833333333332</v>
      </c>
      <c r="BO33" s="85" t="str">
        <f t="shared" si="61"/>
        <v>$$$</v>
      </c>
      <c r="BP33" s="88" t="str">
        <f t="shared" si="62"/>
        <v>$$$</v>
      </c>
      <c r="BQ33" s="88" t="str">
        <f t="shared" si="63"/>
        <v>$$$</v>
      </c>
      <c r="BR33" s="88" t="str">
        <f t="shared" si="64"/>
        <v>$$$</v>
      </c>
      <c r="BS33" s="29" t="e">
        <f t="shared" si="82"/>
        <v>#N/A</v>
      </c>
      <c r="BT33" s="29" t="e">
        <f t="shared" si="82"/>
        <v>#N/A</v>
      </c>
      <c r="BU33" s="29" t="e">
        <f t="shared" si="82"/>
        <v>#N/A</v>
      </c>
      <c r="BV33" s="29" t="e">
        <f t="shared" si="82"/>
        <v>#N/A</v>
      </c>
      <c r="BW33" s="29" t="e">
        <f t="shared" si="82"/>
        <v>#N/A</v>
      </c>
      <c r="BX33" s="29" t="e">
        <f t="shared" si="82"/>
        <v>#N/A</v>
      </c>
      <c r="BY33" s="29" t="e">
        <f t="shared" si="82"/>
        <v>#N/A</v>
      </c>
      <c r="BZ33" s="29" t="e">
        <f t="shared" si="82"/>
        <v>#N/A</v>
      </c>
      <c r="CA33" s="29" t="e">
        <f t="shared" si="82"/>
        <v>#N/A</v>
      </c>
      <c r="CB33" s="29" t="e">
        <f t="shared" si="82"/>
        <v>#N/A</v>
      </c>
      <c r="CC33" s="29" t="e">
        <f t="shared" si="82"/>
        <v>#N/A</v>
      </c>
      <c r="CD33" s="29" t="e">
        <f t="shared" si="82"/>
        <v>#N/A</v>
      </c>
      <c r="CE33" s="6" t="str">
        <f t="shared" si="7"/>
        <v/>
      </c>
      <c r="CF33" s="27" t="e">
        <f>IF(AND(CI33,NOT(AD33)),LOOKUP(CF$5,{0,750,1500},H33:J33),"")</f>
        <v>#N/A</v>
      </c>
      <c r="CG33" s="6" t="str">
        <f t="shared" si="8"/>
        <v/>
      </c>
      <c r="CH33" t="e">
        <f t="shared" si="66"/>
        <v>#N/A</v>
      </c>
      <c r="CI33" t="e">
        <f t="shared" si="67"/>
        <v>#N/A</v>
      </c>
      <c r="CJ33" s="6" t="e">
        <f t="shared" si="68"/>
        <v>#N/A</v>
      </c>
      <c r="CK33" s="6">
        <f t="shared" si="69"/>
        <v>1</v>
      </c>
      <c r="CL33" s="6">
        <f t="shared" si="70"/>
        <v>1</v>
      </c>
      <c r="CM33" s="6">
        <f t="shared" si="71"/>
        <v>1</v>
      </c>
      <c r="CN33" s="6">
        <f t="shared" si="72"/>
        <v>1</v>
      </c>
      <c r="CO33" s="6">
        <f t="shared" si="73"/>
        <v>1</v>
      </c>
      <c r="CP33" s="6">
        <f t="shared" si="74"/>
        <v>1</v>
      </c>
      <c r="CQ33" s="6">
        <f t="shared" si="75"/>
        <v>1</v>
      </c>
      <c r="CR33" s="81" t="str">
        <f t="shared" si="76"/>
        <v/>
      </c>
      <c r="CS33">
        <f t="shared" si="77"/>
        <v>0</v>
      </c>
      <c r="CT33">
        <f t="shared" si="78"/>
        <v>150</v>
      </c>
      <c r="CU33" t="str">
        <f t="shared" si="79"/>
        <v/>
      </c>
      <c r="CV33" s="81">
        <f t="shared" si="80"/>
        <v>150</v>
      </c>
      <c r="CW33" s="81">
        <f>(CV33/25)^1.5*(Calculator!$BU$4/10000)*CW$5</f>
        <v>37.949052970673385</v>
      </c>
      <c r="CX33" t="str">
        <f t="shared" si="81"/>
        <v>$150</v>
      </c>
    </row>
    <row r="34" spans="2:102" x14ac:dyDescent="0.25">
      <c r="B34" s="115" t="s">
        <v>233</v>
      </c>
      <c r="C34" s="13">
        <v>46256.21597222222</v>
      </c>
      <c r="D34">
        <v>33348</v>
      </c>
      <c r="E34" s="54" t="s">
        <v>235</v>
      </c>
      <c r="F34" s="54" t="s">
        <v>331</v>
      </c>
      <c r="G34" s="54" t="s">
        <v>343</v>
      </c>
      <c r="H34" s="55">
        <v>12.2</v>
      </c>
      <c r="I34" s="55">
        <v>11.700000000000001</v>
      </c>
      <c r="J34" s="55">
        <v>11.5</v>
      </c>
      <c r="K34" s="54"/>
      <c r="L34" s="56" t="b">
        <v>0</v>
      </c>
      <c r="M34" s="56" t="b">
        <v>0</v>
      </c>
      <c r="N34" s="54">
        <v>1</v>
      </c>
      <c r="O34" s="54" t="s">
        <v>228</v>
      </c>
      <c r="P34" s="54">
        <v>6</v>
      </c>
      <c r="Q34" s="54">
        <v>24</v>
      </c>
      <c r="R34" s="54">
        <v>250</v>
      </c>
      <c r="S34" s="54" t="s">
        <v>333</v>
      </c>
      <c r="T34" s="54" t="s">
        <v>344</v>
      </c>
      <c r="U34" s="54" t="s">
        <v>345</v>
      </c>
      <c r="V34" s="54" t="s">
        <v>346</v>
      </c>
      <c r="W34" s="54" t="b">
        <v>0</v>
      </c>
      <c r="X34" s="54"/>
      <c r="Y34" s="57" t="s">
        <v>347</v>
      </c>
      <c r="Z34" s="54" t="s">
        <v>348</v>
      </c>
      <c r="AA34" s="54"/>
      <c r="AB34" s="54" t="s">
        <v>338</v>
      </c>
      <c r="AC34" s="56" t="b">
        <v>1</v>
      </c>
      <c r="AD34" s="56" t="b">
        <v>0</v>
      </c>
      <c r="AE34" s="54" t="s">
        <v>302</v>
      </c>
      <c r="AF34" s="58">
        <v>46256</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6.2289999999999998E-2</v>
      </c>
      <c r="BC34" s="60">
        <v>4.9000000000000004</v>
      </c>
      <c r="BD34" s="61">
        <v>4.9811000000000001E-2</v>
      </c>
      <c r="BE34" s="62" t="s">
        <v>293</v>
      </c>
      <c r="BF34" s="35">
        <f t="shared" si="57"/>
        <v>4.9000000000000004</v>
      </c>
      <c r="BG34" s="35">
        <f t="shared" si="57"/>
        <v>4.9811000000000001E-2</v>
      </c>
      <c r="BH34" s="35" t="str">
        <f t="shared" si="58"/>
        <v>Low</v>
      </c>
      <c r="BI34" s="110">
        <f t="shared" si="59"/>
        <v>0</v>
      </c>
      <c r="BJ34" s="83">
        <f>VLOOKUP($F34,REP_Info!$D$6:$H$250,5,FALSE)</f>
        <v>2.0139999999999998</v>
      </c>
      <c r="BK34" s="30">
        <f t="shared" si="60"/>
        <v>12.190100000000001</v>
      </c>
      <c r="BL34" s="30">
        <f t="shared" si="60"/>
        <v>11.700100000000001</v>
      </c>
      <c r="BM34" s="30">
        <f t="shared" si="60"/>
        <v>11.455099999999998</v>
      </c>
      <c r="BN34" s="29">
        <f t="shared" si="60"/>
        <v>11.373433333333331</v>
      </c>
      <c r="BO34" s="85" t="str">
        <f t="shared" si="61"/>
        <v>$$$</v>
      </c>
      <c r="BP34" s="88" t="str">
        <f t="shared" si="62"/>
        <v>$$$</v>
      </c>
      <c r="BQ34" s="88" t="str">
        <f t="shared" si="63"/>
        <v>$$$</v>
      </c>
      <c r="BR34" s="88" t="str">
        <f t="shared" si="64"/>
        <v>$$$</v>
      </c>
      <c r="BS34" s="29" t="e">
        <f t="shared" si="82"/>
        <v>#N/A</v>
      </c>
      <c r="BT34" s="29" t="e">
        <f t="shared" si="82"/>
        <v>#N/A</v>
      </c>
      <c r="BU34" s="29" t="e">
        <f t="shared" si="82"/>
        <v>#N/A</v>
      </c>
      <c r="BV34" s="29" t="e">
        <f t="shared" si="82"/>
        <v>#N/A</v>
      </c>
      <c r="BW34" s="29" t="e">
        <f t="shared" si="82"/>
        <v>#N/A</v>
      </c>
      <c r="BX34" s="29" t="e">
        <f t="shared" si="82"/>
        <v>#N/A</v>
      </c>
      <c r="BY34" s="29" t="e">
        <f t="shared" si="82"/>
        <v>#N/A</v>
      </c>
      <c r="BZ34" s="29" t="e">
        <f t="shared" si="82"/>
        <v>#N/A</v>
      </c>
      <c r="CA34" s="29" t="e">
        <f t="shared" si="82"/>
        <v>#N/A</v>
      </c>
      <c r="CB34" s="29" t="e">
        <f t="shared" si="82"/>
        <v>#N/A</v>
      </c>
      <c r="CC34" s="29" t="e">
        <f t="shared" si="82"/>
        <v>#N/A</v>
      </c>
      <c r="CD34" s="29" t="e">
        <f t="shared" si="82"/>
        <v>#N/A</v>
      </c>
      <c r="CE34" s="6" t="str">
        <f t="shared" si="7"/>
        <v/>
      </c>
      <c r="CF34" s="27" t="e">
        <f>IF(AND(CI34,NOT(AD34)),LOOKUP(CF$5,{0,750,1500},H34:J34),"")</f>
        <v>#N/A</v>
      </c>
      <c r="CG34" s="6" t="str">
        <f t="shared" si="8"/>
        <v/>
      </c>
      <c r="CH34" t="e">
        <f t="shared" si="66"/>
        <v>#N/A</v>
      </c>
      <c r="CI34" t="e">
        <f t="shared" si="67"/>
        <v>#N/A</v>
      </c>
      <c r="CJ34" s="6" t="e">
        <f t="shared" si="68"/>
        <v>#N/A</v>
      </c>
      <c r="CK34" s="6">
        <f t="shared" si="69"/>
        <v>1</v>
      </c>
      <c r="CL34" s="6">
        <f t="shared" si="70"/>
        <v>1</v>
      </c>
      <c r="CM34" s="6">
        <f t="shared" si="71"/>
        <v>1</v>
      </c>
      <c r="CN34" s="6">
        <f t="shared" si="72"/>
        <v>1</v>
      </c>
      <c r="CO34" s="6">
        <f t="shared" si="73"/>
        <v>0</v>
      </c>
      <c r="CP34" s="6">
        <f t="shared" si="74"/>
        <v>1</v>
      </c>
      <c r="CQ34" s="6">
        <f t="shared" si="75"/>
        <v>1</v>
      </c>
      <c r="CR34" s="81" t="str">
        <f t="shared" si="76"/>
        <v/>
      </c>
      <c r="CS34">
        <f t="shared" si="77"/>
        <v>0</v>
      </c>
      <c r="CT34">
        <f t="shared" si="78"/>
        <v>250</v>
      </c>
      <c r="CU34" t="str">
        <f t="shared" si="79"/>
        <v/>
      </c>
      <c r="CV34" s="81">
        <f t="shared" si="80"/>
        <v>250</v>
      </c>
      <c r="CW34" s="81">
        <f>(CV34/25)^1.5*(Calculator!$BU$4/10000)*CW$5</f>
        <v>81.653361199867305</v>
      </c>
      <c r="CX34" t="str">
        <f t="shared" si="81"/>
        <v>$250</v>
      </c>
    </row>
    <row r="35" spans="2:102" x14ac:dyDescent="0.25">
      <c r="B35" s="115" t="s">
        <v>233</v>
      </c>
      <c r="C35" s="13">
        <v>46256.21597222222</v>
      </c>
      <c r="D35">
        <v>33352</v>
      </c>
      <c r="E35" s="54" t="s">
        <v>237</v>
      </c>
      <c r="F35" s="54" t="s">
        <v>331</v>
      </c>
      <c r="G35" s="54" t="s">
        <v>343</v>
      </c>
      <c r="H35" s="55">
        <v>12.9</v>
      </c>
      <c r="I35" s="55">
        <v>12.5</v>
      </c>
      <c r="J35" s="55">
        <v>12.3</v>
      </c>
      <c r="K35" s="54"/>
      <c r="L35" s="56" t="b">
        <v>0</v>
      </c>
      <c r="M35" s="56" t="b">
        <v>0</v>
      </c>
      <c r="N35" s="54">
        <v>1</v>
      </c>
      <c r="O35" s="54" t="s">
        <v>228</v>
      </c>
      <c r="P35" s="54">
        <v>6</v>
      </c>
      <c r="Q35" s="54">
        <v>24</v>
      </c>
      <c r="R35" s="54">
        <v>250</v>
      </c>
      <c r="S35" s="54" t="s">
        <v>333</v>
      </c>
      <c r="T35" s="54" t="s">
        <v>349</v>
      </c>
      <c r="U35" s="54" t="s">
        <v>350</v>
      </c>
      <c r="V35" s="54" t="s">
        <v>351</v>
      </c>
      <c r="W35" s="54" t="b">
        <v>0</v>
      </c>
      <c r="X35" s="54"/>
      <c r="Y35" s="57" t="s">
        <v>352</v>
      </c>
      <c r="Z35" s="54" t="s">
        <v>353</v>
      </c>
      <c r="AA35" s="54"/>
      <c r="AB35" s="54" t="s">
        <v>338</v>
      </c>
      <c r="AC35" s="56" t="b">
        <v>1</v>
      </c>
      <c r="AD35" s="56" t="b">
        <v>0</v>
      </c>
      <c r="AE35" s="54" t="s">
        <v>302</v>
      </c>
      <c r="AF35" s="58">
        <v>46256</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6.0650000000000003E-2</v>
      </c>
      <c r="BC35" s="60">
        <v>4.0599999999999996</v>
      </c>
      <c r="BD35" s="61">
        <v>6.0295000000000001E-2</v>
      </c>
      <c r="BE35" s="62" t="s">
        <v>293</v>
      </c>
      <c r="BF35" s="35">
        <f t="shared" si="57"/>
        <v>4.0600000000000005</v>
      </c>
      <c r="BG35" s="35">
        <f t="shared" si="57"/>
        <v>6.0295000000000001E-2</v>
      </c>
      <c r="BH35" s="35" t="str">
        <f t="shared" si="58"/>
        <v>Low</v>
      </c>
      <c r="BI35" s="110">
        <f t="shared" si="59"/>
        <v>0</v>
      </c>
      <c r="BJ35" s="83">
        <f>VLOOKUP($F35,REP_Info!$D$6:$H$250,5,FALSE)</f>
        <v>2.0139999999999998</v>
      </c>
      <c r="BK35" s="30">
        <f t="shared" si="60"/>
        <v>12.906499999999999</v>
      </c>
      <c r="BL35" s="30">
        <f t="shared" si="60"/>
        <v>12.500500000000002</v>
      </c>
      <c r="BM35" s="30">
        <f t="shared" si="60"/>
        <v>12.297499999999999</v>
      </c>
      <c r="BN35" s="29">
        <f t="shared" si="60"/>
        <v>12.229833333333334</v>
      </c>
      <c r="BO35" s="85" t="str">
        <f t="shared" si="61"/>
        <v>$$$</v>
      </c>
      <c r="BP35" s="88" t="str">
        <f t="shared" si="62"/>
        <v>$$$</v>
      </c>
      <c r="BQ35" s="88" t="str">
        <f t="shared" si="63"/>
        <v>$$$</v>
      </c>
      <c r="BR35" s="88" t="str">
        <f t="shared" si="64"/>
        <v>$$$</v>
      </c>
      <c r="BS35" s="29" t="e">
        <f t="shared" si="82"/>
        <v>#N/A</v>
      </c>
      <c r="BT35" s="29" t="e">
        <f t="shared" si="82"/>
        <v>#N/A</v>
      </c>
      <c r="BU35" s="29" t="e">
        <f t="shared" si="82"/>
        <v>#N/A</v>
      </c>
      <c r="BV35" s="29" t="e">
        <f t="shared" si="82"/>
        <v>#N/A</v>
      </c>
      <c r="BW35" s="29" t="e">
        <f t="shared" si="82"/>
        <v>#N/A</v>
      </c>
      <c r="BX35" s="29" t="e">
        <f t="shared" si="82"/>
        <v>#N/A</v>
      </c>
      <c r="BY35" s="29" t="e">
        <f t="shared" si="82"/>
        <v>#N/A</v>
      </c>
      <c r="BZ35" s="29" t="e">
        <f t="shared" si="82"/>
        <v>#N/A</v>
      </c>
      <c r="CA35" s="29" t="e">
        <f t="shared" si="82"/>
        <v>#N/A</v>
      </c>
      <c r="CB35" s="29" t="e">
        <f t="shared" si="82"/>
        <v>#N/A</v>
      </c>
      <c r="CC35" s="29" t="e">
        <f t="shared" si="82"/>
        <v>#N/A</v>
      </c>
      <c r="CD35" s="29" t="e">
        <f t="shared" si="82"/>
        <v>#N/A</v>
      </c>
      <c r="CE35" s="6" t="str">
        <f t="shared" si="7"/>
        <v/>
      </c>
      <c r="CF35" s="27" t="e">
        <f>IF(AND(CI35,NOT(AD35)),LOOKUP(CF$5,{0,750,1500},H35:J35),"")</f>
        <v>#N/A</v>
      </c>
      <c r="CG35" s="6" t="str">
        <f t="shared" si="8"/>
        <v/>
      </c>
      <c r="CH35" t="e">
        <f t="shared" si="66"/>
        <v>#N/A</v>
      </c>
      <c r="CI35" t="e">
        <f t="shared" si="67"/>
        <v>#N/A</v>
      </c>
      <c r="CJ35" s="6" t="e">
        <f t="shared" si="68"/>
        <v>#N/A</v>
      </c>
      <c r="CK35" s="6">
        <f t="shared" si="69"/>
        <v>1</v>
      </c>
      <c r="CL35" s="6">
        <f t="shared" si="70"/>
        <v>1</v>
      </c>
      <c r="CM35" s="6">
        <f t="shared" si="71"/>
        <v>1</v>
      </c>
      <c r="CN35" s="6">
        <f t="shared" si="72"/>
        <v>1</v>
      </c>
      <c r="CO35" s="6">
        <f t="shared" si="73"/>
        <v>0</v>
      </c>
      <c r="CP35" s="6">
        <f t="shared" si="74"/>
        <v>1</v>
      </c>
      <c r="CQ35" s="6">
        <f t="shared" si="75"/>
        <v>1</v>
      </c>
      <c r="CR35" s="81" t="str">
        <f t="shared" si="76"/>
        <v/>
      </c>
      <c r="CS35">
        <f t="shared" si="77"/>
        <v>0</v>
      </c>
      <c r="CT35">
        <f t="shared" si="78"/>
        <v>250</v>
      </c>
      <c r="CU35" t="str">
        <f t="shared" si="79"/>
        <v/>
      </c>
      <c r="CV35" s="81">
        <f t="shared" si="80"/>
        <v>250</v>
      </c>
      <c r="CW35" s="81">
        <f>(CV35/25)^1.5*(Calculator!$BU$4/10000)*CW$5</f>
        <v>81.653361199867305</v>
      </c>
      <c r="CX35" t="str">
        <f t="shared" si="81"/>
        <v>$250</v>
      </c>
    </row>
    <row r="36" spans="2:102" x14ac:dyDescent="0.25">
      <c r="B36" s="115" t="s">
        <v>233</v>
      </c>
      <c r="C36" s="13">
        <v>46252.407638888886</v>
      </c>
      <c r="D36">
        <v>33362</v>
      </c>
      <c r="E36" s="54" t="s">
        <v>235</v>
      </c>
      <c r="F36" s="54" t="s">
        <v>331</v>
      </c>
      <c r="G36" s="54" t="s">
        <v>1741</v>
      </c>
      <c r="H36" s="55">
        <v>18.899999999999999</v>
      </c>
      <c r="I36" s="55">
        <v>5.8999999999999995</v>
      </c>
      <c r="J36" s="55">
        <v>11.899999999999999</v>
      </c>
      <c r="K36" s="54" t="s">
        <v>1742</v>
      </c>
      <c r="L36" s="56" t="b">
        <v>0</v>
      </c>
      <c r="M36" s="56" t="b">
        <v>0</v>
      </c>
      <c r="N36" s="54">
        <v>1</v>
      </c>
      <c r="O36" s="54" t="s">
        <v>228</v>
      </c>
      <c r="P36" s="54">
        <v>6</v>
      </c>
      <c r="Q36" s="54">
        <v>12</v>
      </c>
      <c r="R36" s="54">
        <v>150</v>
      </c>
      <c r="S36" s="54" t="s">
        <v>333</v>
      </c>
      <c r="T36" s="54" t="s">
        <v>1743</v>
      </c>
      <c r="U36" s="54" t="s">
        <v>1738</v>
      </c>
      <c r="V36" s="54" t="s">
        <v>1744</v>
      </c>
      <c r="W36" s="54" t="b">
        <v>0</v>
      </c>
      <c r="X36" s="54"/>
      <c r="Y36" s="57" t="s">
        <v>1745</v>
      </c>
      <c r="Z36" s="54" t="s">
        <v>1746</v>
      </c>
      <c r="AA36" s="54"/>
      <c r="AB36" s="54" t="s">
        <v>338</v>
      </c>
      <c r="AC36" s="56" t="b">
        <v>1</v>
      </c>
      <c r="AD36" s="56" t="b">
        <v>1</v>
      </c>
      <c r="AE36" s="54" t="s">
        <v>302</v>
      </c>
      <c r="AF36" s="58">
        <v>46252</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0.12928999999999999</v>
      </c>
      <c r="BC36" s="60">
        <v>4.9000000000000004</v>
      </c>
      <c r="BD36" s="61">
        <v>4.9811000000000001E-2</v>
      </c>
      <c r="BE36" s="62" t="s">
        <v>293</v>
      </c>
      <c r="BF36" s="35">
        <f t="shared" ref="BF36:BG46" si="83">IF($E36=$E$4,BF$4,IF($E36=$E$5,BF$5,""))</f>
        <v>4.9000000000000004</v>
      </c>
      <c r="BG36" s="35">
        <f t="shared" si="83"/>
        <v>4.9811000000000001E-2</v>
      </c>
      <c r="BH36" s="35" t="str">
        <f t="shared" ref="BH36:BH46" si="84">IF(ISTEXT(BE36),IF(AND(AV36=0,SUM(AN36:AQ36)=0),IF(AM36&lt;=0,IF(BE36="Y","Low","Flat"),"Med"),"High"),"?")</f>
        <v>High</v>
      </c>
      <c r="BI36" s="110">
        <f t="shared" ref="BI36:BI46" si="85">IF(ISNUMBER(AH36),0*BI$5*SIN((EDATE($A$3,$Q36)-DATE(YEAR(EDATE($A$3,$Q36)),1,0)-BI$4)*2*PI()/365),"")</f>
        <v>0</v>
      </c>
      <c r="BJ36" s="83">
        <f>VLOOKUP($F36,REP_Info!$D$6:$H$250,5,FALSE)</f>
        <v>2.0139999999999998</v>
      </c>
      <c r="BK36" s="30">
        <f t="shared" ref="BK36:BN46" si="86">IF(BK$7&gt;0,(LOOKUP(BK$7,$AH36:$AL36,$AM36:$AQ36)+IF($AG36="Y",SUMPRODUCT($AX36:$BB36-$AW36:$BA36,BK$7-$AR36:$AV36,N(BK$7&gt;$AR36:$AV36)),BK$7*LOOKUP(BK$7,$AR36:$AV36,$AX36:$BB36))+IF($BE36="Y",$BF36,$BC36)+BK$7*IF($BE36="Y",$BG36,$BD36))*100/BK$7,"")</f>
        <v>18.890100000000004</v>
      </c>
      <c r="BL36" s="30">
        <f t="shared" si="86"/>
        <v>5.9000999999999992</v>
      </c>
      <c r="BM36" s="30">
        <f t="shared" si="86"/>
        <v>11.905099999999999</v>
      </c>
      <c r="BN36" s="29">
        <f t="shared" si="86"/>
        <v>13.906766666666663</v>
      </c>
      <c r="BO36" s="85" t="str">
        <f t="shared" ref="BO36:BO46" si="87">IFERROR(SUMPRODUCT($BS$7:$CD$7,$BS36:$CD36)/100,"$$$")</f>
        <v>$$$</v>
      </c>
      <c r="BP36" s="88" t="str">
        <f t="shared" ref="BP36:BP46" si="88">IFERROR(BO36*100/BO$5,"$$$")</f>
        <v>$$$</v>
      </c>
      <c r="BQ36" s="88" t="str">
        <f t="shared" ref="BQ36:BQ46" si="89">IFERROR(SUMPRODUCT($BS$7:$CD$7,$BS36:$CD36,--($BS$4:$CD$4&lt;=$Q36))/SUMPRODUCT(--($BS$4:$CD$4&lt;=$Q36),$BS$7:$CD$7),"$$$")</f>
        <v>$$$</v>
      </c>
      <c r="BR36" s="88" t="str">
        <f t="shared" ref="BR36:BR46" si="90">IFERROR($BQ36-$BF36*100*SUMPRODUCT(--($BS$4:$CD$4&lt;=$Q36))/SUMPRODUCT(--($BS$4:$CD$4&lt;=$Q36),$BS$7:$CD$7)-$BG36*100,"$$$")</f>
        <v>$$$</v>
      </c>
      <c r="BS36" s="29" t="e">
        <f t="shared" ref="BS36:CD42" si="91">IF($CI36,IF(BS$7&gt;0,IF(BS$4&gt;$Q36,$BF36+BS$7*(BS$5+$BG36+$BI36),LOOKUP(BS$7,$AH36:$AL36,$AM36:$AQ36)+IF($AG36="Y",SUMPRODUCT($AX36:$BB36-$AW36:$BA36,BS$7-$AR36:$AV36,N(BS$7&gt;$AR36:$AV36)),BS$7*LOOKUP(BS$7,$AR36:$AV36,$AX36:$BB36))+IF($BE36="Y",$BF36,$BC36)+BS$7*IF($BE36="Y",$BG36,$BD36))*100/BS$7,""),NA())</f>
        <v>#N/A</v>
      </c>
      <c r="BT36" s="29" t="e">
        <f t="shared" si="91"/>
        <v>#N/A</v>
      </c>
      <c r="BU36" s="29" t="e">
        <f t="shared" si="91"/>
        <v>#N/A</v>
      </c>
      <c r="BV36" s="29" t="e">
        <f t="shared" si="91"/>
        <v>#N/A</v>
      </c>
      <c r="BW36" s="29" t="e">
        <f t="shared" si="91"/>
        <v>#N/A</v>
      </c>
      <c r="BX36" s="29" t="e">
        <f t="shared" si="91"/>
        <v>#N/A</v>
      </c>
      <c r="BY36" s="29" t="e">
        <f t="shared" si="91"/>
        <v>#N/A</v>
      </c>
      <c r="BZ36" s="29" t="e">
        <f t="shared" si="91"/>
        <v>#N/A</v>
      </c>
      <c r="CA36" s="29" t="e">
        <f t="shared" si="91"/>
        <v>#N/A</v>
      </c>
      <c r="CB36" s="29" t="e">
        <f t="shared" si="91"/>
        <v>#N/A</v>
      </c>
      <c r="CC36" s="29" t="e">
        <f t="shared" si="91"/>
        <v>#N/A</v>
      </c>
      <c r="CD36" s="29" t="e">
        <f t="shared" si="91"/>
        <v>#N/A</v>
      </c>
      <c r="CE36" s="6" t="str">
        <f t="shared" si="7"/>
        <v/>
      </c>
      <c r="CF36" s="27" t="e">
        <f>IF(AND(CI36,NOT(AD36)),LOOKUP(CF$5,{0,750,1500},H36:J36),"")</f>
        <v>#N/A</v>
      </c>
      <c r="CG36" s="6" t="str">
        <f t="shared" si="8"/>
        <v/>
      </c>
      <c r="CH36" t="e">
        <f t="shared" ref="CH36:CH46" si="92">IF(CI36,IF(ISNUMBER(BO36),BO36,100000)+CV36/10000+IF(ISNUMBER(BJ36),BJ36,2)/10000-P36/100000+ROW()/10000000,"")</f>
        <v>#N/A</v>
      </c>
      <c r="CI36" t="e">
        <f t="shared" ref="CI36:CI46" si="93">PRODUCT(CJ36:CQ36)</f>
        <v>#N/A</v>
      </c>
      <c r="CJ36" s="6" t="e">
        <f t="shared" ref="CJ36:CJ46" si="94">IF($E36=CJ$5,1,0)</f>
        <v>#N/A</v>
      </c>
      <c r="CK36" s="6">
        <f t="shared" ref="CK36:CK46" si="95">IF(CK$5="[Any]",1,IF($F36=CK$5,1,0))</f>
        <v>1</v>
      </c>
      <c r="CL36" s="6">
        <f t="shared" ref="CL36:CL46" si="96">IFERROR(--OR(ISBLANK(CL$5),$BJ36="",AND(ISNUMBER($BJ36),$BJ36&lt;=CL$5)),1)</f>
        <v>1</v>
      </c>
      <c r="CM36" s="6">
        <f t="shared" ref="CM36:CM46" si="97">IF($O36="Fixed",1,0)</f>
        <v>1</v>
      </c>
      <c r="CN36" s="6">
        <f t="shared" ref="CN36:CN46" si="98">IF($Q36&gt;=CN$5,1,0)</f>
        <v>1</v>
      </c>
      <c r="CO36" s="6">
        <f t="shared" ref="CO36:CO46" si="99">IF($Q36&lt;=CO$5,1,0)</f>
        <v>1</v>
      </c>
      <c r="CP36" s="6">
        <f t="shared" ref="CP36:CP46" si="100">IF($P36&gt;=CP$5,1,0)</f>
        <v>1</v>
      </c>
      <c r="CQ36" s="6">
        <f t="shared" ref="CQ36:CQ46" si="101">IF(CQ$5="Any",1,IF(AND(CQ$5="Med",AV36=0,SUM(AN36:AQ36)=0),1,IF(AND(CQ$5="Low",AV36=0,SUM(AN36:AQ36)=0,AM36=0),1,IF(AND(CQ$5="Flat",AV36=0,SUM(AN36:AQ36)=0,AM36=0,IFERROR(NOT(BE36="Y"),0)),1,0))))</f>
        <v>1</v>
      </c>
      <c r="CR36" s="81" t="str">
        <f t="shared" ref="CR36:CR46" si="102">IF(ISNUMBER($CH36),$CH36+$CS36+$CW36,"")</f>
        <v/>
      </c>
      <c r="CS36">
        <f t="shared" ref="CS36:CS46" si="103">CS$5*(12/(MIN(12,Q36))-1)</f>
        <v>0</v>
      </c>
      <c r="CT36">
        <f t="shared" ref="CT36:CT46" si="104">IF(OR(LEFT($R36,2)="No",LEFT($R36,4)="Batt"),0,VALUE(IFERROR(LEFT($R36,FIND("/",$R36)-1),IFERROR(LEFT($R36,FIND(" ",$R36)-1),$R36))))</f>
        <v>150</v>
      </c>
      <c r="CU36" t="str">
        <f t="shared" ref="CU36:CU46" si="105">IF(AND(ISERR(FIND("remain",$R36)),ISERR(FIND("left",$R36))),"","r")&amp;IF(ISERR(FIND("mon",$R36)),"","m")</f>
        <v/>
      </c>
      <c r="CV36" s="81">
        <f t="shared" ref="CV36:CV46" si="106">CT36*IF(CU36="",1,Q36)</f>
        <v>150</v>
      </c>
      <c r="CW36" s="81">
        <f>(CV36/25)^1.5*(Calculator!$BU$4/10000)*CW$5</f>
        <v>37.949052970673385</v>
      </c>
      <c r="CX36" t="str">
        <f t="shared" ref="CX36:CX46" si="107">"$"&amp;IF(LEFT(CU36,1)="r",CT36&amp;"/"&amp;CU36,CV36)</f>
        <v>$150</v>
      </c>
    </row>
    <row r="37" spans="2:102" x14ac:dyDescent="0.25">
      <c r="B37" s="115" t="s">
        <v>233</v>
      </c>
      <c r="C37" s="13">
        <v>46253.410416666666</v>
      </c>
      <c r="D37">
        <v>33364</v>
      </c>
      <c r="E37" s="54" t="s">
        <v>237</v>
      </c>
      <c r="F37" s="54" t="s">
        <v>331</v>
      </c>
      <c r="G37" s="54" t="s">
        <v>1741</v>
      </c>
      <c r="H37" s="55">
        <v>19.400000000000002</v>
      </c>
      <c r="I37" s="55">
        <v>6.5</v>
      </c>
      <c r="J37" s="55">
        <v>12.5</v>
      </c>
      <c r="K37" s="54" t="s">
        <v>1742</v>
      </c>
      <c r="L37" s="56" t="b">
        <v>0</v>
      </c>
      <c r="M37" s="56" t="b">
        <v>0</v>
      </c>
      <c r="N37" s="54">
        <v>1</v>
      </c>
      <c r="O37" s="54" t="s">
        <v>228</v>
      </c>
      <c r="P37" s="54">
        <v>6</v>
      </c>
      <c r="Q37" s="54">
        <v>12</v>
      </c>
      <c r="R37" s="54">
        <v>150</v>
      </c>
      <c r="S37" s="54" t="s">
        <v>333</v>
      </c>
      <c r="T37" s="54" t="s">
        <v>1743</v>
      </c>
      <c r="U37" s="54" t="s">
        <v>1740</v>
      </c>
      <c r="V37" s="54" t="s">
        <v>1747</v>
      </c>
      <c r="W37" s="54" t="b">
        <v>0</v>
      </c>
      <c r="X37" s="54"/>
      <c r="Y37" s="57" t="s">
        <v>1748</v>
      </c>
      <c r="Z37" s="54" t="s">
        <v>1749</v>
      </c>
      <c r="AA37" s="54"/>
      <c r="AB37" s="54" t="s">
        <v>338</v>
      </c>
      <c r="AC37" s="56" t="b">
        <v>1</v>
      </c>
      <c r="AD37" s="56" t="b">
        <v>1</v>
      </c>
      <c r="AE37" s="54" t="s">
        <v>302</v>
      </c>
      <c r="AF37" s="58">
        <v>46253</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0.12565000000000001</v>
      </c>
      <c r="BC37" s="60">
        <v>4.0599999999999996</v>
      </c>
      <c r="BD37" s="61">
        <v>6.0295000000000001E-2</v>
      </c>
      <c r="BE37" s="62" t="s">
        <v>293</v>
      </c>
      <c r="BF37" s="35">
        <f t="shared" si="83"/>
        <v>4.0600000000000005</v>
      </c>
      <c r="BG37" s="35">
        <f t="shared" si="83"/>
        <v>6.0295000000000001E-2</v>
      </c>
      <c r="BH37" s="35" t="str">
        <f t="shared" si="84"/>
        <v>High</v>
      </c>
      <c r="BI37" s="110">
        <f t="shared" si="85"/>
        <v>0</v>
      </c>
      <c r="BJ37" s="83">
        <f>VLOOKUP($F37,REP_Info!$D$6:$H$250,5,FALSE)</f>
        <v>2.0139999999999998</v>
      </c>
      <c r="BK37" s="30">
        <f t="shared" si="86"/>
        <v>19.406500000000001</v>
      </c>
      <c r="BL37" s="30">
        <f t="shared" si="86"/>
        <v>6.5005000000000006</v>
      </c>
      <c r="BM37" s="30">
        <f t="shared" si="86"/>
        <v>12.547499999999999</v>
      </c>
      <c r="BN37" s="29">
        <f t="shared" si="86"/>
        <v>14.563166666666669</v>
      </c>
      <c r="BO37" s="85" t="str">
        <f t="shared" si="87"/>
        <v>$$$</v>
      </c>
      <c r="BP37" s="88" t="str">
        <f t="shared" si="88"/>
        <v>$$$</v>
      </c>
      <c r="BQ37" s="88" t="str">
        <f t="shared" si="89"/>
        <v>$$$</v>
      </c>
      <c r="BR37" s="88" t="str">
        <f t="shared" si="90"/>
        <v>$$$</v>
      </c>
      <c r="BS37" s="29" t="e">
        <f t="shared" si="91"/>
        <v>#N/A</v>
      </c>
      <c r="BT37" s="29" t="e">
        <f t="shared" si="91"/>
        <v>#N/A</v>
      </c>
      <c r="BU37" s="29" t="e">
        <f t="shared" si="91"/>
        <v>#N/A</v>
      </c>
      <c r="BV37" s="29" t="e">
        <f t="shared" si="91"/>
        <v>#N/A</v>
      </c>
      <c r="BW37" s="29" t="e">
        <f t="shared" si="91"/>
        <v>#N/A</v>
      </c>
      <c r="BX37" s="29" t="e">
        <f t="shared" si="91"/>
        <v>#N/A</v>
      </c>
      <c r="BY37" s="29" t="e">
        <f t="shared" si="91"/>
        <v>#N/A</v>
      </c>
      <c r="BZ37" s="29" t="e">
        <f t="shared" si="91"/>
        <v>#N/A</v>
      </c>
      <c r="CA37" s="29" t="e">
        <f t="shared" si="91"/>
        <v>#N/A</v>
      </c>
      <c r="CB37" s="29" t="e">
        <f t="shared" si="91"/>
        <v>#N/A</v>
      </c>
      <c r="CC37" s="29" t="e">
        <f t="shared" si="91"/>
        <v>#N/A</v>
      </c>
      <c r="CD37" s="29" t="e">
        <f t="shared" si="91"/>
        <v>#N/A</v>
      </c>
      <c r="CE37" s="6" t="str">
        <f t="shared" si="7"/>
        <v/>
      </c>
      <c r="CF37" s="27" t="e">
        <f>IF(AND(CI37,NOT(AD37)),LOOKUP(CF$5,{0,750,1500},H37:J37),"")</f>
        <v>#N/A</v>
      </c>
      <c r="CG37" s="6" t="str">
        <f t="shared" si="8"/>
        <v/>
      </c>
      <c r="CH37" t="e">
        <f t="shared" si="92"/>
        <v>#N/A</v>
      </c>
      <c r="CI37" t="e">
        <f t="shared" si="93"/>
        <v>#N/A</v>
      </c>
      <c r="CJ37" s="6" t="e">
        <f t="shared" si="94"/>
        <v>#N/A</v>
      </c>
      <c r="CK37" s="6">
        <f t="shared" si="95"/>
        <v>1</v>
      </c>
      <c r="CL37" s="6">
        <f t="shared" si="96"/>
        <v>1</v>
      </c>
      <c r="CM37" s="6">
        <f t="shared" si="97"/>
        <v>1</v>
      </c>
      <c r="CN37" s="6">
        <f t="shared" si="98"/>
        <v>1</v>
      </c>
      <c r="CO37" s="6">
        <f t="shared" si="99"/>
        <v>1</v>
      </c>
      <c r="CP37" s="6">
        <f t="shared" si="100"/>
        <v>1</v>
      </c>
      <c r="CQ37" s="6">
        <f t="shared" si="101"/>
        <v>1</v>
      </c>
      <c r="CR37" s="81" t="str">
        <f t="shared" si="102"/>
        <v/>
      </c>
      <c r="CS37">
        <f t="shared" si="103"/>
        <v>0</v>
      </c>
      <c r="CT37">
        <f t="shared" si="104"/>
        <v>150</v>
      </c>
      <c r="CU37" t="str">
        <f t="shared" si="105"/>
        <v/>
      </c>
      <c r="CV37" s="81">
        <f t="shared" si="106"/>
        <v>150</v>
      </c>
      <c r="CW37" s="81">
        <f>(CV37/25)^1.5*(Calculator!$BU$4/10000)*CW$5</f>
        <v>37.949052970673385</v>
      </c>
      <c r="CX37" t="str">
        <f t="shared" si="107"/>
        <v>$150</v>
      </c>
    </row>
    <row r="38" spans="2:102" x14ac:dyDescent="0.25">
      <c r="B38" s="115" t="s">
        <v>233</v>
      </c>
      <c r="C38" s="13">
        <v>46256.21597222222</v>
      </c>
      <c r="D38">
        <v>33453</v>
      </c>
      <c r="E38" s="54" t="s">
        <v>237</v>
      </c>
      <c r="F38" s="54" t="s">
        <v>331</v>
      </c>
      <c r="G38" s="54" t="s">
        <v>354</v>
      </c>
      <c r="H38" s="55">
        <v>13.5</v>
      </c>
      <c r="I38" s="55">
        <v>13.100000000000001</v>
      </c>
      <c r="J38" s="55">
        <v>12.9</v>
      </c>
      <c r="K38" s="54"/>
      <c r="L38" s="56" t="b">
        <v>0</v>
      </c>
      <c r="M38" s="56" t="b">
        <v>0</v>
      </c>
      <c r="N38" s="54">
        <v>1</v>
      </c>
      <c r="O38" s="54" t="s">
        <v>228</v>
      </c>
      <c r="P38" s="54">
        <v>6</v>
      </c>
      <c r="Q38" s="54">
        <v>36</v>
      </c>
      <c r="R38" s="54">
        <v>350</v>
      </c>
      <c r="S38" s="54" t="s">
        <v>333</v>
      </c>
      <c r="T38" s="54" t="s">
        <v>355</v>
      </c>
      <c r="U38" s="54" t="s">
        <v>356</v>
      </c>
      <c r="V38" s="54" t="s">
        <v>357</v>
      </c>
      <c r="W38" s="54" t="b">
        <v>0</v>
      </c>
      <c r="X38" s="54"/>
      <c r="Y38" s="57" t="s">
        <v>358</v>
      </c>
      <c r="Z38" s="54" t="s">
        <v>359</v>
      </c>
      <c r="AA38" s="54"/>
      <c r="AB38" s="54" t="s">
        <v>338</v>
      </c>
      <c r="AC38" s="56" t="b">
        <v>1</v>
      </c>
      <c r="AD38" s="56" t="b">
        <v>0</v>
      </c>
      <c r="AE38" s="54" t="s">
        <v>302</v>
      </c>
      <c r="AF38" s="58">
        <v>46256</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6.6650000000000001E-2</v>
      </c>
      <c r="BC38" s="60">
        <v>4.0599999999999996</v>
      </c>
      <c r="BD38" s="61">
        <v>6.0295000000000001E-2</v>
      </c>
      <c r="BE38" s="62" t="s">
        <v>293</v>
      </c>
      <c r="BF38" s="35">
        <f t="shared" si="83"/>
        <v>4.0600000000000005</v>
      </c>
      <c r="BG38" s="35">
        <f t="shared" si="83"/>
        <v>6.0295000000000001E-2</v>
      </c>
      <c r="BH38" s="35" t="str">
        <f t="shared" si="84"/>
        <v>Low</v>
      </c>
      <c r="BI38" s="110">
        <f t="shared" si="85"/>
        <v>0</v>
      </c>
      <c r="BJ38" s="83">
        <f>VLOOKUP($F38,REP_Info!$D$6:$H$250,5,FALSE)</f>
        <v>2.0139999999999998</v>
      </c>
      <c r="BK38" s="30">
        <f t="shared" si="86"/>
        <v>13.506500000000001</v>
      </c>
      <c r="BL38" s="30">
        <f t="shared" si="86"/>
        <v>13.1005</v>
      </c>
      <c r="BM38" s="30">
        <f t="shared" si="86"/>
        <v>12.897500000000003</v>
      </c>
      <c r="BN38" s="29">
        <f t="shared" si="86"/>
        <v>12.829833333333333</v>
      </c>
      <c r="BO38" s="85" t="str">
        <f t="shared" si="87"/>
        <v>$$$</v>
      </c>
      <c r="BP38" s="88" t="str">
        <f t="shared" si="88"/>
        <v>$$$</v>
      </c>
      <c r="BQ38" s="88" t="str">
        <f t="shared" si="89"/>
        <v>$$$</v>
      </c>
      <c r="BR38" s="88" t="str">
        <f t="shared" si="90"/>
        <v>$$$</v>
      </c>
      <c r="BS38" s="29" t="e">
        <f t="shared" si="91"/>
        <v>#N/A</v>
      </c>
      <c r="BT38" s="29" t="e">
        <f t="shared" si="91"/>
        <v>#N/A</v>
      </c>
      <c r="BU38" s="29" t="e">
        <f t="shared" si="91"/>
        <v>#N/A</v>
      </c>
      <c r="BV38" s="29" t="e">
        <f t="shared" si="91"/>
        <v>#N/A</v>
      </c>
      <c r="BW38" s="29" t="e">
        <f t="shared" si="91"/>
        <v>#N/A</v>
      </c>
      <c r="BX38" s="29" t="e">
        <f t="shared" si="91"/>
        <v>#N/A</v>
      </c>
      <c r="BY38" s="29" t="e">
        <f t="shared" si="91"/>
        <v>#N/A</v>
      </c>
      <c r="BZ38" s="29" t="e">
        <f t="shared" si="91"/>
        <v>#N/A</v>
      </c>
      <c r="CA38" s="29" t="e">
        <f t="shared" si="91"/>
        <v>#N/A</v>
      </c>
      <c r="CB38" s="29" t="e">
        <f t="shared" si="91"/>
        <v>#N/A</v>
      </c>
      <c r="CC38" s="29" t="e">
        <f t="shared" si="91"/>
        <v>#N/A</v>
      </c>
      <c r="CD38" s="29" t="e">
        <f t="shared" si="91"/>
        <v>#N/A</v>
      </c>
      <c r="CE38" s="6" t="str">
        <f t="shared" si="7"/>
        <v/>
      </c>
      <c r="CF38" s="27" t="e">
        <f>IF(AND(CI38,NOT(AD38)),LOOKUP(CF$5,{0,750,1500},H38:J38),"")</f>
        <v>#N/A</v>
      </c>
      <c r="CG38" s="6" t="str">
        <f t="shared" si="8"/>
        <v/>
      </c>
      <c r="CH38" t="e">
        <f t="shared" si="92"/>
        <v>#N/A</v>
      </c>
      <c r="CI38" t="e">
        <f t="shared" si="93"/>
        <v>#N/A</v>
      </c>
      <c r="CJ38" s="6" t="e">
        <f t="shared" si="94"/>
        <v>#N/A</v>
      </c>
      <c r="CK38" s="6">
        <f t="shared" si="95"/>
        <v>1</v>
      </c>
      <c r="CL38" s="6">
        <f t="shared" si="96"/>
        <v>1</v>
      </c>
      <c r="CM38" s="6">
        <f t="shared" si="97"/>
        <v>1</v>
      </c>
      <c r="CN38" s="6">
        <f t="shared" si="98"/>
        <v>1</v>
      </c>
      <c r="CO38" s="6">
        <f t="shared" si="99"/>
        <v>0</v>
      </c>
      <c r="CP38" s="6">
        <f t="shared" si="100"/>
        <v>1</v>
      </c>
      <c r="CQ38" s="6">
        <f t="shared" si="101"/>
        <v>1</v>
      </c>
      <c r="CR38" s="81" t="str">
        <f t="shared" si="102"/>
        <v/>
      </c>
      <c r="CS38">
        <f t="shared" si="103"/>
        <v>0</v>
      </c>
      <c r="CT38">
        <f t="shared" si="104"/>
        <v>350</v>
      </c>
      <c r="CU38" t="str">
        <f t="shared" si="105"/>
        <v/>
      </c>
      <c r="CV38" s="81">
        <f t="shared" si="106"/>
        <v>350</v>
      </c>
      <c r="CW38" s="81">
        <f>(CV38/25)^1.5*(Calculator!$BU$4/10000)*CW$5</f>
        <v>135.25898383666623</v>
      </c>
      <c r="CX38" t="str">
        <f t="shared" si="107"/>
        <v>$350</v>
      </c>
    </row>
    <row r="39" spans="2:102" x14ac:dyDescent="0.25">
      <c r="B39" s="115" t="s">
        <v>233</v>
      </c>
      <c r="C39" s="13">
        <v>46256.21597222222</v>
      </c>
      <c r="D39">
        <v>33464</v>
      </c>
      <c r="E39" s="54" t="s">
        <v>235</v>
      </c>
      <c r="F39" s="54" t="s">
        <v>331</v>
      </c>
      <c r="G39" s="54" t="s">
        <v>354</v>
      </c>
      <c r="H39" s="55">
        <v>12.7</v>
      </c>
      <c r="I39" s="55">
        <v>12.2</v>
      </c>
      <c r="J39" s="55">
        <v>12</v>
      </c>
      <c r="K39" s="54"/>
      <c r="L39" s="56" t="b">
        <v>0</v>
      </c>
      <c r="M39" s="56" t="b">
        <v>0</v>
      </c>
      <c r="N39" s="54">
        <v>1</v>
      </c>
      <c r="O39" s="54" t="s">
        <v>228</v>
      </c>
      <c r="P39" s="54">
        <v>6</v>
      </c>
      <c r="Q39" s="54">
        <v>36</v>
      </c>
      <c r="R39" s="54">
        <v>350</v>
      </c>
      <c r="S39" s="54" t="s">
        <v>333</v>
      </c>
      <c r="T39" s="54" t="s">
        <v>355</v>
      </c>
      <c r="U39" s="54" t="s">
        <v>360</v>
      </c>
      <c r="V39" s="54" t="s">
        <v>361</v>
      </c>
      <c r="W39" s="54" t="b">
        <v>0</v>
      </c>
      <c r="X39" s="54"/>
      <c r="Y39" s="57" t="s">
        <v>362</v>
      </c>
      <c r="Z39" s="54" t="s">
        <v>363</v>
      </c>
      <c r="AA39" s="54"/>
      <c r="AB39" s="54" t="s">
        <v>338</v>
      </c>
      <c r="AC39" s="56" t="b">
        <v>1</v>
      </c>
      <c r="AD39" s="56" t="b">
        <v>0</v>
      </c>
      <c r="AE39" s="54" t="s">
        <v>302</v>
      </c>
      <c r="AF39" s="58">
        <v>46256</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6.7290000000000003E-2</v>
      </c>
      <c r="BC39" s="60">
        <v>4.9000000000000004</v>
      </c>
      <c r="BD39" s="61">
        <v>4.9811000000000001E-2</v>
      </c>
      <c r="BE39" s="62" t="s">
        <v>293</v>
      </c>
      <c r="BF39" s="35">
        <f t="shared" si="83"/>
        <v>4.9000000000000004</v>
      </c>
      <c r="BG39" s="35">
        <f t="shared" si="83"/>
        <v>4.9811000000000001E-2</v>
      </c>
      <c r="BH39" s="35" t="str">
        <f t="shared" si="84"/>
        <v>Low</v>
      </c>
      <c r="BI39" s="110">
        <f t="shared" si="85"/>
        <v>0</v>
      </c>
      <c r="BJ39" s="83">
        <f>VLOOKUP($F39,REP_Info!$D$6:$H$250,5,FALSE)</f>
        <v>2.0139999999999998</v>
      </c>
      <c r="BK39" s="30">
        <f t="shared" si="86"/>
        <v>12.690100000000001</v>
      </c>
      <c r="BL39" s="30">
        <f t="shared" si="86"/>
        <v>12.200100000000001</v>
      </c>
      <c r="BM39" s="30">
        <f t="shared" si="86"/>
        <v>11.955100000000002</v>
      </c>
      <c r="BN39" s="29">
        <f t="shared" si="86"/>
        <v>11.873433333333331</v>
      </c>
      <c r="BO39" s="85" t="str">
        <f t="shared" si="87"/>
        <v>$$$</v>
      </c>
      <c r="BP39" s="88" t="str">
        <f t="shared" si="88"/>
        <v>$$$</v>
      </c>
      <c r="BQ39" s="88" t="str">
        <f t="shared" si="89"/>
        <v>$$$</v>
      </c>
      <c r="BR39" s="88" t="str">
        <f t="shared" si="90"/>
        <v>$$$</v>
      </c>
      <c r="BS39" s="29" t="e">
        <f t="shared" si="91"/>
        <v>#N/A</v>
      </c>
      <c r="BT39" s="29" t="e">
        <f t="shared" si="91"/>
        <v>#N/A</v>
      </c>
      <c r="BU39" s="29" t="e">
        <f t="shared" si="91"/>
        <v>#N/A</v>
      </c>
      <c r="BV39" s="29" t="e">
        <f t="shared" si="91"/>
        <v>#N/A</v>
      </c>
      <c r="BW39" s="29" t="e">
        <f t="shared" si="91"/>
        <v>#N/A</v>
      </c>
      <c r="BX39" s="29" t="e">
        <f t="shared" si="91"/>
        <v>#N/A</v>
      </c>
      <c r="BY39" s="29" t="e">
        <f t="shared" si="91"/>
        <v>#N/A</v>
      </c>
      <c r="BZ39" s="29" t="e">
        <f t="shared" si="91"/>
        <v>#N/A</v>
      </c>
      <c r="CA39" s="29" t="e">
        <f t="shared" si="91"/>
        <v>#N/A</v>
      </c>
      <c r="CB39" s="29" t="e">
        <f t="shared" si="91"/>
        <v>#N/A</v>
      </c>
      <c r="CC39" s="29" t="e">
        <f t="shared" si="91"/>
        <v>#N/A</v>
      </c>
      <c r="CD39" s="29" t="e">
        <f t="shared" si="91"/>
        <v>#N/A</v>
      </c>
      <c r="CE39" s="6" t="str">
        <f t="shared" si="7"/>
        <v/>
      </c>
      <c r="CF39" s="27" t="e">
        <f>IF(AND(CI39,NOT(AD39)),LOOKUP(CF$5,{0,750,1500},H39:J39),"")</f>
        <v>#N/A</v>
      </c>
      <c r="CG39" s="6" t="str">
        <f t="shared" si="8"/>
        <v/>
      </c>
      <c r="CH39" t="e">
        <f t="shared" si="92"/>
        <v>#N/A</v>
      </c>
      <c r="CI39" t="e">
        <f t="shared" si="93"/>
        <v>#N/A</v>
      </c>
      <c r="CJ39" s="6" t="e">
        <f t="shared" si="94"/>
        <v>#N/A</v>
      </c>
      <c r="CK39" s="6">
        <f t="shared" si="95"/>
        <v>1</v>
      </c>
      <c r="CL39" s="6">
        <f t="shared" si="96"/>
        <v>1</v>
      </c>
      <c r="CM39" s="6">
        <f t="shared" si="97"/>
        <v>1</v>
      </c>
      <c r="CN39" s="6">
        <f t="shared" si="98"/>
        <v>1</v>
      </c>
      <c r="CO39" s="6">
        <f t="shared" si="99"/>
        <v>0</v>
      </c>
      <c r="CP39" s="6">
        <f t="shared" si="100"/>
        <v>1</v>
      </c>
      <c r="CQ39" s="6">
        <f t="shared" si="101"/>
        <v>1</v>
      </c>
      <c r="CR39" s="81" t="str">
        <f t="shared" si="102"/>
        <v/>
      </c>
      <c r="CS39">
        <f t="shared" si="103"/>
        <v>0</v>
      </c>
      <c r="CT39">
        <f t="shared" si="104"/>
        <v>350</v>
      </c>
      <c r="CU39" t="str">
        <f t="shared" si="105"/>
        <v/>
      </c>
      <c r="CV39" s="81">
        <f t="shared" si="106"/>
        <v>350</v>
      </c>
      <c r="CW39" s="81">
        <f>(CV39/25)^1.5*(Calculator!$BU$4/10000)*CW$5</f>
        <v>135.25898383666623</v>
      </c>
      <c r="CX39" t="str">
        <f t="shared" si="107"/>
        <v>$350</v>
      </c>
    </row>
    <row r="40" spans="2:102" x14ac:dyDescent="0.25">
      <c r="B40" s="115" t="s">
        <v>233</v>
      </c>
      <c r="C40" s="13">
        <v>46254.637499999997</v>
      </c>
      <c r="D40">
        <v>33631</v>
      </c>
      <c r="E40" s="54" t="s">
        <v>237</v>
      </c>
      <c r="F40" s="54" t="s">
        <v>331</v>
      </c>
      <c r="G40" s="54" t="s">
        <v>2246</v>
      </c>
      <c r="H40" s="55">
        <v>11.600000000000001</v>
      </c>
      <c r="I40" s="55">
        <v>11.200000000000001</v>
      </c>
      <c r="J40" s="55">
        <v>11</v>
      </c>
      <c r="K40" s="54"/>
      <c r="L40" s="56" t="b">
        <v>0</v>
      </c>
      <c r="M40" s="56" t="b">
        <v>0</v>
      </c>
      <c r="N40" s="54">
        <v>1</v>
      </c>
      <c r="O40" s="54" t="s">
        <v>228</v>
      </c>
      <c r="P40" s="54">
        <v>6</v>
      </c>
      <c r="Q40" s="54">
        <v>10</v>
      </c>
      <c r="R40" s="54">
        <v>150</v>
      </c>
      <c r="S40" s="54" t="s">
        <v>333</v>
      </c>
      <c r="T40" s="54" t="s">
        <v>1750</v>
      </c>
      <c r="U40" s="54" t="s">
        <v>2234</v>
      </c>
      <c r="V40" s="54" t="s">
        <v>2247</v>
      </c>
      <c r="W40" s="54" t="b">
        <v>0</v>
      </c>
      <c r="X40" s="54"/>
      <c r="Y40" s="57" t="s">
        <v>2248</v>
      </c>
      <c r="Z40" s="54" t="s">
        <v>2249</v>
      </c>
      <c r="AA40" s="54"/>
      <c r="AB40" s="54" t="s">
        <v>338</v>
      </c>
      <c r="AC40" s="56" t="b">
        <v>1</v>
      </c>
      <c r="AD40" s="56" t="b">
        <v>0</v>
      </c>
      <c r="AE40" s="54" t="s">
        <v>302</v>
      </c>
      <c r="AF40" s="58">
        <v>46254</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4.7649999999999998E-2</v>
      </c>
      <c r="BC40" s="60">
        <v>4.0599999999999996</v>
      </c>
      <c r="BD40" s="61">
        <v>6.0295000000000001E-2</v>
      </c>
      <c r="BE40" s="62" t="s">
        <v>293</v>
      </c>
      <c r="BF40" s="35">
        <f t="shared" si="83"/>
        <v>4.0600000000000005</v>
      </c>
      <c r="BG40" s="35">
        <f t="shared" si="83"/>
        <v>6.0295000000000001E-2</v>
      </c>
      <c r="BH40" s="35" t="str">
        <f t="shared" si="84"/>
        <v>Low</v>
      </c>
      <c r="BI40" s="110">
        <f t="shared" si="85"/>
        <v>0</v>
      </c>
      <c r="BJ40" s="83">
        <f>VLOOKUP($F40,REP_Info!$D$6:$H$250,5,FALSE)</f>
        <v>2.0139999999999998</v>
      </c>
      <c r="BK40" s="30">
        <f t="shared" si="86"/>
        <v>11.6065</v>
      </c>
      <c r="BL40" s="30">
        <f t="shared" si="86"/>
        <v>11.2005</v>
      </c>
      <c r="BM40" s="30">
        <f t="shared" si="86"/>
        <v>10.9975</v>
      </c>
      <c r="BN40" s="29">
        <f t="shared" si="86"/>
        <v>10.929833333333333</v>
      </c>
      <c r="BO40" s="85" t="str">
        <f t="shared" si="87"/>
        <v>$$$</v>
      </c>
      <c r="BP40" s="88" t="str">
        <f t="shared" si="88"/>
        <v>$$$</v>
      </c>
      <c r="BQ40" s="88" t="str">
        <f t="shared" si="89"/>
        <v>$$$</v>
      </c>
      <c r="BR40" s="88" t="str">
        <f t="shared" si="90"/>
        <v>$$$</v>
      </c>
      <c r="BS40" s="29" t="e">
        <f t="shared" si="91"/>
        <v>#N/A</v>
      </c>
      <c r="BT40" s="29" t="e">
        <f t="shared" si="91"/>
        <v>#N/A</v>
      </c>
      <c r="BU40" s="29" t="e">
        <f t="shared" si="91"/>
        <v>#N/A</v>
      </c>
      <c r="BV40" s="29" t="e">
        <f t="shared" si="91"/>
        <v>#N/A</v>
      </c>
      <c r="BW40" s="29" t="e">
        <f t="shared" si="91"/>
        <v>#N/A</v>
      </c>
      <c r="BX40" s="29" t="e">
        <f t="shared" si="91"/>
        <v>#N/A</v>
      </c>
      <c r="BY40" s="29" t="e">
        <f t="shared" si="91"/>
        <v>#N/A</v>
      </c>
      <c r="BZ40" s="29" t="e">
        <f t="shared" si="91"/>
        <v>#N/A</v>
      </c>
      <c r="CA40" s="29" t="e">
        <f t="shared" si="91"/>
        <v>#N/A</v>
      </c>
      <c r="CB40" s="29" t="e">
        <f t="shared" si="91"/>
        <v>#N/A</v>
      </c>
      <c r="CC40" s="29" t="e">
        <f t="shared" si="91"/>
        <v>#N/A</v>
      </c>
      <c r="CD40" s="29" t="e">
        <f t="shared" si="91"/>
        <v>#N/A</v>
      </c>
      <c r="CE40" s="6" t="str">
        <f t="shared" si="7"/>
        <v/>
      </c>
      <c r="CF40" s="27" t="e">
        <f>IF(AND(CI40,NOT(AD40)),LOOKUP(CF$5,{0,750,1500},H40:J40),"")</f>
        <v>#N/A</v>
      </c>
      <c r="CG40" s="6" t="str">
        <f t="shared" si="8"/>
        <v/>
      </c>
      <c r="CH40" t="e">
        <f t="shared" si="92"/>
        <v>#N/A</v>
      </c>
      <c r="CI40" t="e">
        <f t="shared" si="93"/>
        <v>#N/A</v>
      </c>
      <c r="CJ40" s="6" t="e">
        <f t="shared" si="94"/>
        <v>#N/A</v>
      </c>
      <c r="CK40" s="6">
        <f t="shared" si="95"/>
        <v>1</v>
      </c>
      <c r="CL40" s="6">
        <f t="shared" si="96"/>
        <v>1</v>
      </c>
      <c r="CM40" s="6">
        <f t="shared" si="97"/>
        <v>1</v>
      </c>
      <c r="CN40" s="6">
        <f t="shared" si="98"/>
        <v>0</v>
      </c>
      <c r="CO40" s="6">
        <f t="shared" si="99"/>
        <v>1</v>
      </c>
      <c r="CP40" s="6">
        <f t="shared" si="100"/>
        <v>1</v>
      </c>
      <c r="CQ40" s="6">
        <f t="shared" si="101"/>
        <v>1</v>
      </c>
      <c r="CR40" s="81" t="str">
        <f t="shared" si="102"/>
        <v/>
      </c>
      <c r="CS40">
        <f t="shared" si="103"/>
        <v>3.5999999999999992</v>
      </c>
      <c r="CT40">
        <f t="shared" si="104"/>
        <v>150</v>
      </c>
      <c r="CU40" t="str">
        <f t="shared" si="105"/>
        <v/>
      </c>
      <c r="CV40" s="81">
        <f t="shared" si="106"/>
        <v>150</v>
      </c>
      <c r="CW40" s="81">
        <f>(CV40/25)^1.5*(Calculator!$BU$4/10000)*CW$5</f>
        <v>37.949052970673385</v>
      </c>
      <c r="CX40" t="str">
        <f t="shared" si="107"/>
        <v>$150</v>
      </c>
    </row>
    <row r="41" spans="2:102" x14ac:dyDescent="0.25">
      <c r="B41" s="115" t="s">
        <v>233</v>
      </c>
      <c r="C41" s="13">
        <v>46254.637499999997</v>
      </c>
      <c r="D41">
        <v>33633</v>
      </c>
      <c r="E41" s="54" t="s">
        <v>235</v>
      </c>
      <c r="F41" s="54" t="s">
        <v>331</v>
      </c>
      <c r="G41" s="54" t="s">
        <v>2246</v>
      </c>
      <c r="H41" s="55">
        <v>11</v>
      </c>
      <c r="I41" s="55">
        <v>10.5</v>
      </c>
      <c r="J41" s="55">
        <v>10.299999999999999</v>
      </c>
      <c r="K41" s="54"/>
      <c r="L41" s="56" t="b">
        <v>0</v>
      </c>
      <c r="M41" s="56" t="b">
        <v>0</v>
      </c>
      <c r="N41" s="54">
        <v>1</v>
      </c>
      <c r="O41" s="54" t="s">
        <v>228</v>
      </c>
      <c r="P41" s="54">
        <v>6</v>
      </c>
      <c r="Q41" s="54">
        <v>10</v>
      </c>
      <c r="R41" s="54">
        <v>150</v>
      </c>
      <c r="S41" s="54" t="s">
        <v>333</v>
      </c>
      <c r="T41" s="54" t="s">
        <v>2250</v>
      </c>
      <c r="U41" s="54" t="s">
        <v>2233</v>
      </c>
      <c r="V41" s="54" t="s">
        <v>2251</v>
      </c>
      <c r="W41" s="54" t="b">
        <v>0</v>
      </c>
      <c r="X41" s="54"/>
      <c r="Y41" s="57" t="s">
        <v>2252</v>
      </c>
      <c r="Z41" s="54" t="s">
        <v>2253</v>
      </c>
      <c r="AA41" s="54"/>
      <c r="AB41" s="54" t="s">
        <v>338</v>
      </c>
      <c r="AC41" s="56" t="b">
        <v>1</v>
      </c>
      <c r="AD41" s="56" t="b">
        <v>0</v>
      </c>
      <c r="AE41" s="54" t="s">
        <v>302</v>
      </c>
      <c r="AF41" s="58">
        <v>46254</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5.0290000000000001E-2</v>
      </c>
      <c r="BC41" s="60">
        <v>4.9000000000000004</v>
      </c>
      <c r="BD41" s="61">
        <v>4.9811000000000001E-2</v>
      </c>
      <c r="BE41" s="62" t="s">
        <v>293</v>
      </c>
      <c r="BF41" s="35">
        <f t="shared" si="83"/>
        <v>4.9000000000000004</v>
      </c>
      <c r="BG41" s="35">
        <f t="shared" si="83"/>
        <v>4.9811000000000001E-2</v>
      </c>
      <c r="BH41" s="35" t="str">
        <f t="shared" si="84"/>
        <v>Low</v>
      </c>
      <c r="BI41" s="110">
        <f t="shared" si="85"/>
        <v>0</v>
      </c>
      <c r="BJ41" s="83">
        <f>VLOOKUP($F41,REP_Info!$D$6:$H$250,5,FALSE)</f>
        <v>2.0139999999999998</v>
      </c>
      <c r="BK41" s="30">
        <f t="shared" si="86"/>
        <v>10.9901</v>
      </c>
      <c r="BL41" s="30">
        <f t="shared" si="86"/>
        <v>10.5001</v>
      </c>
      <c r="BM41" s="30">
        <f t="shared" si="86"/>
        <v>10.255100000000001</v>
      </c>
      <c r="BN41" s="29">
        <f t="shared" si="86"/>
        <v>10.173433333333332</v>
      </c>
      <c r="BO41" s="85" t="str">
        <f t="shared" si="87"/>
        <v>$$$</v>
      </c>
      <c r="BP41" s="88" t="str">
        <f t="shared" si="88"/>
        <v>$$$</v>
      </c>
      <c r="BQ41" s="88" t="str">
        <f t="shared" si="89"/>
        <v>$$$</v>
      </c>
      <c r="BR41" s="88" t="str">
        <f t="shared" si="90"/>
        <v>$$$</v>
      </c>
      <c r="BS41" s="29" t="e">
        <f t="shared" si="91"/>
        <v>#N/A</v>
      </c>
      <c r="BT41" s="29" t="e">
        <f t="shared" si="91"/>
        <v>#N/A</v>
      </c>
      <c r="BU41" s="29" t="e">
        <f t="shared" si="91"/>
        <v>#N/A</v>
      </c>
      <c r="BV41" s="29" t="e">
        <f t="shared" si="91"/>
        <v>#N/A</v>
      </c>
      <c r="BW41" s="29" t="e">
        <f t="shared" si="91"/>
        <v>#N/A</v>
      </c>
      <c r="BX41" s="29" t="e">
        <f t="shared" si="91"/>
        <v>#N/A</v>
      </c>
      <c r="BY41" s="29" t="e">
        <f t="shared" si="91"/>
        <v>#N/A</v>
      </c>
      <c r="BZ41" s="29" t="e">
        <f t="shared" si="91"/>
        <v>#N/A</v>
      </c>
      <c r="CA41" s="29" t="e">
        <f t="shared" si="91"/>
        <v>#N/A</v>
      </c>
      <c r="CB41" s="29" t="e">
        <f t="shared" si="91"/>
        <v>#N/A</v>
      </c>
      <c r="CC41" s="29" t="e">
        <f t="shared" si="91"/>
        <v>#N/A</v>
      </c>
      <c r="CD41" s="29" t="e">
        <f t="shared" si="91"/>
        <v>#N/A</v>
      </c>
      <c r="CE41" s="6" t="str">
        <f t="shared" si="7"/>
        <v/>
      </c>
      <c r="CF41" s="27" t="e">
        <f>IF(AND(CI41,NOT(AD41)),LOOKUP(CF$5,{0,750,1500},H41:J41),"")</f>
        <v>#N/A</v>
      </c>
      <c r="CG41" s="6" t="str">
        <f t="shared" si="8"/>
        <v/>
      </c>
      <c r="CH41" t="e">
        <f t="shared" si="92"/>
        <v>#N/A</v>
      </c>
      <c r="CI41" t="e">
        <f t="shared" si="93"/>
        <v>#N/A</v>
      </c>
      <c r="CJ41" s="6" t="e">
        <f t="shared" si="94"/>
        <v>#N/A</v>
      </c>
      <c r="CK41" s="6">
        <f t="shared" si="95"/>
        <v>1</v>
      </c>
      <c r="CL41" s="6">
        <f t="shared" si="96"/>
        <v>1</v>
      </c>
      <c r="CM41" s="6">
        <f t="shared" si="97"/>
        <v>1</v>
      </c>
      <c r="CN41" s="6">
        <f t="shared" si="98"/>
        <v>0</v>
      </c>
      <c r="CO41" s="6">
        <f t="shared" si="99"/>
        <v>1</v>
      </c>
      <c r="CP41" s="6">
        <f t="shared" si="100"/>
        <v>1</v>
      </c>
      <c r="CQ41" s="6">
        <f t="shared" si="101"/>
        <v>1</v>
      </c>
      <c r="CR41" s="81" t="str">
        <f t="shared" si="102"/>
        <v/>
      </c>
      <c r="CS41">
        <f t="shared" si="103"/>
        <v>3.5999999999999992</v>
      </c>
      <c r="CT41">
        <f t="shared" si="104"/>
        <v>150</v>
      </c>
      <c r="CU41" t="str">
        <f t="shared" si="105"/>
        <v/>
      </c>
      <c r="CV41" s="81">
        <f t="shared" si="106"/>
        <v>150</v>
      </c>
      <c r="CW41" s="81">
        <f>(CV41/25)^1.5*(Calculator!$BU$4/10000)*CW$5</f>
        <v>37.949052970673385</v>
      </c>
      <c r="CX41" t="str">
        <f t="shared" si="107"/>
        <v>$150</v>
      </c>
    </row>
    <row r="42" spans="2:102" x14ac:dyDescent="0.25">
      <c r="B42" s="115" t="s">
        <v>233</v>
      </c>
      <c r="C42" s="13">
        <v>46256.21597222222</v>
      </c>
      <c r="D42">
        <v>36178</v>
      </c>
      <c r="E42" s="54" t="s">
        <v>235</v>
      </c>
      <c r="F42" s="54" t="s">
        <v>364</v>
      </c>
      <c r="G42" s="54" t="s">
        <v>1693</v>
      </c>
      <c r="H42" s="55">
        <v>13</v>
      </c>
      <c r="I42" s="55">
        <v>12.5</v>
      </c>
      <c r="J42" s="55">
        <v>12.3</v>
      </c>
      <c r="K42" s="54"/>
      <c r="L42" s="56" t="b">
        <v>0</v>
      </c>
      <c r="M42" s="56" t="b">
        <v>0</v>
      </c>
      <c r="N42" s="54">
        <v>1</v>
      </c>
      <c r="O42" s="54" t="s">
        <v>228</v>
      </c>
      <c r="P42" s="54">
        <v>23</v>
      </c>
      <c r="Q42" s="54">
        <v>10</v>
      </c>
      <c r="R42" s="54" t="s">
        <v>365</v>
      </c>
      <c r="S42" s="54" t="s">
        <v>366</v>
      </c>
      <c r="T42" s="54" t="s">
        <v>2319</v>
      </c>
      <c r="U42" s="54" t="s">
        <v>367</v>
      </c>
      <c r="V42" s="54" t="s">
        <v>368</v>
      </c>
      <c r="W42" s="54" t="b">
        <v>0</v>
      </c>
      <c r="X42" s="54"/>
      <c r="Y42" s="57" t="s">
        <v>1694</v>
      </c>
      <c r="Z42" s="54" t="s">
        <v>366</v>
      </c>
      <c r="AA42" s="54"/>
      <c r="AB42" s="54" t="s">
        <v>369</v>
      </c>
      <c r="AC42" s="56" t="b">
        <v>1</v>
      </c>
      <c r="AD42" s="56" t="b">
        <v>0</v>
      </c>
      <c r="AE42" s="54" t="s">
        <v>302</v>
      </c>
      <c r="AF42" s="58">
        <v>46256</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6.8900000000000003E-2</v>
      </c>
      <c r="BC42" s="60">
        <v>4.9000000000000004</v>
      </c>
      <c r="BD42" s="61">
        <v>5.1461E-2</v>
      </c>
      <c r="BE42" s="62" t="s">
        <v>293</v>
      </c>
      <c r="BF42" s="35">
        <f t="shared" si="83"/>
        <v>4.9000000000000004</v>
      </c>
      <c r="BG42" s="35">
        <f t="shared" si="83"/>
        <v>4.9811000000000001E-2</v>
      </c>
      <c r="BH42" s="35" t="str">
        <f t="shared" si="84"/>
        <v>Low</v>
      </c>
      <c r="BI42" s="110">
        <f t="shared" si="85"/>
        <v>0</v>
      </c>
      <c r="BJ42" s="83" t="str">
        <f>VLOOKUP($F42,REP_Info!$D$6:$H$250,5,FALSE)</f>
        <v/>
      </c>
      <c r="BK42" s="30">
        <f t="shared" si="86"/>
        <v>12.851100000000001</v>
      </c>
      <c r="BL42" s="30">
        <f t="shared" si="86"/>
        <v>12.361100000000002</v>
      </c>
      <c r="BM42" s="30">
        <f t="shared" si="86"/>
        <v>12.116100000000001</v>
      </c>
      <c r="BN42" s="29">
        <f t="shared" si="86"/>
        <v>12.034433333333334</v>
      </c>
      <c r="BO42" s="85" t="str">
        <f t="shared" si="87"/>
        <v>$$$</v>
      </c>
      <c r="BP42" s="88" t="str">
        <f t="shared" si="88"/>
        <v>$$$</v>
      </c>
      <c r="BQ42" s="88" t="str">
        <f t="shared" si="89"/>
        <v>$$$</v>
      </c>
      <c r="BR42" s="88" t="str">
        <f t="shared" si="90"/>
        <v>$$$</v>
      </c>
      <c r="BS42" s="29" t="e">
        <f t="shared" si="91"/>
        <v>#N/A</v>
      </c>
      <c r="BT42" s="29" t="e">
        <f t="shared" si="91"/>
        <v>#N/A</v>
      </c>
      <c r="BU42" s="29" t="e">
        <f t="shared" si="91"/>
        <v>#N/A</v>
      </c>
      <c r="BV42" s="29" t="e">
        <f t="shared" ref="BS42:CD46" si="108">IF($CI42,IF(BV$7&gt;0,IF(BV$4&gt;$Q42,$BF42+BV$7*(BV$5+$BG42+$BI42),LOOKUP(BV$7,$AH42:$AL42,$AM42:$AQ42)+IF($AG42="Y",SUMPRODUCT($AX42:$BB42-$AW42:$BA42,BV$7-$AR42:$AV42,N(BV$7&gt;$AR42:$AV42)),BV$7*LOOKUP(BV$7,$AR42:$AV42,$AX42:$BB42))+IF($BE42="Y",$BF42,$BC42)+BV$7*IF($BE42="Y",$BG42,$BD42))*100/BV$7,""),NA())</f>
        <v>#N/A</v>
      </c>
      <c r="BW42" s="29" t="e">
        <f t="shared" si="108"/>
        <v>#N/A</v>
      </c>
      <c r="BX42" s="29" t="e">
        <f t="shared" si="108"/>
        <v>#N/A</v>
      </c>
      <c r="BY42" s="29" t="e">
        <f t="shared" si="108"/>
        <v>#N/A</v>
      </c>
      <c r="BZ42" s="29" t="e">
        <f t="shared" si="108"/>
        <v>#N/A</v>
      </c>
      <c r="CA42" s="29" t="e">
        <f t="shared" si="108"/>
        <v>#N/A</v>
      </c>
      <c r="CB42" s="29" t="e">
        <f t="shared" si="108"/>
        <v>#N/A</v>
      </c>
      <c r="CC42" s="29" t="e">
        <f t="shared" si="108"/>
        <v>#N/A</v>
      </c>
      <c r="CD42" s="29" t="e">
        <f t="shared" si="108"/>
        <v>#N/A</v>
      </c>
      <c r="CE42" s="6" t="str">
        <f t="shared" si="7"/>
        <v/>
      </c>
      <c r="CF42" s="27" t="e">
        <f>IF(AND(CI42,NOT(AD42)),LOOKUP(CF$5,{0,750,1500},H42:J42),"")</f>
        <v>#N/A</v>
      </c>
      <c r="CG42" s="6" t="str">
        <f t="shared" si="8"/>
        <v/>
      </c>
      <c r="CH42" t="e">
        <f t="shared" si="92"/>
        <v>#N/A</v>
      </c>
      <c r="CI42" t="e">
        <f t="shared" si="93"/>
        <v>#N/A</v>
      </c>
      <c r="CJ42" s="6" t="e">
        <f t="shared" si="94"/>
        <v>#N/A</v>
      </c>
      <c r="CK42" s="6">
        <f t="shared" si="95"/>
        <v>1</v>
      </c>
      <c r="CL42" s="6">
        <f t="shared" si="96"/>
        <v>1</v>
      </c>
      <c r="CM42" s="6">
        <f t="shared" si="97"/>
        <v>1</v>
      </c>
      <c r="CN42" s="6">
        <f t="shared" si="98"/>
        <v>0</v>
      </c>
      <c r="CO42" s="6">
        <f t="shared" si="99"/>
        <v>1</v>
      </c>
      <c r="CP42" s="6">
        <f t="shared" si="100"/>
        <v>1</v>
      </c>
      <c r="CQ42" s="6">
        <f t="shared" si="101"/>
        <v>1</v>
      </c>
      <c r="CR42" s="81" t="str">
        <f t="shared" si="102"/>
        <v/>
      </c>
      <c r="CS42">
        <f t="shared" si="103"/>
        <v>3.5999999999999992</v>
      </c>
      <c r="CT42">
        <f t="shared" si="104"/>
        <v>20</v>
      </c>
      <c r="CU42" t="str">
        <f t="shared" si="105"/>
        <v>rm</v>
      </c>
      <c r="CV42" s="81">
        <f t="shared" si="106"/>
        <v>200</v>
      </c>
      <c r="CW42" s="81">
        <f>(CV42/25)^1.5*(Calculator!$BU$4/10000)*CW$5</f>
        <v>58.426389194959008</v>
      </c>
      <c r="CX42" t="str">
        <f t="shared" si="107"/>
        <v>$20/rm</v>
      </c>
    </row>
    <row r="43" spans="2:102" x14ac:dyDescent="0.25">
      <c r="B43" s="115" t="s">
        <v>233</v>
      </c>
      <c r="C43" s="13">
        <v>46256.21597222222</v>
      </c>
      <c r="D43">
        <v>36180</v>
      </c>
      <c r="E43" s="54" t="s">
        <v>237</v>
      </c>
      <c r="F43" s="54" t="s">
        <v>364</v>
      </c>
      <c r="G43" s="54" t="s">
        <v>1693</v>
      </c>
      <c r="H43" s="55">
        <v>13.700000000000001</v>
      </c>
      <c r="I43" s="55">
        <v>13.3</v>
      </c>
      <c r="J43" s="55">
        <v>13.100000000000001</v>
      </c>
      <c r="K43" s="54"/>
      <c r="L43" s="56" t="b">
        <v>0</v>
      </c>
      <c r="M43" s="56" t="b">
        <v>0</v>
      </c>
      <c r="N43" s="54">
        <v>1</v>
      </c>
      <c r="O43" s="54" t="s">
        <v>228</v>
      </c>
      <c r="P43" s="54">
        <v>23</v>
      </c>
      <c r="Q43" s="54">
        <v>10</v>
      </c>
      <c r="R43" s="54" t="s">
        <v>365</v>
      </c>
      <c r="S43" s="54" t="s">
        <v>366</v>
      </c>
      <c r="T43" s="54" t="s">
        <v>2319</v>
      </c>
      <c r="U43" s="54" t="s">
        <v>367</v>
      </c>
      <c r="V43" s="54" t="s">
        <v>368</v>
      </c>
      <c r="W43" s="54" t="b">
        <v>0</v>
      </c>
      <c r="X43" s="54"/>
      <c r="Y43" s="57" t="s">
        <v>1695</v>
      </c>
      <c r="Z43" s="54" t="s">
        <v>366</v>
      </c>
      <c r="AA43" s="54"/>
      <c r="AB43" s="54" t="s">
        <v>369</v>
      </c>
      <c r="AC43" s="56" t="b">
        <v>1</v>
      </c>
      <c r="AD43" s="56" t="b">
        <v>0</v>
      </c>
      <c r="AE43" s="54" t="s">
        <v>302</v>
      </c>
      <c r="AF43" s="58">
        <v>46256</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6.8900000000000003E-2</v>
      </c>
      <c r="BC43" s="60">
        <v>4.0599999999999996</v>
      </c>
      <c r="BD43" s="61">
        <v>6.0295000000000001E-2</v>
      </c>
      <c r="BE43" s="62" t="s">
        <v>293</v>
      </c>
      <c r="BF43" s="35">
        <f t="shared" si="83"/>
        <v>4.0600000000000005</v>
      </c>
      <c r="BG43" s="35">
        <f t="shared" si="83"/>
        <v>6.0295000000000001E-2</v>
      </c>
      <c r="BH43" s="35" t="str">
        <f t="shared" si="84"/>
        <v>Low</v>
      </c>
      <c r="BI43" s="110">
        <f t="shared" si="85"/>
        <v>0</v>
      </c>
      <c r="BJ43" s="83" t="str">
        <f>VLOOKUP($F43,REP_Info!$D$6:$H$250,5,FALSE)</f>
        <v/>
      </c>
      <c r="BK43" s="30">
        <f t="shared" si="86"/>
        <v>13.7315</v>
      </c>
      <c r="BL43" s="30">
        <f t="shared" si="86"/>
        <v>13.3255</v>
      </c>
      <c r="BM43" s="30">
        <f t="shared" si="86"/>
        <v>13.122500000000002</v>
      </c>
      <c r="BN43" s="29">
        <f t="shared" si="86"/>
        <v>13.054833333333333</v>
      </c>
      <c r="BO43" s="85" t="str">
        <f t="shared" si="87"/>
        <v>$$$</v>
      </c>
      <c r="BP43" s="88" t="str">
        <f t="shared" si="88"/>
        <v>$$$</v>
      </c>
      <c r="BQ43" s="88" t="str">
        <f t="shared" si="89"/>
        <v>$$$</v>
      </c>
      <c r="BR43" s="88" t="str">
        <f t="shared" si="90"/>
        <v>$$$</v>
      </c>
      <c r="BS43" s="29" t="e">
        <f t="shared" si="108"/>
        <v>#N/A</v>
      </c>
      <c r="BT43" s="29" t="e">
        <f t="shared" si="108"/>
        <v>#N/A</v>
      </c>
      <c r="BU43" s="29" t="e">
        <f t="shared" si="108"/>
        <v>#N/A</v>
      </c>
      <c r="BV43" s="29" t="e">
        <f t="shared" si="108"/>
        <v>#N/A</v>
      </c>
      <c r="BW43" s="29" t="e">
        <f t="shared" si="108"/>
        <v>#N/A</v>
      </c>
      <c r="BX43" s="29" t="e">
        <f t="shared" si="108"/>
        <v>#N/A</v>
      </c>
      <c r="BY43" s="29" t="e">
        <f t="shared" si="108"/>
        <v>#N/A</v>
      </c>
      <c r="BZ43" s="29" t="e">
        <f t="shared" si="108"/>
        <v>#N/A</v>
      </c>
      <c r="CA43" s="29" t="e">
        <f t="shared" si="108"/>
        <v>#N/A</v>
      </c>
      <c r="CB43" s="29" t="e">
        <f t="shared" si="108"/>
        <v>#N/A</v>
      </c>
      <c r="CC43" s="29" t="e">
        <f t="shared" si="108"/>
        <v>#N/A</v>
      </c>
      <c r="CD43" s="29" t="e">
        <f t="shared" si="108"/>
        <v>#N/A</v>
      </c>
      <c r="CE43" s="6" t="str">
        <f t="shared" si="7"/>
        <v/>
      </c>
      <c r="CF43" s="27" t="e">
        <f>IF(AND(CI43,NOT(AD43)),LOOKUP(CF$5,{0,750,1500},H43:J43),"")</f>
        <v>#N/A</v>
      </c>
      <c r="CG43" s="6" t="str">
        <f t="shared" si="8"/>
        <v/>
      </c>
      <c r="CH43" t="e">
        <f t="shared" si="92"/>
        <v>#N/A</v>
      </c>
      <c r="CI43" t="e">
        <f t="shared" si="93"/>
        <v>#N/A</v>
      </c>
      <c r="CJ43" s="6" t="e">
        <f t="shared" si="94"/>
        <v>#N/A</v>
      </c>
      <c r="CK43" s="6">
        <f t="shared" si="95"/>
        <v>1</v>
      </c>
      <c r="CL43" s="6">
        <f t="shared" si="96"/>
        <v>1</v>
      </c>
      <c r="CM43" s="6">
        <f t="shared" si="97"/>
        <v>1</v>
      </c>
      <c r="CN43" s="6">
        <f t="shared" si="98"/>
        <v>0</v>
      </c>
      <c r="CO43" s="6">
        <f t="shared" si="99"/>
        <v>1</v>
      </c>
      <c r="CP43" s="6">
        <f t="shared" si="100"/>
        <v>1</v>
      </c>
      <c r="CQ43" s="6">
        <f t="shared" si="101"/>
        <v>1</v>
      </c>
      <c r="CR43" s="81" t="str">
        <f t="shared" si="102"/>
        <v/>
      </c>
      <c r="CS43">
        <f t="shared" si="103"/>
        <v>3.5999999999999992</v>
      </c>
      <c r="CT43">
        <f t="shared" si="104"/>
        <v>20</v>
      </c>
      <c r="CU43" t="str">
        <f t="shared" si="105"/>
        <v>rm</v>
      </c>
      <c r="CV43" s="81">
        <f t="shared" si="106"/>
        <v>200</v>
      </c>
      <c r="CW43" s="81">
        <f>(CV43/25)^1.5*(Calculator!$BU$4/10000)*CW$5</f>
        <v>58.426389194959008</v>
      </c>
      <c r="CX43" t="str">
        <f t="shared" si="107"/>
        <v>$20/rm</v>
      </c>
    </row>
    <row r="44" spans="2:102" x14ac:dyDescent="0.25">
      <c r="B44" s="115" t="s">
        <v>233</v>
      </c>
      <c r="C44" s="13">
        <v>46256.21597222222</v>
      </c>
      <c r="D44">
        <v>36184</v>
      </c>
      <c r="E44" s="54" t="s">
        <v>235</v>
      </c>
      <c r="F44" s="54" t="s">
        <v>364</v>
      </c>
      <c r="G44" s="54" t="s">
        <v>370</v>
      </c>
      <c r="H44" s="55">
        <v>14.099999999999998</v>
      </c>
      <c r="I44" s="55">
        <v>13.600000000000001</v>
      </c>
      <c r="J44" s="55">
        <v>13.4</v>
      </c>
      <c r="K44" s="54"/>
      <c r="L44" s="56" t="b">
        <v>0</v>
      </c>
      <c r="M44" s="56" t="b">
        <v>0</v>
      </c>
      <c r="N44" s="54">
        <v>1</v>
      </c>
      <c r="O44" s="54" t="s">
        <v>228</v>
      </c>
      <c r="P44" s="54">
        <v>23</v>
      </c>
      <c r="Q44" s="54">
        <v>36</v>
      </c>
      <c r="R44" s="54" t="s">
        <v>365</v>
      </c>
      <c r="S44" s="54" t="s">
        <v>366</v>
      </c>
      <c r="T44" s="54" t="s">
        <v>2319</v>
      </c>
      <c r="U44" s="54" t="s">
        <v>367</v>
      </c>
      <c r="V44" s="54" t="s">
        <v>368</v>
      </c>
      <c r="W44" s="54" t="b">
        <v>0</v>
      </c>
      <c r="X44" s="54"/>
      <c r="Y44" s="57" t="s">
        <v>371</v>
      </c>
      <c r="Z44" s="54" t="s">
        <v>366</v>
      </c>
      <c r="AA44" s="54"/>
      <c r="AB44" s="54" t="s">
        <v>369</v>
      </c>
      <c r="AC44" s="56" t="b">
        <v>1</v>
      </c>
      <c r="AD44" s="56" t="b">
        <v>0</v>
      </c>
      <c r="AE44" s="54" t="s">
        <v>302</v>
      </c>
      <c r="AF44" s="58">
        <v>46256</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7.9899999999999999E-2</v>
      </c>
      <c r="BC44" s="60">
        <v>4.9000000000000004</v>
      </c>
      <c r="BD44" s="61">
        <v>5.1461E-2</v>
      </c>
      <c r="BE44" s="62" t="s">
        <v>293</v>
      </c>
      <c r="BF44" s="35">
        <f t="shared" si="83"/>
        <v>4.9000000000000004</v>
      </c>
      <c r="BG44" s="35">
        <f t="shared" si="83"/>
        <v>4.9811000000000001E-2</v>
      </c>
      <c r="BH44" s="35" t="str">
        <f t="shared" si="84"/>
        <v>Low</v>
      </c>
      <c r="BI44" s="110">
        <f t="shared" si="85"/>
        <v>0</v>
      </c>
      <c r="BJ44" s="83" t="str">
        <f>VLOOKUP($F44,REP_Info!$D$6:$H$250,5,FALSE)</f>
        <v/>
      </c>
      <c r="BK44" s="30">
        <f t="shared" si="86"/>
        <v>13.9511</v>
      </c>
      <c r="BL44" s="30">
        <f t="shared" si="86"/>
        <v>13.461100000000002</v>
      </c>
      <c r="BM44" s="30">
        <f t="shared" si="86"/>
        <v>13.216100000000001</v>
      </c>
      <c r="BN44" s="29">
        <f t="shared" si="86"/>
        <v>13.134433333333334</v>
      </c>
      <c r="BO44" s="85" t="str">
        <f t="shared" si="87"/>
        <v>$$$</v>
      </c>
      <c r="BP44" s="88" t="str">
        <f t="shared" si="88"/>
        <v>$$$</v>
      </c>
      <c r="BQ44" s="88" t="str">
        <f t="shared" si="89"/>
        <v>$$$</v>
      </c>
      <c r="BR44" s="88" t="str">
        <f t="shared" si="90"/>
        <v>$$$</v>
      </c>
      <c r="BS44" s="29" t="e">
        <f t="shared" si="108"/>
        <v>#N/A</v>
      </c>
      <c r="BT44" s="29" t="e">
        <f t="shared" si="108"/>
        <v>#N/A</v>
      </c>
      <c r="BU44" s="29" t="e">
        <f t="shared" si="108"/>
        <v>#N/A</v>
      </c>
      <c r="BV44" s="29" t="e">
        <f t="shared" si="108"/>
        <v>#N/A</v>
      </c>
      <c r="BW44" s="29" t="e">
        <f t="shared" si="108"/>
        <v>#N/A</v>
      </c>
      <c r="BX44" s="29" t="e">
        <f t="shared" si="108"/>
        <v>#N/A</v>
      </c>
      <c r="BY44" s="29" t="e">
        <f t="shared" si="108"/>
        <v>#N/A</v>
      </c>
      <c r="BZ44" s="29" t="e">
        <f t="shared" si="108"/>
        <v>#N/A</v>
      </c>
      <c r="CA44" s="29" t="e">
        <f t="shared" si="108"/>
        <v>#N/A</v>
      </c>
      <c r="CB44" s="29" t="e">
        <f t="shared" si="108"/>
        <v>#N/A</v>
      </c>
      <c r="CC44" s="29" t="e">
        <f t="shared" si="108"/>
        <v>#N/A</v>
      </c>
      <c r="CD44" s="29" t="e">
        <f t="shared" si="108"/>
        <v>#N/A</v>
      </c>
      <c r="CE44" s="6" t="str">
        <f t="shared" si="7"/>
        <v/>
      </c>
      <c r="CF44" s="27" t="e">
        <f>IF(AND(CI44,NOT(AD44)),LOOKUP(CF$5,{0,750,1500},H44:J44),"")</f>
        <v>#N/A</v>
      </c>
      <c r="CG44" s="6" t="str">
        <f t="shared" si="8"/>
        <v/>
      </c>
      <c r="CH44" t="e">
        <f t="shared" si="92"/>
        <v>#N/A</v>
      </c>
      <c r="CI44" t="e">
        <f t="shared" si="93"/>
        <v>#N/A</v>
      </c>
      <c r="CJ44" s="6" t="e">
        <f t="shared" si="94"/>
        <v>#N/A</v>
      </c>
      <c r="CK44" s="6">
        <f t="shared" si="95"/>
        <v>1</v>
      </c>
      <c r="CL44" s="6">
        <f t="shared" si="96"/>
        <v>1</v>
      </c>
      <c r="CM44" s="6">
        <f t="shared" si="97"/>
        <v>1</v>
      </c>
      <c r="CN44" s="6">
        <f t="shared" si="98"/>
        <v>1</v>
      </c>
      <c r="CO44" s="6">
        <f t="shared" si="99"/>
        <v>0</v>
      </c>
      <c r="CP44" s="6">
        <f t="shared" si="100"/>
        <v>1</v>
      </c>
      <c r="CQ44" s="6">
        <f t="shared" si="101"/>
        <v>1</v>
      </c>
      <c r="CR44" s="81" t="str">
        <f t="shared" si="102"/>
        <v/>
      </c>
      <c r="CS44">
        <f t="shared" si="103"/>
        <v>0</v>
      </c>
      <c r="CT44">
        <f t="shared" si="104"/>
        <v>20</v>
      </c>
      <c r="CU44" t="str">
        <f t="shared" si="105"/>
        <v>rm</v>
      </c>
      <c r="CV44" s="81">
        <f t="shared" si="106"/>
        <v>720</v>
      </c>
      <c r="CW44" s="81">
        <f>(CV44/25)^1.5*(Calculator!$BU$4/10000)*CW$5</f>
        <v>399.08260508152779</v>
      </c>
      <c r="CX44" t="str">
        <f t="shared" si="107"/>
        <v>$20/rm</v>
      </c>
    </row>
    <row r="45" spans="2:102" x14ac:dyDescent="0.25">
      <c r="B45" s="115" t="s">
        <v>233</v>
      </c>
      <c r="C45" s="13">
        <v>46256.21597222222</v>
      </c>
      <c r="D45">
        <v>36186</v>
      </c>
      <c r="E45" s="54" t="s">
        <v>237</v>
      </c>
      <c r="F45" s="54" t="s">
        <v>364</v>
      </c>
      <c r="G45" s="54" t="s">
        <v>370</v>
      </c>
      <c r="H45" s="55">
        <v>14.799999999999999</v>
      </c>
      <c r="I45" s="55">
        <v>14.399999999999999</v>
      </c>
      <c r="J45" s="55">
        <v>14.2</v>
      </c>
      <c r="K45" s="54"/>
      <c r="L45" s="56" t="b">
        <v>0</v>
      </c>
      <c r="M45" s="56" t="b">
        <v>0</v>
      </c>
      <c r="N45" s="54">
        <v>1</v>
      </c>
      <c r="O45" s="54" t="s">
        <v>228</v>
      </c>
      <c r="P45" s="54">
        <v>23</v>
      </c>
      <c r="Q45" s="54">
        <v>36</v>
      </c>
      <c r="R45" s="54" t="s">
        <v>365</v>
      </c>
      <c r="S45" s="54" t="s">
        <v>366</v>
      </c>
      <c r="T45" s="54" t="s">
        <v>2319</v>
      </c>
      <c r="U45" s="54" t="s">
        <v>367</v>
      </c>
      <c r="V45" s="54" t="s">
        <v>368</v>
      </c>
      <c r="W45" s="54" t="b">
        <v>0</v>
      </c>
      <c r="X45" s="54"/>
      <c r="Y45" s="57" t="s">
        <v>372</v>
      </c>
      <c r="Z45" s="54" t="s">
        <v>366</v>
      </c>
      <c r="AA45" s="54"/>
      <c r="AB45" s="54" t="s">
        <v>369</v>
      </c>
      <c r="AC45" s="56" t="b">
        <v>1</v>
      </c>
      <c r="AD45" s="56" t="b">
        <v>0</v>
      </c>
      <c r="AE45" s="54" t="s">
        <v>302</v>
      </c>
      <c r="AF45" s="58">
        <v>46256</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7.9899999999999999E-2</v>
      </c>
      <c r="BC45" s="60">
        <v>4.0599999999999996</v>
      </c>
      <c r="BD45" s="61">
        <v>6.0295000000000001E-2</v>
      </c>
      <c r="BE45" s="62" t="s">
        <v>293</v>
      </c>
      <c r="BF45" s="35">
        <f t="shared" si="83"/>
        <v>4.0600000000000005</v>
      </c>
      <c r="BG45" s="35">
        <f t="shared" si="83"/>
        <v>6.0295000000000001E-2</v>
      </c>
      <c r="BH45" s="35" t="str">
        <f t="shared" si="84"/>
        <v>Low</v>
      </c>
      <c r="BI45" s="110">
        <f t="shared" si="85"/>
        <v>0</v>
      </c>
      <c r="BJ45" s="83" t="str">
        <f>VLOOKUP($F45,REP_Info!$D$6:$H$250,5,FALSE)</f>
        <v/>
      </c>
      <c r="BK45" s="30">
        <f t="shared" si="86"/>
        <v>14.8315</v>
      </c>
      <c r="BL45" s="30">
        <f t="shared" si="86"/>
        <v>14.4255</v>
      </c>
      <c r="BM45" s="30">
        <f t="shared" si="86"/>
        <v>14.222500000000002</v>
      </c>
      <c r="BN45" s="29">
        <f t="shared" si="86"/>
        <v>14.154833333333332</v>
      </c>
      <c r="BO45" s="85" t="str">
        <f t="shared" si="87"/>
        <v>$$$</v>
      </c>
      <c r="BP45" s="88" t="str">
        <f t="shared" si="88"/>
        <v>$$$</v>
      </c>
      <c r="BQ45" s="88" t="str">
        <f t="shared" si="89"/>
        <v>$$$</v>
      </c>
      <c r="BR45" s="88" t="str">
        <f t="shared" si="90"/>
        <v>$$$</v>
      </c>
      <c r="BS45" s="29" t="e">
        <f t="shared" si="108"/>
        <v>#N/A</v>
      </c>
      <c r="BT45" s="29" t="e">
        <f t="shared" si="108"/>
        <v>#N/A</v>
      </c>
      <c r="BU45" s="29" t="e">
        <f t="shared" si="108"/>
        <v>#N/A</v>
      </c>
      <c r="BV45" s="29" t="e">
        <f t="shared" si="108"/>
        <v>#N/A</v>
      </c>
      <c r="BW45" s="29" t="e">
        <f t="shared" si="108"/>
        <v>#N/A</v>
      </c>
      <c r="BX45" s="29" t="e">
        <f t="shared" si="108"/>
        <v>#N/A</v>
      </c>
      <c r="BY45" s="29" t="e">
        <f t="shared" si="108"/>
        <v>#N/A</v>
      </c>
      <c r="BZ45" s="29" t="e">
        <f t="shared" si="108"/>
        <v>#N/A</v>
      </c>
      <c r="CA45" s="29" t="e">
        <f t="shared" si="108"/>
        <v>#N/A</v>
      </c>
      <c r="CB45" s="29" t="e">
        <f t="shared" si="108"/>
        <v>#N/A</v>
      </c>
      <c r="CC45" s="29" t="e">
        <f t="shared" si="108"/>
        <v>#N/A</v>
      </c>
      <c r="CD45" s="29" t="e">
        <f t="shared" si="108"/>
        <v>#N/A</v>
      </c>
      <c r="CE45" s="6" t="str">
        <f t="shared" si="7"/>
        <v/>
      </c>
      <c r="CF45" s="27" t="e">
        <f>IF(AND(CI45,NOT(AD45)),LOOKUP(CF$5,{0,750,1500},H45:J45),"")</f>
        <v>#N/A</v>
      </c>
      <c r="CG45" s="6" t="str">
        <f t="shared" si="8"/>
        <v/>
      </c>
      <c r="CH45" t="e">
        <f t="shared" si="92"/>
        <v>#N/A</v>
      </c>
      <c r="CI45" t="e">
        <f t="shared" si="93"/>
        <v>#N/A</v>
      </c>
      <c r="CJ45" s="6" t="e">
        <f t="shared" si="94"/>
        <v>#N/A</v>
      </c>
      <c r="CK45" s="6">
        <f t="shared" si="95"/>
        <v>1</v>
      </c>
      <c r="CL45" s="6">
        <f t="shared" si="96"/>
        <v>1</v>
      </c>
      <c r="CM45" s="6">
        <f t="shared" si="97"/>
        <v>1</v>
      </c>
      <c r="CN45" s="6">
        <f t="shared" si="98"/>
        <v>1</v>
      </c>
      <c r="CO45" s="6">
        <f t="shared" si="99"/>
        <v>0</v>
      </c>
      <c r="CP45" s="6">
        <f t="shared" si="100"/>
        <v>1</v>
      </c>
      <c r="CQ45" s="6">
        <f t="shared" si="101"/>
        <v>1</v>
      </c>
      <c r="CR45" s="81" t="str">
        <f t="shared" si="102"/>
        <v/>
      </c>
      <c r="CS45">
        <f t="shared" si="103"/>
        <v>0</v>
      </c>
      <c r="CT45">
        <f t="shared" si="104"/>
        <v>20</v>
      </c>
      <c r="CU45" t="str">
        <f t="shared" si="105"/>
        <v>rm</v>
      </c>
      <c r="CV45" s="81">
        <f t="shared" si="106"/>
        <v>720</v>
      </c>
      <c r="CW45" s="81">
        <f>(CV45/25)^1.5*(Calculator!$BU$4/10000)*CW$5</f>
        <v>399.08260508152779</v>
      </c>
      <c r="CX45" t="str">
        <f t="shared" si="107"/>
        <v>$20/rm</v>
      </c>
    </row>
    <row r="46" spans="2:102" x14ac:dyDescent="0.25">
      <c r="B46" s="115" t="s">
        <v>233</v>
      </c>
      <c r="C46" s="13">
        <v>46256.21597222222</v>
      </c>
      <c r="D46">
        <v>36227</v>
      </c>
      <c r="E46" s="54" t="s">
        <v>235</v>
      </c>
      <c r="F46" s="54" t="s">
        <v>373</v>
      </c>
      <c r="G46" s="54" t="s">
        <v>374</v>
      </c>
      <c r="H46" s="55">
        <v>14.000000000000002</v>
      </c>
      <c r="I46" s="55">
        <v>13.5</v>
      </c>
      <c r="J46" s="55">
        <v>13.200000000000001</v>
      </c>
      <c r="K46" s="54"/>
      <c r="L46" s="56" t="b">
        <v>0</v>
      </c>
      <c r="M46" s="56" t="b">
        <v>0</v>
      </c>
      <c r="N46" s="54">
        <v>1</v>
      </c>
      <c r="O46" s="54" t="s">
        <v>228</v>
      </c>
      <c r="P46" s="54">
        <v>100</v>
      </c>
      <c r="Q46" s="54">
        <v>36</v>
      </c>
      <c r="R46" s="54" t="s">
        <v>375</v>
      </c>
      <c r="S46" s="54" t="s">
        <v>376</v>
      </c>
      <c r="T46" s="54" t="s">
        <v>377</v>
      </c>
      <c r="U46" s="54" t="s">
        <v>378</v>
      </c>
      <c r="V46" s="54" t="s">
        <v>379</v>
      </c>
      <c r="W46" s="54" t="b">
        <v>0</v>
      </c>
      <c r="X46" s="54"/>
      <c r="Y46" s="57" t="s">
        <v>380</v>
      </c>
      <c r="Z46" s="54" t="s">
        <v>376</v>
      </c>
      <c r="AA46" s="54"/>
      <c r="AB46" s="54"/>
      <c r="AC46" s="56" t="b">
        <v>1</v>
      </c>
      <c r="AD46" s="56" t="b">
        <v>0</v>
      </c>
      <c r="AE46" s="54" t="s">
        <v>302</v>
      </c>
      <c r="AF46" s="58">
        <v>46255</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0.08</v>
      </c>
      <c r="BC46" s="60">
        <v>4.9000000000000004</v>
      </c>
      <c r="BD46" s="61">
        <v>4.9811000000000001E-2</v>
      </c>
      <c r="BE46" s="62" t="s">
        <v>293</v>
      </c>
      <c r="BF46" s="35">
        <f t="shared" si="83"/>
        <v>4.9000000000000004</v>
      </c>
      <c r="BG46" s="35">
        <f t="shared" si="83"/>
        <v>4.9811000000000001E-2</v>
      </c>
      <c r="BH46" s="35" t="str">
        <f t="shared" si="84"/>
        <v>Low</v>
      </c>
      <c r="BI46" s="110">
        <f t="shared" si="85"/>
        <v>0</v>
      </c>
      <c r="BJ46" s="83" t="str">
        <f>VLOOKUP($F46,REP_Info!$D$6:$H$250,5,FALSE)</f>
        <v/>
      </c>
      <c r="BK46" s="30">
        <f t="shared" si="86"/>
        <v>13.961099999999998</v>
      </c>
      <c r="BL46" s="30">
        <f t="shared" si="86"/>
        <v>13.471100000000002</v>
      </c>
      <c r="BM46" s="30">
        <f t="shared" si="86"/>
        <v>13.226100000000001</v>
      </c>
      <c r="BN46" s="29">
        <f t="shared" si="86"/>
        <v>13.144433333333332</v>
      </c>
      <c r="BO46" s="85" t="str">
        <f t="shared" si="87"/>
        <v>$$$</v>
      </c>
      <c r="BP46" s="88" t="str">
        <f t="shared" si="88"/>
        <v>$$$</v>
      </c>
      <c r="BQ46" s="88" t="str">
        <f t="shared" si="89"/>
        <v>$$$</v>
      </c>
      <c r="BR46" s="88" t="str">
        <f t="shared" si="90"/>
        <v>$$$</v>
      </c>
      <c r="BS46" s="29" t="e">
        <f t="shared" si="108"/>
        <v>#N/A</v>
      </c>
      <c r="BT46" s="29" t="e">
        <f t="shared" si="108"/>
        <v>#N/A</v>
      </c>
      <c r="BU46" s="29" t="e">
        <f t="shared" si="108"/>
        <v>#N/A</v>
      </c>
      <c r="BV46" s="29" t="e">
        <f t="shared" si="108"/>
        <v>#N/A</v>
      </c>
      <c r="BW46" s="29" t="e">
        <f t="shared" si="108"/>
        <v>#N/A</v>
      </c>
      <c r="BX46" s="29" t="e">
        <f t="shared" si="108"/>
        <v>#N/A</v>
      </c>
      <c r="BY46" s="29" t="e">
        <f t="shared" si="108"/>
        <v>#N/A</v>
      </c>
      <c r="BZ46" s="29" t="e">
        <f t="shared" si="108"/>
        <v>#N/A</v>
      </c>
      <c r="CA46" s="29" t="e">
        <f t="shared" si="108"/>
        <v>#N/A</v>
      </c>
      <c r="CB46" s="29" t="e">
        <f t="shared" si="108"/>
        <v>#N/A</v>
      </c>
      <c r="CC46" s="29" t="e">
        <f t="shared" si="108"/>
        <v>#N/A</v>
      </c>
      <c r="CD46" s="29" t="e">
        <f t="shared" si="108"/>
        <v>#N/A</v>
      </c>
      <c r="CE46" s="6" t="str">
        <f t="shared" si="7"/>
        <v/>
      </c>
      <c r="CF46" s="27" t="e">
        <f>IF(AND(CI46,NOT(AD46)),LOOKUP(CF$5,{0,750,1500},H46:J46),"")</f>
        <v>#N/A</v>
      </c>
      <c r="CG46" s="6" t="str">
        <f t="shared" si="8"/>
        <v/>
      </c>
      <c r="CH46" t="e">
        <f t="shared" si="92"/>
        <v>#N/A</v>
      </c>
      <c r="CI46" t="e">
        <f t="shared" si="93"/>
        <v>#N/A</v>
      </c>
      <c r="CJ46" s="6" t="e">
        <f t="shared" si="94"/>
        <v>#N/A</v>
      </c>
      <c r="CK46" s="6">
        <f t="shared" si="95"/>
        <v>1</v>
      </c>
      <c r="CL46" s="6">
        <f t="shared" si="96"/>
        <v>1</v>
      </c>
      <c r="CM46" s="6">
        <f t="shared" si="97"/>
        <v>1</v>
      </c>
      <c r="CN46" s="6">
        <f t="shared" si="98"/>
        <v>1</v>
      </c>
      <c r="CO46" s="6">
        <f t="shared" si="99"/>
        <v>0</v>
      </c>
      <c r="CP46" s="6">
        <f t="shared" si="100"/>
        <v>1</v>
      </c>
      <c r="CQ46" s="6">
        <f t="shared" si="101"/>
        <v>1</v>
      </c>
      <c r="CR46" s="81" t="str">
        <f t="shared" si="102"/>
        <v/>
      </c>
      <c r="CS46">
        <f t="shared" si="103"/>
        <v>0</v>
      </c>
      <c r="CT46">
        <f t="shared" si="104"/>
        <v>20</v>
      </c>
      <c r="CU46" t="str">
        <f t="shared" si="105"/>
        <v>rm</v>
      </c>
      <c r="CV46" s="81">
        <f t="shared" si="106"/>
        <v>720</v>
      </c>
      <c r="CW46" s="81">
        <f>(CV46/25)^1.5*(Calculator!$BU$4/10000)*CW$5</f>
        <v>399.08260508152779</v>
      </c>
      <c r="CX46" t="str">
        <f t="shared" si="107"/>
        <v>$20/rm</v>
      </c>
    </row>
    <row r="47" spans="2:102" x14ac:dyDescent="0.25">
      <c r="B47" s="115" t="s">
        <v>233</v>
      </c>
      <c r="C47" s="13">
        <v>46246.298611111109</v>
      </c>
      <c r="D47">
        <v>36252</v>
      </c>
      <c r="E47" s="54" t="s">
        <v>237</v>
      </c>
      <c r="F47" s="54" t="s">
        <v>373</v>
      </c>
      <c r="G47" s="54" t="s">
        <v>374</v>
      </c>
      <c r="H47" s="55">
        <v>14.799999999999999</v>
      </c>
      <c r="I47" s="55">
        <v>14.399999999999999</v>
      </c>
      <c r="J47" s="55">
        <v>14.2</v>
      </c>
      <c r="K47" s="54"/>
      <c r="L47" s="56" t="b">
        <v>0</v>
      </c>
      <c r="M47" s="56" t="b">
        <v>0</v>
      </c>
      <c r="N47" s="54">
        <v>1</v>
      </c>
      <c r="O47" s="54" t="s">
        <v>228</v>
      </c>
      <c r="P47" s="54">
        <v>100</v>
      </c>
      <c r="Q47" s="54">
        <v>36</v>
      </c>
      <c r="R47" s="54" t="s">
        <v>375</v>
      </c>
      <c r="S47" s="54" t="s">
        <v>381</v>
      </c>
      <c r="T47" s="54" t="s">
        <v>382</v>
      </c>
      <c r="U47" s="54" t="s">
        <v>378</v>
      </c>
      <c r="V47" s="54" t="s">
        <v>379</v>
      </c>
      <c r="W47" s="54" t="b">
        <v>0</v>
      </c>
      <c r="X47" s="54"/>
      <c r="Y47" s="57" t="s">
        <v>383</v>
      </c>
      <c r="Z47" s="54" t="s">
        <v>381</v>
      </c>
      <c r="AA47" s="54"/>
      <c r="AB47" s="54"/>
      <c r="AC47" s="56" t="b">
        <v>1</v>
      </c>
      <c r="AD47" s="56" t="b">
        <v>0</v>
      </c>
      <c r="AE47" s="54" t="s">
        <v>302</v>
      </c>
      <c r="AF47" s="58">
        <v>46245</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0.08</v>
      </c>
      <c r="BC47" s="60">
        <v>4.0599999999999996</v>
      </c>
      <c r="BD47" s="61">
        <v>6.0295000000000001E-2</v>
      </c>
      <c r="BE47" s="62" t="s">
        <v>293</v>
      </c>
      <c r="BF47" s="35">
        <f t="shared" si="0"/>
        <v>4.0600000000000005</v>
      </c>
      <c r="BG47" s="35">
        <f t="shared" si="0"/>
        <v>6.0295000000000001E-2</v>
      </c>
      <c r="BH47" s="35" t="str">
        <f t="shared" ref="BH47:BH49" si="109">IF(ISTEXT(BE47),IF(AND(AV47=0,SUM(AN47:AQ47)=0),IF(AM47&lt;=0,IF(BE47="Y","Low","Flat"),"Med"),"High"),"?")</f>
        <v>Low</v>
      </c>
      <c r="BI47" s="110">
        <f t="shared" ref="BI47:BI49" si="110">IF(ISNUMBER(AH47),0*BI$5*SIN((EDATE($A$3,$Q47)-DATE(YEAR(EDATE($A$3,$Q47)),1,0)-BI$4)*2*PI()/365),"")</f>
        <v>0</v>
      </c>
      <c r="BJ47" s="83" t="str">
        <f>VLOOKUP($F47,REP_Info!$D$6:$H$250,5,FALSE)</f>
        <v/>
      </c>
      <c r="BK47" s="30">
        <f t="shared" ref="BK47:BN49" si="111">IF(BK$7&gt;0,(LOOKUP(BK$7,$AH47:$AL47,$AM47:$AQ47)+IF($AG47="Y",SUMPRODUCT($AX47:$BB47-$AW47:$BA47,BK$7-$AR47:$AV47,N(BK$7&gt;$AR47:$AV47)),BK$7*LOOKUP(BK$7,$AR47:$AV47,$AX47:$BB47))+IF($BE47="Y",$BF47,$BC47)+BK$7*IF($BE47="Y",$BG47,$BD47))*100/BK$7,"")</f>
        <v>14.841500000000002</v>
      </c>
      <c r="BL47" s="30">
        <f t="shared" si="111"/>
        <v>14.435500000000001</v>
      </c>
      <c r="BM47" s="30">
        <f t="shared" si="111"/>
        <v>14.232499999999998</v>
      </c>
      <c r="BN47" s="29">
        <f t="shared" si="111"/>
        <v>14.164833333333334</v>
      </c>
      <c r="BO47" s="85" t="str">
        <f t="shared" si="2"/>
        <v>$$$</v>
      </c>
      <c r="BP47" s="88" t="str">
        <f t="shared" ref="BP47:BP49" si="112">IFERROR(BO47*100/BO$5,"$$$")</f>
        <v>$$$</v>
      </c>
      <c r="BQ47" s="88" t="str">
        <f t="shared" si="4"/>
        <v>$$$</v>
      </c>
      <c r="BR47" s="88" t="str">
        <f t="shared" si="5"/>
        <v>$$$</v>
      </c>
      <c r="BS47" s="29" t="e">
        <f t="shared" ref="BS47:CD49" si="113">IF($CI47,IF(BS$7&gt;0,IF(BS$4&gt;$Q47,$BF47+BS$7*(BS$5+$BG47+$BI47),LOOKUP(BS$7,$AH47:$AL47,$AM47:$AQ47)+IF($AG47="Y",SUMPRODUCT($AX47:$BB47-$AW47:$BA47,BS$7-$AR47:$AV47,N(BS$7&gt;$AR47:$AV47)),BS$7*LOOKUP(BS$7,$AR47:$AV47,$AX47:$BB47))+IF($BE47="Y",$BF47,$BC47)+BS$7*IF($BE47="Y",$BG47,$BD47))*100/BS$7,""),NA())</f>
        <v>#N/A</v>
      </c>
      <c r="BT47" s="29" t="e">
        <f t="shared" si="113"/>
        <v>#N/A</v>
      </c>
      <c r="BU47" s="29" t="e">
        <f t="shared" si="113"/>
        <v>#N/A</v>
      </c>
      <c r="BV47" s="29" t="e">
        <f t="shared" si="113"/>
        <v>#N/A</v>
      </c>
      <c r="BW47" s="29" t="e">
        <f t="shared" si="113"/>
        <v>#N/A</v>
      </c>
      <c r="BX47" s="29" t="e">
        <f t="shared" si="113"/>
        <v>#N/A</v>
      </c>
      <c r="BY47" s="29" t="e">
        <f t="shared" si="113"/>
        <v>#N/A</v>
      </c>
      <c r="BZ47" s="29" t="e">
        <f t="shared" si="113"/>
        <v>#N/A</v>
      </c>
      <c r="CA47" s="29" t="e">
        <f t="shared" si="113"/>
        <v>#N/A</v>
      </c>
      <c r="CB47" s="29" t="e">
        <f t="shared" si="113"/>
        <v>#N/A</v>
      </c>
      <c r="CC47" s="29" t="e">
        <f t="shared" si="113"/>
        <v>#N/A</v>
      </c>
      <c r="CD47" s="29" t="e">
        <f t="shared" si="113"/>
        <v>#N/A</v>
      </c>
      <c r="CE47" s="6" t="str">
        <f t="shared" si="7"/>
        <v/>
      </c>
      <c r="CF47" s="27" t="e">
        <f>IF(AND(CI47,NOT(AD47)),LOOKUP(CF$5,{0,750,1500},H47:J47),"")</f>
        <v>#N/A</v>
      </c>
      <c r="CG47" s="6" t="str">
        <f t="shared" si="8"/>
        <v/>
      </c>
      <c r="CH47" t="e">
        <f t="shared" ref="CH47:CH49" si="114">IF(CI47,IF(ISNUMBER(BO47),BO47,100000)+CV47/10000+IF(ISNUMBER(BJ47),BJ47,2)/10000-P47/100000+ROW()/10000000,"")</f>
        <v>#N/A</v>
      </c>
      <c r="CI47" t="e">
        <f t="shared" ref="CI47:CI49" si="115">PRODUCT(CJ47:CQ47)</f>
        <v>#N/A</v>
      </c>
      <c r="CJ47" s="6" t="e">
        <f t="shared" si="11"/>
        <v>#N/A</v>
      </c>
      <c r="CK47" s="6">
        <f t="shared" si="12"/>
        <v>1</v>
      </c>
      <c r="CL47" s="6">
        <f t="shared" si="26"/>
        <v>1</v>
      </c>
      <c r="CM47" s="6">
        <f t="shared" si="13"/>
        <v>1</v>
      </c>
      <c r="CN47" s="6">
        <f t="shared" si="14"/>
        <v>1</v>
      </c>
      <c r="CO47" s="6">
        <f t="shared" si="15"/>
        <v>0</v>
      </c>
      <c r="CP47" s="6">
        <f t="shared" si="16"/>
        <v>1</v>
      </c>
      <c r="CQ47" s="6">
        <f t="shared" ref="CQ47:CQ49" si="116">IF(CQ$5="Any",1,IF(AND(CQ$5="Med",AV47=0,SUM(AN47:AQ47)=0),1,IF(AND(CQ$5="Low",AV47=0,SUM(AN47:AQ47)=0,AM47=0),1,IF(AND(CQ$5="Flat",AV47=0,SUM(AN47:AQ47)=0,AM47=0,IFERROR(NOT(BE47="Y"),0)),1,0))))</f>
        <v>1</v>
      </c>
      <c r="CR47" s="81" t="str">
        <f t="shared" si="17"/>
        <v/>
      </c>
      <c r="CS47">
        <f t="shared" ref="CS47:CS49" si="117">CS$5*(12/(MIN(12,Q47))-1)</f>
        <v>0</v>
      </c>
      <c r="CT47">
        <f t="shared" si="19"/>
        <v>20</v>
      </c>
      <c r="CU47" t="str">
        <f t="shared" si="29"/>
        <v>rm</v>
      </c>
      <c r="CV47" s="81">
        <f t="shared" ref="CV47:CV49" si="118">CT47*IF(CU47="",1,Q47)</f>
        <v>720</v>
      </c>
      <c r="CW47" s="81">
        <f>(CV47/25)^1.5*(Calculator!$BU$4/10000)*CW$5</f>
        <v>399.08260508152779</v>
      </c>
      <c r="CX47" t="str">
        <f t="shared" ref="CX47:CX49" si="119">"$"&amp;IF(LEFT(CU47,1)="r",CT47&amp;"/"&amp;CU47,CV47)</f>
        <v>$20/rm</v>
      </c>
    </row>
    <row r="48" spans="2:102" x14ac:dyDescent="0.25">
      <c r="B48" s="115" t="s">
        <v>233</v>
      </c>
      <c r="C48" s="13">
        <v>46254.637499999997</v>
      </c>
      <c r="D48">
        <v>33089</v>
      </c>
      <c r="E48" s="54" t="s">
        <v>235</v>
      </c>
      <c r="F48" s="54" t="s">
        <v>384</v>
      </c>
      <c r="G48" s="54" t="s">
        <v>2033</v>
      </c>
      <c r="H48" s="55">
        <v>12.5</v>
      </c>
      <c r="I48" s="55">
        <v>12</v>
      </c>
      <c r="J48" s="55">
        <v>11.799999999999999</v>
      </c>
      <c r="K48" s="54"/>
      <c r="L48" s="56" t="b">
        <v>0</v>
      </c>
      <c r="M48" s="56" t="b">
        <v>0</v>
      </c>
      <c r="N48" s="54">
        <v>1</v>
      </c>
      <c r="O48" s="54" t="s">
        <v>228</v>
      </c>
      <c r="P48" s="54">
        <v>29</v>
      </c>
      <c r="Q48" s="54">
        <v>3</v>
      </c>
      <c r="R48" s="54" t="s">
        <v>385</v>
      </c>
      <c r="S48" s="54" t="s">
        <v>386</v>
      </c>
      <c r="T48" s="54" t="s">
        <v>387</v>
      </c>
      <c r="U48" s="54" t="s">
        <v>2032</v>
      </c>
      <c r="V48" s="54" t="s">
        <v>2034</v>
      </c>
      <c r="W48" s="54" t="b">
        <v>0</v>
      </c>
      <c r="X48" s="54"/>
      <c r="Y48" s="57" t="s">
        <v>2035</v>
      </c>
      <c r="Z48" s="54" t="s">
        <v>388</v>
      </c>
      <c r="AA48" s="54"/>
      <c r="AB48" s="54" t="s">
        <v>389</v>
      </c>
      <c r="AC48" s="56" t="b">
        <v>1</v>
      </c>
      <c r="AD48" s="56" t="b">
        <v>0</v>
      </c>
      <c r="AE48" s="54" t="s">
        <v>302</v>
      </c>
      <c r="AF48" s="58">
        <v>46254</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6.5670000000000006E-2</v>
      </c>
      <c r="BC48" s="60">
        <v>4.9000000000000004</v>
      </c>
      <c r="BD48" s="61">
        <v>4.9811000000000001E-2</v>
      </c>
      <c r="BE48" s="62" t="s">
        <v>293</v>
      </c>
      <c r="BF48" s="35">
        <f t="shared" si="0"/>
        <v>4.9000000000000004</v>
      </c>
      <c r="BG48" s="35">
        <f t="shared" si="0"/>
        <v>4.9811000000000001E-2</v>
      </c>
      <c r="BH48" s="35" t="str">
        <f t="shared" si="109"/>
        <v>Low</v>
      </c>
      <c r="BI48" s="110">
        <f t="shared" si="110"/>
        <v>0</v>
      </c>
      <c r="BJ48" s="83">
        <f>VLOOKUP($F48,REP_Info!$D$6:$H$250,5,FALSE)</f>
        <v>1.244</v>
      </c>
      <c r="BK48" s="30">
        <f t="shared" si="111"/>
        <v>12.5281</v>
      </c>
      <c r="BL48" s="30">
        <f t="shared" si="111"/>
        <v>12.0381</v>
      </c>
      <c r="BM48" s="30">
        <f t="shared" si="111"/>
        <v>11.793100000000001</v>
      </c>
      <c r="BN48" s="29">
        <f t="shared" si="111"/>
        <v>11.711433333333334</v>
      </c>
      <c r="BO48" s="85" t="str">
        <f t="shared" si="2"/>
        <v>$$$</v>
      </c>
      <c r="BP48" s="88" t="str">
        <f t="shared" si="112"/>
        <v>$$$</v>
      </c>
      <c r="BQ48" s="88" t="str">
        <f t="shared" si="4"/>
        <v>$$$</v>
      </c>
      <c r="BR48" s="88" t="str">
        <f t="shared" si="5"/>
        <v>$$$</v>
      </c>
      <c r="BS48" s="29" t="e">
        <f t="shared" si="113"/>
        <v>#N/A</v>
      </c>
      <c r="BT48" s="29" t="e">
        <f t="shared" si="113"/>
        <v>#N/A</v>
      </c>
      <c r="BU48" s="29" t="e">
        <f t="shared" si="113"/>
        <v>#N/A</v>
      </c>
      <c r="BV48" s="29" t="e">
        <f t="shared" si="113"/>
        <v>#N/A</v>
      </c>
      <c r="BW48" s="29" t="e">
        <f t="shared" si="113"/>
        <v>#N/A</v>
      </c>
      <c r="BX48" s="29" t="e">
        <f t="shared" si="113"/>
        <v>#N/A</v>
      </c>
      <c r="BY48" s="29" t="e">
        <f t="shared" si="113"/>
        <v>#N/A</v>
      </c>
      <c r="BZ48" s="29" t="e">
        <f t="shared" si="113"/>
        <v>#N/A</v>
      </c>
      <c r="CA48" s="29" t="e">
        <f t="shared" si="113"/>
        <v>#N/A</v>
      </c>
      <c r="CB48" s="29" t="e">
        <f t="shared" si="113"/>
        <v>#N/A</v>
      </c>
      <c r="CC48" s="29" t="e">
        <f t="shared" si="113"/>
        <v>#N/A</v>
      </c>
      <c r="CD48" s="29" t="e">
        <f t="shared" si="113"/>
        <v>#N/A</v>
      </c>
      <c r="CE48" s="6" t="str">
        <f t="shared" si="7"/>
        <v/>
      </c>
      <c r="CF48" s="27" t="e">
        <f>IF(AND(CI48,NOT(AD48)),LOOKUP(CF$5,{0,750,1500},H48:J48),"")</f>
        <v>#N/A</v>
      </c>
      <c r="CG48" s="6" t="str">
        <f t="shared" si="8"/>
        <v/>
      </c>
      <c r="CH48" t="e">
        <f t="shared" si="114"/>
        <v>#N/A</v>
      </c>
      <c r="CI48" t="e">
        <f t="shared" si="115"/>
        <v>#N/A</v>
      </c>
      <c r="CJ48" s="6" t="e">
        <f t="shared" si="11"/>
        <v>#N/A</v>
      </c>
      <c r="CK48" s="6">
        <f t="shared" si="12"/>
        <v>1</v>
      </c>
      <c r="CL48" s="6">
        <f t="shared" si="26"/>
        <v>1</v>
      </c>
      <c r="CM48" s="6">
        <f t="shared" si="13"/>
        <v>1</v>
      </c>
      <c r="CN48" s="6">
        <f t="shared" si="14"/>
        <v>0</v>
      </c>
      <c r="CO48" s="6">
        <f t="shared" si="15"/>
        <v>1</v>
      </c>
      <c r="CP48" s="6">
        <f t="shared" si="16"/>
        <v>1</v>
      </c>
      <c r="CQ48" s="6">
        <f t="shared" si="116"/>
        <v>1</v>
      </c>
      <c r="CR48" s="81" t="str">
        <f t="shared" si="17"/>
        <v/>
      </c>
      <c r="CS48">
        <f t="shared" si="117"/>
        <v>54</v>
      </c>
      <c r="CT48">
        <f t="shared" si="19"/>
        <v>20</v>
      </c>
      <c r="CU48" t="str">
        <f t="shared" si="29"/>
        <v>rm</v>
      </c>
      <c r="CV48" s="81">
        <f t="shared" si="118"/>
        <v>60</v>
      </c>
      <c r="CW48" s="81">
        <f>(CV48/25)^1.5*(Calculator!$BU$4/10000)*CW$5</f>
        <v>9.6004353946965484</v>
      </c>
      <c r="CX48" t="str">
        <f t="shared" si="119"/>
        <v>$20/rm</v>
      </c>
    </row>
    <row r="49" spans="2:102" x14ac:dyDescent="0.25">
      <c r="B49" s="115" t="s">
        <v>233</v>
      </c>
      <c r="C49" s="13">
        <v>46254.637499999997</v>
      </c>
      <c r="D49">
        <v>33091</v>
      </c>
      <c r="E49" s="54" t="s">
        <v>237</v>
      </c>
      <c r="F49" s="54" t="s">
        <v>384</v>
      </c>
      <c r="G49" s="54" t="s">
        <v>2033</v>
      </c>
      <c r="H49" s="55">
        <v>13</v>
      </c>
      <c r="I49" s="55">
        <v>12.6</v>
      </c>
      <c r="J49" s="55">
        <v>12.4</v>
      </c>
      <c r="K49" s="54"/>
      <c r="L49" s="56" t="b">
        <v>0</v>
      </c>
      <c r="M49" s="56" t="b">
        <v>0</v>
      </c>
      <c r="N49" s="54">
        <v>1</v>
      </c>
      <c r="O49" s="54" t="s">
        <v>228</v>
      </c>
      <c r="P49" s="54">
        <v>29</v>
      </c>
      <c r="Q49" s="54">
        <v>3</v>
      </c>
      <c r="R49" s="54" t="s">
        <v>385</v>
      </c>
      <c r="S49" s="54" t="s">
        <v>386</v>
      </c>
      <c r="T49" s="54" t="s">
        <v>390</v>
      </c>
      <c r="U49" s="54" t="s">
        <v>2031</v>
      </c>
      <c r="V49" s="54" t="s">
        <v>2036</v>
      </c>
      <c r="W49" s="54" t="b">
        <v>0</v>
      </c>
      <c r="X49" s="54"/>
      <c r="Y49" s="57" t="s">
        <v>2037</v>
      </c>
      <c r="Z49" s="54" t="s">
        <v>388</v>
      </c>
      <c r="AA49" s="54"/>
      <c r="AB49" s="54" t="s">
        <v>389</v>
      </c>
      <c r="AC49" s="56" t="b">
        <v>1</v>
      </c>
      <c r="AD49" s="56" t="b">
        <v>0</v>
      </c>
      <c r="AE49" s="54" t="s">
        <v>302</v>
      </c>
      <c r="AF49" s="58">
        <v>46254</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6.1650000000000003E-2</v>
      </c>
      <c r="BC49" s="60">
        <v>4.0599999999999996</v>
      </c>
      <c r="BD49" s="61">
        <v>6.0295000000000001E-2</v>
      </c>
      <c r="BE49" s="62" t="s">
        <v>293</v>
      </c>
      <c r="BF49" s="35">
        <f t="shared" ref="BF49:BG49" si="120">IF($E49=$E$4,BF$4,IF($E49=$E$5,BF$5,""))</f>
        <v>4.0600000000000005</v>
      </c>
      <c r="BG49" s="35">
        <f t="shared" si="120"/>
        <v>6.0295000000000001E-2</v>
      </c>
      <c r="BH49" s="35" t="str">
        <f t="shared" si="109"/>
        <v>Low</v>
      </c>
      <c r="BI49" s="110">
        <f t="shared" si="110"/>
        <v>0</v>
      </c>
      <c r="BJ49" s="83">
        <f>VLOOKUP($F49,REP_Info!$D$6:$H$250,5,FALSE)</f>
        <v>1.244</v>
      </c>
      <c r="BK49" s="30">
        <f t="shared" si="111"/>
        <v>13.006500000000001</v>
      </c>
      <c r="BL49" s="30">
        <f t="shared" si="111"/>
        <v>12.600500000000002</v>
      </c>
      <c r="BM49" s="30">
        <f t="shared" si="111"/>
        <v>12.397500000000001</v>
      </c>
      <c r="BN49" s="29">
        <f t="shared" si="111"/>
        <v>12.329833333333333</v>
      </c>
      <c r="BO49" s="85" t="str">
        <f t="shared" ref="BO49" si="121">IFERROR(SUMPRODUCT($BS$7:$CD$7,$BS49:$CD49)/100,"$$$")</f>
        <v>$$$</v>
      </c>
      <c r="BP49" s="88" t="str">
        <f t="shared" si="112"/>
        <v>$$$</v>
      </c>
      <c r="BQ49" s="88" t="str">
        <f t="shared" ref="BQ49" si="122">IFERROR(SUMPRODUCT($BS$7:$CD$7,$BS49:$CD49,--($BS$4:$CD$4&lt;=$Q49))/SUMPRODUCT(--($BS$4:$CD$4&lt;=$Q49),$BS$7:$CD$7),"$$$")</f>
        <v>$$$</v>
      </c>
      <c r="BR49" s="88" t="str">
        <f t="shared" ref="BR49" si="123">IFERROR($BQ49-$BF49*100*SUMPRODUCT(--($BS$4:$CD$4&lt;=$Q49))/SUMPRODUCT(--($BS$4:$CD$4&lt;=$Q49),$BS$7:$CD$7)-$BG49*100,"$$$")</f>
        <v>$$$</v>
      </c>
      <c r="BS49" s="29" t="e">
        <f t="shared" si="113"/>
        <v>#N/A</v>
      </c>
      <c r="BT49" s="29" t="e">
        <f t="shared" si="113"/>
        <v>#N/A</v>
      </c>
      <c r="BU49" s="29" t="e">
        <f t="shared" si="113"/>
        <v>#N/A</v>
      </c>
      <c r="BV49" s="29" t="e">
        <f t="shared" si="113"/>
        <v>#N/A</v>
      </c>
      <c r="BW49" s="29" t="e">
        <f t="shared" si="113"/>
        <v>#N/A</v>
      </c>
      <c r="BX49" s="29" t="e">
        <f t="shared" si="113"/>
        <v>#N/A</v>
      </c>
      <c r="BY49" s="29" t="e">
        <f t="shared" si="113"/>
        <v>#N/A</v>
      </c>
      <c r="BZ49" s="29" t="e">
        <f t="shared" si="113"/>
        <v>#N/A</v>
      </c>
      <c r="CA49" s="29" t="e">
        <f t="shared" si="113"/>
        <v>#N/A</v>
      </c>
      <c r="CB49" s="29" t="e">
        <f t="shared" si="113"/>
        <v>#N/A</v>
      </c>
      <c r="CC49" s="29" t="e">
        <f t="shared" si="113"/>
        <v>#N/A</v>
      </c>
      <c r="CD49" s="29" t="e">
        <f t="shared" si="113"/>
        <v>#N/A</v>
      </c>
      <c r="CE49" s="6" t="str">
        <f t="shared" si="7"/>
        <v/>
      </c>
      <c r="CF49" s="27" t="e">
        <f>IF(AND(CI49,NOT(AD49)),LOOKUP(CF$5,{0,750,1500},H49:J49),"")</f>
        <v>#N/A</v>
      </c>
      <c r="CG49" s="6" t="str">
        <f t="shared" si="8"/>
        <v/>
      </c>
      <c r="CH49" t="e">
        <f t="shared" si="114"/>
        <v>#N/A</v>
      </c>
      <c r="CI49" t="e">
        <f t="shared" si="115"/>
        <v>#N/A</v>
      </c>
      <c r="CJ49" s="6" t="e">
        <f t="shared" ref="CJ49" si="124">IF($E49=CJ$5,1,0)</f>
        <v>#N/A</v>
      </c>
      <c r="CK49" s="6">
        <f t="shared" ref="CK49" si="125">IF(CK$5="[Any]",1,IF($F49=CK$5,1,0))</f>
        <v>1</v>
      </c>
      <c r="CL49" s="6">
        <f t="shared" ref="CL49" si="126">IFERROR(--OR(ISBLANK(CL$5),$BJ49="",AND(ISNUMBER($BJ49),$BJ49&lt;=CL$5)),1)</f>
        <v>1</v>
      </c>
      <c r="CM49" s="6">
        <f t="shared" ref="CM49" si="127">IF($O49="Fixed",1,0)</f>
        <v>1</v>
      </c>
      <c r="CN49" s="6">
        <f t="shared" ref="CN49" si="128">IF($Q49&gt;=CN$5,1,0)</f>
        <v>0</v>
      </c>
      <c r="CO49" s="6">
        <f t="shared" ref="CO49" si="129">IF($Q49&lt;=CO$5,1,0)</f>
        <v>1</v>
      </c>
      <c r="CP49" s="6">
        <f t="shared" ref="CP49" si="130">IF($P49&gt;=CP$5,1,0)</f>
        <v>1</v>
      </c>
      <c r="CQ49" s="6">
        <f t="shared" si="116"/>
        <v>1</v>
      </c>
      <c r="CR49" s="81" t="str">
        <f t="shared" ref="CR49" si="131">IF(ISNUMBER($CH49),$CH49+$CS49+$CW49,"")</f>
        <v/>
      </c>
      <c r="CS49">
        <f t="shared" si="117"/>
        <v>54</v>
      </c>
      <c r="CT49">
        <f t="shared" si="19"/>
        <v>20</v>
      </c>
      <c r="CU49" t="str">
        <f t="shared" ref="CU49" si="132">IF(AND(ISERR(FIND("remain",$R49)),ISERR(FIND("left",$R49))),"","r")&amp;IF(ISERR(FIND("mon",$R49)),"","m")</f>
        <v>rm</v>
      </c>
      <c r="CV49" s="81">
        <f t="shared" si="118"/>
        <v>60</v>
      </c>
      <c r="CW49" s="81">
        <f>(CV49/25)^1.5*(Calculator!$BU$4/10000)*CW$5</f>
        <v>9.6004353946965484</v>
      </c>
      <c r="CX49" t="str">
        <f t="shared" si="119"/>
        <v>$20/rm</v>
      </c>
    </row>
    <row r="50" spans="2:102" x14ac:dyDescent="0.25">
      <c r="B50" s="115" t="s">
        <v>233</v>
      </c>
      <c r="C50" s="13">
        <v>46254.637499999997</v>
      </c>
      <c r="D50">
        <v>34683</v>
      </c>
      <c r="E50" s="54" t="s">
        <v>237</v>
      </c>
      <c r="F50" s="54" t="s">
        <v>384</v>
      </c>
      <c r="G50" s="54" t="s">
        <v>2038</v>
      </c>
      <c r="H50" s="55">
        <v>13.600000000000001</v>
      </c>
      <c r="I50" s="55">
        <v>13.200000000000001</v>
      </c>
      <c r="J50" s="55">
        <v>13</v>
      </c>
      <c r="K50" s="54"/>
      <c r="L50" s="56" t="b">
        <v>0</v>
      </c>
      <c r="M50" s="56" t="b">
        <v>0</v>
      </c>
      <c r="N50" s="54">
        <v>1</v>
      </c>
      <c r="O50" s="54" t="s">
        <v>228</v>
      </c>
      <c r="P50" s="54">
        <v>29</v>
      </c>
      <c r="Q50" s="54">
        <v>13</v>
      </c>
      <c r="R50" s="54" t="s">
        <v>385</v>
      </c>
      <c r="S50" s="54" t="s">
        <v>391</v>
      </c>
      <c r="T50" s="54" t="s">
        <v>390</v>
      </c>
      <c r="U50" s="54" t="s">
        <v>2030</v>
      </c>
      <c r="V50" s="54" t="s">
        <v>2039</v>
      </c>
      <c r="W50" s="54" t="b">
        <v>0</v>
      </c>
      <c r="X50" s="54"/>
      <c r="Y50" s="57" t="s">
        <v>2040</v>
      </c>
      <c r="Z50" s="54" t="s">
        <v>388</v>
      </c>
      <c r="AA50" s="54"/>
      <c r="AB50" s="54" t="s">
        <v>389</v>
      </c>
      <c r="AC50" s="56" t="b">
        <v>1</v>
      </c>
      <c r="AD50" s="56" t="b">
        <v>0</v>
      </c>
      <c r="AE50" s="54" t="s">
        <v>302</v>
      </c>
      <c r="AF50" s="58">
        <v>46254</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6.7799999999999999E-2</v>
      </c>
      <c r="BC50" s="60">
        <v>4.0599999999999996</v>
      </c>
      <c r="BD50" s="61">
        <v>6.0295000000000001E-2</v>
      </c>
      <c r="BE50" s="62" t="s">
        <v>293</v>
      </c>
      <c r="BF50" s="35">
        <f t="shared" si="0"/>
        <v>4.0600000000000005</v>
      </c>
      <c r="BG50" s="35">
        <f t="shared" si="0"/>
        <v>6.0295000000000001E-2</v>
      </c>
      <c r="BH50" s="35" t="str">
        <f t="shared" ref="BH50:BH51" si="133">IF(ISTEXT(BE50),IF(AND(AV50=0,SUM(AN50:AQ50)=0),IF(AM50&lt;=0,IF(BE50="Y","Low","Flat"),"Med"),"High"),"?")</f>
        <v>Low</v>
      </c>
      <c r="BI50" s="110">
        <f t="shared" ref="BI50:BI51" si="134">IF(ISNUMBER(AH50),0*BI$5*SIN((EDATE($A$3,$Q50)-DATE(YEAR(EDATE($A$3,$Q50)),1,0)-BI$4)*2*PI()/365),"")</f>
        <v>0</v>
      </c>
      <c r="BJ50" s="83">
        <f>VLOOKUP($F50,REP_Info!$D$6:$H$250,5,FALSE)</f>
        <v>1.244</v>
      </c>
      <c r="BK50" s="30">
        <f t="shared" ref="BK50:BN51" si="135">IF(BK$7&gt;0,(LOOKUP(BK$7,$AH50:$AL50,$AM50:$AQ50)+IF($AG50="Y",SUMPRODUCT($AX50:$BB50-$AW50:$BA50,BK$7-$AR50:$AV50,N(BK$7&gt;$AR50:$AV50)),BK$7*LOOKUP(BK$7,$AR50:$AV50,$AX50:$BB50))+IF($BE50="Y",$BF50,$BC50)+BK$7*IF($BE50="Y",$BG50,$BD50))*100/BK$7,"")</f>
        <v>13.621499999999999</v>
      </c>
      <c r="BL50" s="30">
        <f t="shared" si="135"/>
        <v>13.2155</v>
      </c>
      <c r="BM50" s="30">
        <f t="shared" si="135"/>
        <v>13.012499999999999</v>
      </c>
      <c r="BN50" s="29">
        <f t="shared" si="135"/>
        <v>12.944833333333333</v>
      </c>
      <c r="BO50" s="85" t="str">
        <f t="shared" si="2"/>
        <v>$$$</v>
      </c>
      <c r="BP50" s="88" t="str">
        <f t="shared" ref="BP50:BP51" si="136">IFERROR(BO50*100/BO$5,"$$$")</f>
        <v>$$$</v>
      </c>
      <c r="BQ50" s="88" t="str">
        <f t="shared" si="4"/>
        <v>$$$</v>
      </c>
      <c r="BR50" s="88" t="str">
        <f t="shared" si="5"/>
        <v>$$$</v>
      </c>
      <c r="BS50" s="29" t="e">
        <f t="shared" ref="BS50:CD51" si="137">IF($CI50,IF(BS$7&gt;0,IF(BS$4&gt;$Q50,$BF50+BS$7*(BS$5+$BG50+$BI50),LOOKUP(BS$7,$AH50:$AL50,$AM50:$AQ50)+IF($AG50="Y",SUMPRODUCT($AX50:$BB50-$AW50:$BA50,BS$7-$AR50:$AV50,N(BS$7&gt;$AR50:$AV50)),BS$7*LOOKUP(BS$7,$AR50:$AV50,$AX50:$BB50))+IF($BE50="Y",$BF50,$BC50)+BS$7*IF($BE50="Y",$BG50,$BD50))*100/BS$7,""),NA())</f>
        <v>#N/A</v>
      </c>
      <c r="BT50" s="29" t="e">
        <f t="shared" si="137"/>
        <v>#N/A</v>
      </c>
      <c r="BU50" s="29" t="e">
        <f t="shared" si="137"/>
        <v>#N/A</v>
      </c>
      <c r="BV50" s="29" t="e">
        <f t="shared" si="137"/>
        <v>#N/A</v>
      </c>
      <c r="BW50" s="29" t="e">
        <f t="shared" si="137"/>
        <v>#N/A</v>
      </c>
      <c r="BX50" s="29" t="e">
        <f t="shared" si="137"/>
        <v>#N/A</v>
      </c>
      <c r="BY50" s="29" t="e">
        <f t="shared" si="137"/>
        <v>#N/A</v>
      </c>
      <c r="BZ50" s="29" t="e">
        <f t="shared" si="137"/>
        <v>#N/A</v>
      </c>
      <c r="CA50" s="29" t="e">
        <f t="shared" si="137"/>
        <v>#N/A</v>
      </c>
      <c r="CB50" s="29" t="e">
        <f t="shared" si="137"/>
        <v>#N/A</v>
      </c>
      <c r="CC50" s="29" t="e">
        <f t="shared" si="137"/>
        <v>#N/A</v>
      </c>
      <c r="CD50" s="29" t="e">
        <f t="shared" si="137"/>
        <v>#N/A</v>
      </c>
      <c r="CE50" s="6" t="str">
        <f t="shared" si="7"/>
        <v/>
      </c>
      <c r="CF50" s="27" t="e">
        <f>IF(AND(CI50,NOT(AD50)),LOOKUP(CF$5,{0,750,1500},H50:J50),"")</f>
        <v>#N/A</v>
      </c>
      <c r="CG50" s="6" t="str">
        <f t="shared" si="8"/>
        <v/>
      </c>
      <c r="CH50" t="e">
        <f t="shared" ref="CH50:CH51" si="138">IF(CI50,IF(ISNUMBER(BO50),BO50,100000)+CV50/10000+IF(ISNUMBER(BJ50),BJ50,2)/10000-P50/100000+ROW()/10000000,"")</f>
        <v>#N/A</v>
      </c>
      <c r="CI50" t="e">
        <f t="shared" ref="CI50:CI51" si="139">PRODUCT(CJ50:CQ50)</f>
        <v>#N/A</v>
      </c>
      <c r="CJ50" s="6" t="e">
        <f t="shared" si="11"/>
        <v>#N/A</v>
      </c>
      <c r="CK50" s="6">
        <f t="shared" si="12"/>
        <v>1</v>
      </c>
      <c r="CL50" s="6">
        <f t="shared" si="26"/>
        <v>1</v>
      </c>
      <c r="CM50" s="6">
        <f t="shared" si="13"/>
        <v>1</v>
      </c>
      <c r="CN50" s="6">
        <f t="shared" si="14"/>
        <v>1</v>
      </c>
      <c r="CO50" s="6">
        <f t="shared" si="15"/>
        <v>0</v>
      </c>
      <c r="CP50" s="6">
        <f t="shared" si="16"/>
        <v>1</v>
      </c>
      <c r="CQ50" s="6">
        <f t="shared" ref="CQ50:CQ51" si="140">IF(CQ$5="Any",1,IF(AND(CQ$5="Med",AV50=0,SUM(AN50:AQ50)=0),1,IF(AND(CQ$5="Low",AV50=0,SUM(AN50:AQ50)=0,AM50=0),1,IF(AND(CQ$5="Flat",AV50=0,SUM(AN50:AQ50)=0,AM50=0,IFERROR(NOT(BE50="Y"),0)),1,0))))</f>
        <v>1</v>
      </c>
      <c r="CR50" s="81" t="str">
        <f t="shared" si="17"/>
        <v/>
      </c>
      <c r="CS50">
        <f t="shared" ref="CS50:CS51" si="141">CS$5*(12/(MIN(12,Q50))-1)</f>
        <v>0</v>
      </c>
      <c r="CT50">
        <f t="shared" si="19"/>
        <v>20</v>
      </c>
      <c r="CU50" t="str">
        <f t="shared" si="29"/>
        <v>rm</v>
      </c>
      <c r="CV50" s="81">
        <f t="shared" ref="CV50:CV51" si="142">CT50*IF(CU50="",1,Q50)</f>
        <v>260</v>
      </c>
      <c r="CW50" s="81">
        <f>(CV50/25)^1.5*(Calculator!$BU$4/10000)*CW$5</f>
        <v>86.601233078581117</v>
      </c>
      <c r="CX50" t="str">
        <f t="shared" ref="CX50:CX51" si="143">"$"&amp;IF(LEFT(CU50,1)="r",CT50&amp;"/"&amp;CU50,CV50)</f>
        <v>$20/rm</v>
      </c>
    </row>
    <row r="51" spans="2:102" x14ac:dyDescent="0.25">
      <c r="B51" s="115" t="s">
        <v>233</v>
      </c>
      <c r="C51" s="13">
        <v>46254.637499999997</v>
      </c>
      <c r="D51">
        <v>34684</v>
      </c>
      <c r="E51" s="54" t="s">
        <v>235</v>
      </c>
      <c r="F51" s="54" t="s">
        <v>384</v>
      </c>
      <c r="G51" s="54" t="s">
        <v>2038</v>
      </c>
      <c r="H51" s="55">
        <v>12.8</v>
      </c>
      <c r="I51" s="55">
        <v>12.3</v>
      </c>
      <c r="J51" s="55">
        <v>12.1</v>
      </c>
      <c r="K51" s="54"/>
      <c r="L51" s="56" t="b">
        <v>0</v>
      </c>
      <c r="M51" s="56" t="b">
        <v>0</v>
      </c>
      <c r="N51" s="54">
        <v>1</v>
      </c>
      <c r="O51" s="54" t="s">
        <v>228</v>
      </c>
      <c r="P51" s="54">
        <v>29</v>
      </c>
      <c r="Q51" s="54">
        <v>13</v>
      </c>
      <c r="R51" s="54" t="s">
        <v>385</v>
      </c>
      <c r="S51" s="54" t="s">
        <v>391</v>
      </c>
      <c r="T51" s="54" t="s">
        <v>387</v>
      </c>
      <c r="U51" s="54" t="s">
        <v>2029</v>
      </c>
      <c r="V51" s="54" t="s">
        <v>2041</v>
      </c>
      <c r="W51" s="54" t="b">
        <v>0</v>
      </c>
      <c r="X51" s="54"/>
      <c r="Y51" s="57" t="s">
        <v>2042</v>
      </c>
      <c r="Z51" s="54" t="s">
        <v>388</v>
      </c>
      <c r="AA51" s="54"/>
      <c r="AB51" s="54" t="s">
        <v>389</v>
      </c>
      <c r="AC51" s="56" t="b">
        <v>1</v>
      </c>
      <c r="AD51" s="56" t="b">
        <v>0</v>
      </c>
      <c r="AE51" s="54" t="s">
        <v>302</v>
      </c>
      <c r="AF51" s="58">
        <v>46254</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6.8360000000000004E-2</v>
      </c>
      <c r="BC51" s="60">
        <v>4.9000000000000004</v>
      </c>
      <c r="BD51" s="61">
        <v>4.9811000000000001E-2</v>
      </c>
      <c r="BE51" s="62" t="s">
        <v>293</v>
      </c>
      <c r="BF51" s="35">
        <f t="shared" si="0"/>
        <v>4.9000000000000004</v>
      </c>
      <c r="BG51" s="35">
        <f t="shared" si="0"/>
        <v>4.9811000000000001E-2</v>
      </c>
      <c r="BH51" s="35" t="str">
        <f t="shared" si="133"/>
        <v>Low</v>
      </c>
      <c r="BI51" s="110">
        <f t="shared" si="134"/>
        <v>0</v>
      </c>
      <c r="BJ51" s="83">
        <f>VLOOKUP($F51,REP_Info!$D$6:$H$250,5,FALSE)</f>
        <v>1.244</v>
      </c>
      <c r="BK51" s="30">
        <f t="shared" si="135"/>
        <v>12.7971</v>
      </c>
      <c r="BL51" s="30">
        <f t="shared" si="135"/>
        <v>12.3071</v>
      </c>
      <c r="BM51" s="30">
        <f t="shared" si="135"/>
        <v>12.062100000000001</v>
      </c>
      <c r="BN51" s="29">
        <f t="shared" si="135"/>
        <v>11.980433333333334</v>
      </c>
      <c r="BO51" s="85" t="str">
        <f t="shared" si="2"/>
        <v>$$$</v>
      </c>
      <c r="BP51" s="88" t="str">
        <f t="shared" si="136"/>
        <v>$$$</v>
      </c>
      <c r="BQ51" s="88" t="str">
        <f t="shared" si="4"/>
        <v>$$$</v>
      </c>
      <c r="BR51" s="88" t="str">
        <f t="shared" si="5"/>
        <v>$$$</v>
      </c>
      <c r="BS51" s="29" t="e">
        <f t="shared" si="137"/>
        <v>#N/A</v>
      </c>
      <c r="BT51" s="29" t="e">
        <f t="shared" si="137"/>
        <v>#N/A</v>
      </c>
      <c r="BU51" s="29" t="e">
        <f t="shared" si="137"/>
        <v>#N/A</v>
      </c>
      <c r="BV51" s="29" t="e">
        <f t="shared" si="137"/>
        <v>#N/A</v>
      </c>
      <c r="BW51" s="29" t="e">
        <f t="shared" si="137"/>
        <v>#N/A</v>
      </c>
      <c r="BX51" s="29" t="e">
        <f t="shared" si="137"/>
        <v>#N/A</v>
      </c>
      <c r="BY51" s="29" t="e">
        <f t="shared" si="137"/>
        <v>#N/A</v>
      </c>
      <c r="BZ51" s="29" t="e">
        <f t="shared" si="137"/>
        <v>#N/A</v>
      </c>
      <c r="CA51" s="29" t="e">
        <f t="shared" si="137"/>
        <v>#N/A</v>
      </c>
      <c r="CB51" s="29" t="e">
        <f t="shared" si="137"/>
        <v>#N/A</v>
      </c>
      <c r="CC51" s="29" t="e">
        <f t="shared" si="137"/>
        <v>#N/A</v>
      </c>
      <c r="CD51" s="29" t="e">
        <f t="shared" si="137"/>
        <v>#N/A</v>
      </c>
      <c r="CE51" s="6" t="str">
        <f t="shared" si="7"/>
        <v/>
      </c>
      <c r="CF51" s="27" t="e">
        <f>IF(AND(CI51,NOT(AD51)),LOOKUP(CF$5,{0,750,1500},H51:J51),"")</f>
        <v>#N/A</v>
      </c>
      <c r="CG51" s="6" t="str">
        <f t="shared" si="8"/>
        <v/>
      </c>
      <c r="CH51" t="e">
        <f t="shared" si="138"/>
        <v>#N/A</v>
      </c>
      <c r="CI51" t="e">
        <f t="shared" si="139"/>
        <v>#N/A</v>
      </c>
      <c r="CJ51" s="6" t="e">
        <f t="shared" si="11"/>
        <v>#N/A</v>
      </c>
      <c r="CK51" s="6">
        <f t="shared" si="12"/>
        <v>1</v>
      </c>
      <c r="CL51" s="6">
        <f t="shared" si="26"/>
        <v>1</v>
      </c>
      <c r="CM51" s="6">
        <f t="shared" si="13"/>
        <v>1</v>
      </c>
      <c r="CN51" s="6">
        <f t="shared" si="14"/>
        <v>1</v>
      </c>
      <c r="CO51" s="6">
        <f t="shared" si="15"/>
        <v>0</v>
      </c>
      <c r="CP51" s="6">
        <f t="shared" si="16"/>
        <v>1</v>
      </c>
      <c r="CQ51" s="6">
        <f t="shared" si="140"/>
        <v>1</v>
      </c>
      <c r="CR51" s="81" t="str">
        <f t="shared" si="17"/>
        <v/>
      </c>
      <c r="CS51">
        <f t="shared" si="141"/>
        <v>0</v>
      </c>
      <c r="CT51">
        <f t="shared" si="19"/>
        <v>20</v>
      </c>
      <c r="CU51" t="str">
        <f t="shared" si="29"/>
        <v>rm</v>
      </c>
      <c r="CV51" s="81">
        <f t="shared" si="142"/>
        <v>260</v>
      </c>
      <c r="CW51" s="81">
        <f>(CV51/25)^1.5*(Calculator!$BU$4/10000)*CW$5</f>
        <v>86.601233078581117</v>
      </c>
      <c r="CX51" t="str">
        <f t="shared" si="143"/>
        <v>$20/rm</v>
      </c>
    </row>
    <row r="52" spans="2:102" x14ac:dyDescent="0.25">
      <c r="B52" s="115" t="s">
        <v>233</v>
      </c>
      <c r="C52" s="13">
        <v>46254.637499999997</v>
      </c>
      <c r="D52">
        <v>34782</v>
      </c>
      <c r="E52" s="54" t="s">
        <v>235</v>
      </c>
      <c r="F52" s="54" t="s">
        <v>384</v>
      </c>
      <c r="G52" s="54" t="s">
        <v>2043</v>
      </c>
      <c r="H52" s="55">
        <v>12.8</v>
      </c>
      <c r="I52" s="55">
        <v>12.3</v>
      </c>
      <c r="J52" s="55">
        <v>12</v>
      </c>
      <c r="K52" s="54"/>
      <c r="L52" s="56" t="b">
        <v>0</v>
      </c>
      <c r="M52" s="56" t="b">
        <v>0</v>
      </c>
      <c r="N52" s="54">
        <v>1</v>
      </c>
      <c r="O52" s="54" t="s">
        <v>228</v>
      </c>
      <c r="P52" s="54">
        <v>29</v>
      </c>
      <c r="Q52" s="54">
        <v>18</v>
      </c>
      <c r="R52" s="54" t="s">
        <v>385</v>
      </c>
      <c r="S52" s="54" t="s">
        <v>391</v>
      </c>
      <c r="T52" s="54" t="s">
        <v>387</v>
      </c>
      <c r="U52" s="54" t="s">
        <v>2028</v>
      </c>
      <c r="V52" s="54" t="s">
        <v>2044</v>
      </c>
      <c r="W52" s="54" t="b">
        <v>0</v>
      </c>
      <c r="X52" s="54"/>
      <c r="Y52" s="57" t="s">
        <v>2045</v>
      </c>
      <c r="Z52" s="54" t="s">
        <v>388</v>
      </c>
      <c r="AA52" s="54"/>
      <c r="AB52" s="54" t="s">
        <v>389</v>
      </c>
      <c r="AC52" s="56" t="b">
        <v>1</v>
      </c>
      <c r="AD52" s="56" t="b">
        <v>0</v>
      </c>
      <c r="AE52" s="54" t="s">
        <v>302</v>
      </c>
      <c r="AF52" s="58">
        <v>46254</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6.8019999999999997E-2</v>
      </c>
      <c r="BC52" s="60">
        <v>4.9000000000000004</v>
      </c>
      <c r="BD52" s="61">
        <v>4.9811000000000001E-2</v>
      </c>
      <c r="BE52" s="62" t="s">
        <v>293</v>
      </c>
      <c r="BF52" s="35">
        <f t="shared" si="0"/>
        <v>4.9000000000000004</v>
      </c>
      <c r="BG52" s="35">
        <f t="shared" si="0"/>
        <v>4.9811000000000001E-2</v>
      </c>
      <c r="BH52" s="35" t="str">
        <f t="shared" ref="BH52:BH53" si="144">IF(ISTEXT(BE52),IF(AND(AV52=0,SUM(AN52:AQ52)=0),IF(AM52&lt;=0,IF(BE52="Y","Low","Flat"),"Med"),"High"),"?")</f>
        <v>Low</v>
      </c>
      <c r="BI52" s="110">
        <f t="shared" ref="BI52:BI53" si="145">IF(ISNUMBER(AH52),0*BI$5*SIN((EDATE($A$3,$Q52)-DATE(YEAR(EDATE($A$3,$Q52)),1,0)-BI$4)*2*PI()/365),"")</f>
        <v>0</v>
      </c>
      <c r="BJ52" s="83">
        <f>VLOOKUP($F52,REP_Info!$D$6:$H$250,5,FALSE)</f>
        <v>1.244</v>
      </c>
      <c r="BK52" s="30">
        <f t="shared" ref="BK52:BN53" si="146">IF(BK$7&gt;0,(LOOKUP(BK$7,$AH52:$AL52,$AM52:$AQ52)+IF($AG52="Y",SUMPRODUCT($AX52:$BB52-$AW52:$BA52,BK$7-$AR52:$AV52,N(BK$7&gt;$AR52:$AV52)),BK$7*LOOKUP(BK$7,$AR52:$AV52,$AX52:$BB52))+IF($BE52="Y",$BF52,$BC52)+BK$7*IF($BE52="Y",$BG52,$BD52))*100/BK$7,"")</f>
        <v>12.7631</v>
      </c>
      <c r="BL52" s="30">
        <f t="shared" si="146"/>
        <v>12.273099999999998</v>
      </c>
      <c r="BM52" s="30">
        <f t="shared" si="146"/>
        <v>12.0281</v>
      </c>
      <c r="BN52" s="29">
        <f t="shared" si="146"/>
        <v>11.946433333333335</v>
      </c>
      <c r="BO52" s="85" t="str">
        <f t="shared" si="2"/>
        <v>$$$</v>
      </c>
      <c r="BP52" s="88" t="str">
        <f t="shared" ref="BP52:BP53" si="147">IFERROR(BO52*100/BO$5,"$$$")</f>
        <v>$$$</v>
      </c>
      <c r="BQ52" s="88" t="str">
        <f t="shared" si="4"/>
        <v>$$$</v>
      </c>
      <c r="BR52" s="88" t="str">
        <f t="shared" si="5"/>
        <v>$$$</v>
      </c>
      <c r="BS52" s="29" t="e">
        <f t="shared" ref="BS52:CD53" si="148">IF($CI52,IF(BS$7&gt;0,IF(BS$4&gt;$Q52,$BF52+BS$7*(BS$5+$BG52+$BI52),LOOKUP(BS$7,$AH52:$AL52,$AM52:$AQ52)+IF($AG52="Y",SUMPRODUCT($AX52:$BB52-$AW52:$BA52,BS$7-$AR52:$AV52,N(BS$7&gt;$AR52:$AV52)),BS$7*LOOKUP(BS$7,$AR52:$AV52,$AX52:$BB52))+IF($BE52="Y",$BF52,$BC52)+BS$7*IF($BE52="Y",$BG52,$BD52))*100/BS$7,""),NA())</f>
        <v>#N/A</v>
      </c>
      <c r="BT52" s="29" t="e">
        <f t="shared" si="148"/>
        <v>#N/A</v>
      </c>
      <c r="BU52" s="29" t="e">
        <f t="shared" si="148"/>
        <v>#N/A</v>
      </c>
      <c r="BV52" s="29" t="e">
        <f t="shared" si="148"/>
        <v>#N/A</v>
      </c>
      <c r="BW52" s="29" t="e">
        <f t="shared" si="148"/>
        <v>#N/A</v>
      </c>
      <c r="BX52" s="29" t="e">
        <f t="shared" si="148"/>
        <v>#N/A</v>
      </c>
      <c r="BY52" s="29" t="e">
        <f t="shared" si="148"/>
        <v>#N/A</v>
      </c>
      <c r="BZ52" s="29" t="e">
        <f t="shared" si="148"/>
        <v>#N/A</v>
      </c>
      <c r="CA52" s="29" t="e">
        <f t="shared" si="148"/>
        <v>#N/A</v>
      </c>
      <c r="CB52" s="29" t="e">
        <f t="shared" si="148"/>
        <v>#N/A</v>
      </c>
      <c r="CC52" s="29" t="e">
        <f t="shared" si="148"/>
        <v>#N/A</v>
      </c>
      <c r="CD52" s="29" t="e">
        <f t="shared" si="148"/>
        <v>#N/A</v>
      </c>
      <c r="CE52" s="6" t="str">
        <f t="shared" si="7"/>
        <v/>
      </c>
      <c r="CF52" s="27" t="e">
        <f>IF(AND(CI52,NOT(AD52)),LOOKUP(CF$5,{0,750,1500},H52:J52),"")</f>
        <v>#N/A</v>
      </c>
      <c r="CG52" s="6" t="str">
        <f t="shared" si="8"/>
        <v/>
      </c>
      <c r="CH52" t="e">
        <f t="shared" ref="CH52:CH53" si="149">IF(CI52,IF(ISNUMBER(BO52),BO52,100000)+CV52/10000+IF(ISNUMBER(BJ52),BJ52,2)/10000-P52/100000+ROW()/10000000,"")</f>
        <v>#N/A</v>
      </c>
      <c r="CI52" t="e">
        <f t="shared" ref="CI52:CI53" si="150">PRODUCT(CJ52:CQ52)</f>
        <v>#N/A</v>
      </c>
      <c r="CJ52" s="6" t="e">
        <f t="shared" si="11"/>
        <v>#N/A</v>
      </c>
      <c r="CK52" s="6">
        <f t="shared" si="12"/>
        <v>1</v>
      </c>
      <c r="CL52" s="6">
        <f t="shared" si="26"/>
        <v>1</v>
      </c>
      <c r="CM52" s="6">
        <f t="shared" si="13"/>
        <v>1</v>
      </c>
      <c r="CN52" s="6">
        <f t="shared" si="14"/>
        <v>1</v>
      </c>
      <c r="CO52" s="6">
        <f t="shared" si="15"/>
        <v>0</v>
      </c>
      <c r="CP52" s="6">
        <f t="shared" si="16"/>
        <v>1</v>
      </c>
      <c r="CQ52" s="6">
        <f t="shared" ref="CQ52:CQ53" si="151">IF(CQ$5="Any",1,IF(AND(CQ$5="Med",AV52=0,SUM(AN52:AQ52)=0),1,IF(AND(CQ$5="Low",AV52=0,SUM(AN52:AQ52)=0,AM52=0),1,IF(AND(CQ$5="Flat",AV52=0,SUM(AN52:AQ52)=0,AM52=0,IFERROR(NOT(BE52="Y"),0)),1,0))))</f>
        <v>1</v>
      </c>
      <c r="CR52" s="81" t="str">
        <f t="shared" si="17"/>
        <v/>
      </c>
      <c r="CS52">
        <f t="shared" ref="CS52:CS53" si="152">CS$5*(12/(MIN(12,Q52))-1)</f>
        <v>0</v>
      </c>
      <c r="CT52">
        <f t="shared" si="19"/>
        <v>20</v>
      </c>
      <c r="CU52" t="str">
        <f t="shared" si="29"/>
        <v>rm</v>
      </c>
      <c r="CV52" s="81">
        <f t="shared" ref="CV52:CV53" si="153">CT52*IF(CU52="",1,Q52)</f>
        <v>360</v>
      </c>
      <c r="CW52" s="81">
        <f>(CV52/25)^1.5*(Calculator!$BU$4/10000)*CW$5</f>
        <v>141.09700815337061</v>
      </c>
      <c r="CX52" t="str">
        <f t="shared" ref="CX52:CX53" si="154">"$"&amp;IF(LEFT(CU52,1)="r",CT52&amp;"/"&amp;CU52,CV52)</f>
        <v>$20/rm</v>
      </c>
    </row>
    <row r="53" spans="2:102" x14ac:dyDescent="0.25">
      <c r="B53" s="115" t="s">
        <v>233</v>
      </c>
      <c r="C53" s="13">
        <v>46254.637499999997</v>
      </c>
      <c r="D53">
        <v>34783</v>
      </c>
      <c r="E53" s="54" t="s">
        <v>237</v>
      </c>
      <c r="F53" s="54" t="s">
        <v>384</v>
      </c>
      <c r="G53" s="54" t="s">
        <v>2043</v>
      </c>
      <c r="H53" s="55">
        <v>13.600000000000001</v>
      </c>
      <c r="I53" s="55">
        <v>13.200000000000001</v>
      </c>
      <c r="J53" s="55">
        <v>13</v>
      </c>
      <c r="K53" s="54"/>
      <c r="L53" s="56" t="b">
        <v>0</v>
      </c>
      <c r="M53" s="56" t="b">
        <v>0</v>
      </c>
      <c r="N53" s="54">
        <v>1</v>
      </c>
      <c r="O53" s="54" t="s">
        <v>228</v>
      </c>
      <c r="P53" s="54">
        <v>29</v>
      </c>
      <c r="Q53" s="54">
        <v>18</v>
      </c>
      <c r="R53" s="54" t="s">
        <v>385</v>
      </c>
      <c r="S53" s="54" t="s">
        <v>391</v>
      </c>
      <c r="T53" s="54" t="s">
        <v>390</v>
      </c>
      <c r="U53" s="54" t="s">
        <v>2026</v>
      </c>
      <c r="V53" s="54" t="s">
        <v>2046</v>
      </c>
      <c r="W53" s="54" t="b">
        <v>0</v>
      </c>
      <c r="X53" s="54"/>
      <c r="Y53" s="57" t="s">
        <v>2047</v>
      </c>
      <c r="Z53" s="54" t="s">
        <v>388</v>
      </c>
      <c r="AA53" s="54"/>
      <c r="AB53" s="54" t="s">
        <v>389</v>
      </c>
      <c r="AC53" s="56" t="b">
        <v>1</v>
      </c>
      <c r="AD53" s="56" t="b">
        <v>0</v>
      </c>
      <c r="AE53" s="54" t="s">
        <v>302</v>
      </c>
      <c r="AF53" s="58">
        <v>46254</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6.7769999999999997E-2</v>
      </c>
      <c r="BC53" s="60">
        <v>4.0599999999999996</v>
      </c>
      <c r="BD53" s="61">
        <v>6.0295000000000001E-2</v>
      </c>
      <c r="BE53" s="62" t="s">
        <v>293</v>
      </c>
      <c r="BF53" s="35">
        <f t="shared" si="0"/>
        <v>4.0600000000000005</v>
      </c>
      <c r="BG53" s="35">
        <f t="shared" si="0"/>
        <v>6.0295000000000001E-2</v>
      </c>
      <c r="BH53" s="35" t="str">
        <f t="shared" si="144"/>
        <v>Low</v>
      </c>
      <c r="BI53" s="110">
        <f t="shared" si="145"/>
        <v>0</v>
      </c>
      <c r="BJ53" s="83">
        <f>VLOOKUP($F53,REP_Info!$D$6:$H$250,5,FALSE)</f>
        <v>1.244</v>
      </c>
      <c r="BK53" s="30">
        <f t="shared" si="146"/>
        <v>13.618499999999999</v>
      </c>
      <c r="BL53" s="30">
        <f t="shared" si="146"/>
        <v>13.2125</v>
      </c>
      <c r="BM53" s="30">
        <f t="shared" si="146"/>
        <v>13.009499999999999</v>
      </c>
      <c r="BN53" s="29">
        <f t="shared" si="146"/>
        <v>12.941833333333333</v>
      </c>
      <c r="BO53" s="85" t="str">
        <f t="shared" si="2"/>
        <v>$$$</v>
      </c>
      <c r="BP53" s="88" t="str">
        <f t="shared" si="147"/>
        <v>$$$</v>
      </c>
      <c r="BQ53" s="88" t="str">
        <f t="shared" si="4"/>
        <v>$$$</v>
      </c>
      <c r="BR53" s="88" t="str">
        <f t="shared" si="5"/>
        <v>$$$</v>
      </c>
      <c r="BS53" s="29" t="e">
        <f t="shared" si="148"/>
        <v>#N/A</v>
      </c>
      <c r="BT53" s="29" t="e">
        <f t="shared" si="148"/>
        <v>#N/A</v>
      </c>
      <c r="BU53" s="29" t="e">
        <f t="shared" si="148"/>
        <v>#N/A</v>
      </c>
      <c r="BV53" s="29" t="e">
        <f t="shared" si="148"/>
        <v>#N/A</v>
      </c>
      <c r="BW53" s="29" t="e">
        <f t="shared" si="148"/>
        <v>#N/A</v>
      </c>
      <c r="BX53" s="29" t="e">
        <f t="shared" si="148"/>
        <v>#N/A</v>
      </c>
      <c r="BY53" s="29" t="e">
        <f t="shared" si="148"/>
        <v>#N/A</v>
      </c>
      <c r="BZ53" s="29" t="e">
        <f t="shared" si="148"/>
        <v>#N/A</v>
      </c>
      <c r="CA53" s="29" t="e">
        <f t="shared" si="148"/>
        <v>#N/A</v>
      </c>
      <c r="CB53" s="29" t="e">
        <f t="shared" si="148"/>
        <v>#N/A</v>
      </c>
      <c r="CC53" s="29" t="e">
        <f t="shared" si="148"/>
        <v>#N/A</v>
      </c>
      <c r="CD53" s="29" t="e">
        <f t="shared" si="148"/>
        <v>#N/A</v>
      </c>
      <c r="CE53" s="6" t="str">
        <f t="shared" si="7"/>
        <v/>
      </c>
      <c r="CF53" s="27" t="e">
        <f>IF(AND(CI53,NOT(AD53)),LOOKUP(CF$5,{0,750,1500},H53:J53),"")</f>
        <v>#N/A</v>
      </c>
      <c r="CG53" s="6" t="str">
        <f t="shared" si="8"/>
        <v/>
      </c>
      <c r="CH53" t="e">
        <f t="shared" si="149"/>
        <v>#N/A</v>
      </c>
      <c r="CI53" t="e">
        <f t="shared" si="150"/>
        <v>#N/A</v>
      </c>
      <c r="CJ53" s="6" t="e">
        <f t="shared" si="11"/>
        <v>#N/A</v>
      </c>
      <c r="CK53" s="6">
        <f t="shared" si="12"/>
        <v>1</v>
      </c>
      <c r="CL53" s="6">
        <f t="shared" si="26"/>
        <v>1</v>
      </c>
      <c r="CM53" s="6">
        <f t="shared" si="13"/>
        <v>1</v>
      </c>
      <c r="CN53" s="6">
        <f t="shared" si="14"/>
        <v>1</v>
      </c>
      <c r="CO53" s="6">
        <f t="shared" si="15"/>
        <v>0</v>
      </c>
      <c r="CP53" s="6">
        <f t="shared" si="16"/>
        <v>1</v>
      </c>
      <c r="CQ53" s="6">
        <f t="shared" si="151"/>
        <v>1</v>
      </c>
      <c r="CR53" s="81" t="str">
        <f t="shared" si="17"/>
        <v/>
      </c>
      <c r="CS53">
        <f t="shared" si="152"/>
        <v>0</v>
      </c>
      <c r="CT53">
        <f t="shared" si="19"/>
        <v>20</v>
      </c>
      <c r="CU53" t="str">
        <f t="shared" si="29"/>
        <v>rm</v>
      </c>
      <c r="CV53" s="81">
        <f t="shared" si="153"/>
        <v>360</v>
      </c>
      <c r="CW53" s="81">
        <f>(CV53/25)^1.5*(Calculator!$BU$4/10000)*CW$5</f>
        <v>141.09700815337061</v>
      </c>
      <c r="CX53" t="str">
        <f t="shared" si="154"/>
        <v>$20/rm</v>
      </c>
    </row>
    <row r="54" spans="2:102" x14ac:dyDescent="0.25">
      <c r="B54" s="115" t="s">
        <v>233</v>
      </c>
      <c r="C54" s="13">
        <v>46254.637499999997</v>
      </c>
      <c r="D54">
        <v>34789</v>
      </c>
      <c r="E54" s="54" t="s">
        <v>237</v>
      </c>
      <c r="F54" s="54" t="s">
        <v>384</v>
      </c>
      <c r="G54" s="54" t="s">
        <v>2048</v>
      </c>
      <c r="H54" s="55">
        <v>13.600000000000001</v>
      </c>
      <c r="I54" s="55">
        <v>13.200000000000001</v>
      </c>
      <c r="J54" s="55">
        <v>13</v>
      </c>
      <c r="K54" s="54"/>
      <c r="L54" s="56" t="b">
        <v>0</v>
      </c>
      <c r="M54" s="56" t="b">
        <v>0</v>
      </c>
      <c r="N54" s="54">
        <v>1</v>
      </c>
      <c r="O54" s="54" t="s">
        <v>228</v>
      </c>
      <c r="P54" s="54">
        <v>29</v>
      </c>
      <c r="Q54" s="54">
        <v>14</v>
      </c>
      <c r="R54" s="54" t="s">
        <v>385</v>
      </c>
      <c r="S54" s="54" t="s">
        <v>391</v>
      </c>
      <c r="T54" s="54" t="s">
        <v>390</v>
      </c>
      <c r="U54" s="54" t="s">
        <v>2027</v>
      </c>
      <c r="V54" s="54" t="s">
        <v>2049</v>
      </c>
      <c r="W54" s="54" t="b">
        <v>0</v>
      </c>
      <c r="X54" s="54"/>
      <c r="Y54" s="57" t="s">
        <v>2050</v>
      </c>
      <c r="Z54" s="54" t="s">
        <v>388</v>
      </c>
      <c r="AA54" s="54"/>
      <c r="AB54" s="54" t="s">
        <v>389</v>
      </c>
      <c r="AC54" s="56" t="b">
        <v>1</v>
      </c>
      <c r="AD54" s="56" t="b">
        <v>0</v>
      </c>
      <c r="AE54" s="54" t="s">
        <v>302</v>
      </c>
      <c r="AF54" s="58">
        <v>46254</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6.7949999999999997E-2</v>
      </c>
      <c r="BC54" s="60">
        <v>4.0599999999999996</v>
      </c>
      <c r="BD54" s="61">
        <v>6.0295000000000001E-2</v>
      </c>
      <c r="BE54" s="62" t="s">
        <v>293</v>
      </c>
      <c r="BF54" s="35">
        <f t="shared" ref="BF54:BG64" si="155">IF($E54=$E$4,BF$4,IF($E54=$E$5,BF$5,""))</f>
        <v>4.0600000000000005</v>
      </c>
      <c r="BG54" s="35">
        <f t="shared" si="155"/>
        <v>6.0295000000000001E-2</v>
      </c>
      <c r="BH54" s="35" t="str">
        <f t="shared" ref="BH54:BH64" si="156">IF(ISTEXT(BE54),IF(AND(AV54=0,SUM(AN54:AQ54)=0),IF(AM54&lt;=0,IF(BE54="Y","Low","Flat"),"Med"),"High"),"?")</f>
        <v>Low</v>
      </c>
      <c r="BI54" s="110">
        <f t="shared" ref="BI54:BI64" si="157">IF(ISNUMBER(AH54),0*BI$5*SIN((EDATE($A$3,$Q54)-DATE(YEAR(EDATE($A$3,$Q54)),1,0)-BI$4)*2*PI()/365),"")</f>
        <v>0</v>
      </c>
      <c r="BJ54" s="83">
        <f>VLOOKUP($F54,REP_Info!$D$6:$H$250,5,FALSE)</f>
        <v>1.244</v>
      </c>
      <c r="BK54" s="30">
        <f t="shared" ref="BK54:BN64" si="158">IF(BK$7&gt;0,(LOOKUP(BK$7,$AH54:$AL54,$AM54:$AQ54)+IF($AG54="Y",SUMPRODUCT($AX54:$BB54-$AW54:$BA54,BK$7-$AR54:$AV54,N(BK$7&gt;$AR54:$AV54)),BK$7*LOOKUP(BK$7,$AR54:$AV54,$AX54:$BB54))+IF($BE54="Y",$BF54,$BC54)+BK$7*IF($BE54="Y",$BG54,$BD54))*100/BK$7,"")</f>
        <v>13.6365</v>
      </c>
      <c r="BL54" s="30">
        <f t="shared" si="158"/>
        <v>13.230499999999999</v>
      </c>
      <c r="BM54" s="30">
        <f t="shared" si="158"/>
        <v>13.0275</v>
      </c>
      <c r="BN54" s="29">
        <f t="shared" si="158"/>
        <v>12.95983333333333</v>
      </c>
      <c r="BO54" s="85" t="str">
        <f t="shared" ref="BO54:BO64" si="159">IFERROR(SUMPRODUCT($BS$7:$CD$7,$BS54:$CD54)/100,"$$$")</f>
        <v>$$$</v>
      </c>
      <c r="BP54" s="88" t="str">
        <f t="shared" ref="BP54:BP64" si="160">IFERROR(BO54*100/BO$5,"$$$")</f>
        <v>$$$</v>
      </c>
      <c r="BQ54" s="88" t="str">
        <f t="shared" ref="BQ54:BQ64" si="161">IFERROR(SUMPRODUCT($BS$7:$CD$7,$BS54:$CD54,--($BS$4:$CD$4&lt;=$Q54))/SUMPRODUCT(--($BS$4:$CD$4&lt;=$Q54),$BS$7:$CD$7),"$$$")</f>
        <v>$$$</v>
      </c>
      <c r="BR54" s="88" t="str">
        <f t="shared" ref="BR54:BR64" si="162">IFERROR($BQ54-$BF54*100*SUMPRODUCT(--($BS$4:$CD$4&lt;=$Q54))/SUMPRODUCT(--($BS$4:$CD$4&lt;=$Q54),$BS$7:$CD$7)-$BG54*100,"$$$")</f>
        <v>$$$</v>
      </c>
      <c r="BS54" s="29" t="e">
        <f t="shared" ref="BS54:CD62" si="163">IF($CI54,IF(BS$7&gt;0,IF(BS$4&gt;$Q54,$BF54+BS$7*(BS$5+$BG54+$BI54),LOOKUP(BS$7,$AH54:$AL54,$AM54:$AQ54)+IF($AG54="Y",SUMPRODUCT($AX54:$BB54-$AW54:$BA54,BS$7-$AR54:$AV54,N(BS$7&gt;$AR54:$AV54)),BS$7*LOOKUP(BS$7,$AR54:$AV54,$AX54:$BB54))+IF($BE54="Y",$BF54,$BC54)+BS$7*IF($BE54="Y",$BG54,$BD54))*100/BS$7,""),NA())</f>
        <v>#N/A</v>
      </c>
      <c r="BT54" s="29" t="e">
        <f t="shared" si="163"/>
        <v>#N/A</v>
      </c>
      <c r="BU54" s="29" t="e">
        <f t="shared" si="163"/>
        <v>#N/A</v>
      </c>
      <c r="BV54" s="29" t="e">
        <f t="shared" si="163"/>
        <v>#N/A</v>
      </c>
      <c r="BW54" s="29" t="e">
        <f t="shared" si="163"/>
        <v>#N/A</v>
      </c>
      <c r="BX54" s="29" t="e">
        <f t="shared" si="163"/>
        <v>#N/A</v>
      </c>
      <c r="BY54" s="29" t="e">
        <f t="shared" si="163"/>
        <v>#N/A</v>
      </c>
      <c r="BZ54" s="29" t="e">
        <f t="shared" si="163"/>
        <v>#N/A</v>
      </c>
      <c r="CA54" s="29" t="e">
        <f t="shared" si="163"/>
        <v>#N/A</v>
      </c>
      <c r="CB54" s="29" t="e">
        <f t="shared" si="163"/>
        <v>#N/A</v>
      </c>
      <c r="CC54" s="29" t="e">
        <f t="shared" si="163"/>
        <v>#N/A</v>
      </c>
      <c r="CD54" s="29" t="e">
        <f t="shared" si="163"/>
        <v>#N/A</v>
      </c>
      <c r="CE54" s="6" t="str">
        <f t="shared" si="7"/>
        <v/>
      </c>
      <c r="CF54" s="27" t="e">
        <f>IF(AND(CI54,NOT(AD54)),LOOKUP(CF$5,{0,750,1500},H54:J54),"")</f>
        <v>#N/A</v>
      </c>
      <c r="CG54" s="6" t="str">
        <f t="shared" si="8"/>
        <v/>
      </c>
      <c r="CH54" t="e">
        <f t="shared" ref="CH54:CH64" si="164">IF(CI54,IF(ISNUMBER(BO54),BO54,100000)+CV54/10000+IF(ISNUMBER(BJ54),BJ54,2)/10000-P54/100000+ROW()/10000000,"")</f>
        <v>#N/A</v>
      </c>
      <c r="CI54" t="e">
        <f t="shared" ref="CI54:CI64" si="165">PRODUCT(CJ54:CQ54)</f>
        <v>#N/A</v>
      </c>
      <c r="CJ54" s="6" t="e">
        <f t="shared" ref="CJ54:CJ64" si="166">IF($E54=CJ$5,1,0)</f>
        <v>#N/A</v>
      </c>
      <c r="CK54" s="6">
        <f t="shared" ref="CK54:CK64" si="167">IF(CK$5="[Any]",1,IF($F54=CK$5,1,0))</f>
        <v>1</v>
      </c>
      <c r="CL54" s="6">
        <f t="shared" ref="CL54:CL64" si="168">IFERROR(--OR(ISBLANK(CL$5),$BJ54="",AND(ISNUMBER($BJ54),$BJ54&lt;=CL$5)),1)</f>
        <v>1</v>
      </c>
      <c r="CM54" s="6">
        <f t="shared" ref="CM54:CM64" si="169">IF($O54="Fixed",1,0)</f>
        <v>1</v>
      </c>
      <c r="CN54" s="6">
        <f t="shared" ref="CN54:CN64" si="170">IF($Q54&gt;=CN$5,1,0)</f>
        <v>1</v>
      </c>
      <c r="CO54" s="6">
        <f t="shared" ref="CO54:CO64" si="171">IF($Q54&lt;=CO$5,1,0)</f>
        <v>0</v>
      </c>
      <c r="CP54" s="6">
        <f t="shared" ref="CP54:CP64" si="172">IF($P54&gt;=CP$5,1,0)</f>
        <v>1</v>
      </c>
      <c r="CQ54" s="6">
        <f t="shared" ref="CQ54:CQ64" si="173">IF(CQ$5="Any",1,IF(AND(CQ$5="Med",AV54=0,SUM(AN54:AQ54)=0),1,IF(AND(CQ$5="Low",AV54=0,SUM(AN54:AQ54)=0,AM54=0),1,IF(AND(CQ$5="Flat",AV54=0,SUM(AN54:AQ54)=0,AM54=0,IFERROR(NOT(BE54="Y"),0)),1,0))))</f>
        <v>1</v>
      </c>
      <c r="CR54" s="81" t="str">
        <f t="shared" ref="CR54:CR64" si="174">IF(ISNUMBER($CH54),$CH54+$CS54+$CW54,"")</f>
        <v/>
      </c>
      <c r="CS54">
        <f t="shared" ref="CS54:CS64" si="175">CS$5*(12/(MIN(12,Q54))-1)</f>
        <v>0</v>
      </c>
      <c r="CT54">
        <f t="shared" si="19"/>
        <v>20</v>
      </c>
      <c r="CU54" t="str">
        <f t="shared" ref="CU54:CU64" si="176">IF(AND(ISERR(FIND("remain",$R54)),ISERR(FIND("left",$R54))),"","r")&amp;IF(ISERR(FIND("mon",$R54)),"","m")</f>
        <v>rm</v>
      </c>
      <c r="CV54" s="81">
        <f t="shared" ref="CV54:CV64" si="177">CT54*IF(CU54="",1,Q54)</f>
        <v>280</v>
      </c>
      <c r="CW54" s="81">
        <f>(CV54/25)^1.5*(Calculator!$BU$4/10000)*CW$5</f>
        <v>96.783450376425975</v>
      </c>
      <c r="CX54" t="str">
        <f t="shared" ref="CX54:CX64" si="178">"$"&amp;IF(LEFT(CU54,1)="r",CT54&amp;"/"&amp;CU54,CV54)</f>
        <v>$20/rm</v>
      </c>
    </row>
    <row r="55" spans="2:102" x14ac:dyDescent="0.25">
      <c r="B55" s="115" t="s">
        <v>233</v>
      </c>
      <c r="C55" s="13">
        <v>46254.637499999997</v>
      </c>
      <c r="D55">
        <v>35400</v>
      </c>
      <c r="E55" s="54" t="s">
        <v>235</v>
      </c>
      <c r="F55" s="54" t="s">
        <v>384</v>
      </c>
      <c r="G55" s="54" t="s">
        <v>2051</v>
      </c>
      <c r="H55" s="55">
        <v>12.2</v>
      </c>
      <c r="I55" s="55">
        <v>11.700000000000001</v>
      </c>
      <c r="J55" s="55">
        <v>11.5</v>
      </c>
      <c r="K55" s="54"/>
      <c r="L55" s="56" t="b">
        <v>0</v>
      </c>
      <c r="M55" s="56" t="b">
        <v>0</v>
      </c>
      <c r="N55" s="54">
        <v>1</v>
      </c>
      <c r="O55" s="54" t="s">
        <v>228</v>
      </c>
      <c r="P55" s="54">
        <v>29</v>
      </c>
      <c r="Q55" s="54">
        <v>9</v>
      </c>
      <c r="R55" s="54" t="s">
        <v>385</v>
      </c>
      <c r="S55" s="54" t="s">
        <v>391</v>
      </c>
      <c r="T55" s="54" t="s">
        <v>387</v>
      </c>
      <c r="U55" s="54" t="s">
        <v>2024</v>
      </c>
      <c r="V55" s="54" t="s">
        <v>2052</v>
      </c>
      <c r="W55" s="54" t="b">
        <v>0</v>
      </c>
      <c r="X55" s="54"/>
      <c r="Y55" s="57" t="s">
        <v>2053</v>
      </c>
      <c r="Z55" s="54" t="s">
        <v>388</v>
      </c>
      <c r="AA55" s="54"/>
      <c r="AB55" s="54" t="s">
        <v>389</v>
      </c>
      <c r="AC55" s="56" t="b">
        <v>1</v>
      </c>
      <c r="AD55" s="56" t="b">
        <v>0</v>
      </c>
      <c r="AE55" s="54" t="s">
        <v>302</v>
      </c>
      <c r="AF55" s="58">
        <v>46254</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6.2390000000000001E-2</v>
      </c>
      <c r="BC55" s="60">
        <v>4.9000000000000004</v>
      </c>
      <c r="BD55" s="61">
        <v>4.9811000000000001E-2</v>
      </c>
      <c r="BE55" s="62" t="s">
        <v>293</v>
      </c>
      <c r="BF55" s="35">
        <f t="shared" si="155"/>
        <v>4.9000000000000004</v>
      </c>
      <c r="BG55" s="35">
        <f t="shared" si="155"/>
        <v>4.9811000000000001E-2</v>
      </c>
      <c r="BH55" s="35" t="str">
        <f t="shared" si="156"/>
        <v>Low</v>
      </c>
      <c r="BI55" s="110">
        <f t="shared" si="157"/>
        <v>0</v>
      </c>
      <c r="BJ55" s="83">
        <f>VLOOKUP($F55,REP_Info!$D$6:$H$250,5,FALSE)</f>
        <v>1.244</v>
      </c>
      <c r="BK55" s="30">
        <f t="shared" si="158"/>
        <v>12.200100000000001</v>
      </c>
      <c r="BL55" s="30">
        <f t="shared" si="158"/>
        <v>11.710100000000001</v>
      </c>
      <c r="BM55" s="30">
        <f t="shared" si="158"/>
        <v>11.4651</v>
      </c>
      <c r="BN55" s="29">
        <f t="shared" si="158"/>
        <v>11.383433333333334</v>
      </c>
      <c r="BO55" s="85" t="str">
        <f t="shared" si="159"/>
        <v>$$$</v>
      </c>
      <c r="BP55" s="88" t="str">
        <f t="shared" si="160"/>
        <v>$$$</v>
      </c>
      <c r="BQ55" s="88" t="str">
        <f t="shared" si="161"/>
        <v>$$$</v>
      </c>
      <c r="BR55" s="88" t="str">
        <f t="shared" si="162"/>
        <v>$$$</v>
      </c>
      <c r="BS55" s="29" t="e">
        <f t="shared" si="163"/>
        <v>#N/A</v>
      </c>
      <c r="BT55" s="29" t="e">
        <f t="shared" si="163"/>
        <v>#N/A</v>
      </c>
      <c r="BU55" s="29" t="e">
        <f t="shared" si="163"/>
        <v>#N/A</v>
      </c>
      <c r="BV55" s="29" t="e">
        <f t="shared" si="163"/>
        <v>#N/A</v>
      </c>
      <c r="BW55" s="29" t="e">
        <f t="shared" si="163"/>
        <v>#N/A</v>
      </c>
      <c r="BX55" s="29" t="e">
        <f t="shared" si="163"/>
        <v>#N/A</v>
      </c>
      <c r="BY55" s="29" t="e">
        <f t="shared" si="163"/>
        <v>#N/A</v>
      </c>
      <c r="BZ55" s="29" t="e">
        <f t="shared" si="163"/>
        <v>#N/A</v>
      </c>
      <c r="CA55" s="29" t="e">
        <f t="shared" si="163"/>
        <v>#N/A</v>
      </c>
      <c r="CB55" s="29" t="e">
        <f t="shared" si="163"/>
        <v>#N/A</v>
      </c>
      <c r="CC55" s="29" t="e">
        <f t="shared" si="163"/>
        <v>#N/A</v>
      </c>
      <c r="CD55" s="29" t="e">
        <f t="shared" si="163"/>
        <v>#N/A</v>
      </c>
      <c r="CE55" s="6" t="str">
        <f t="shared" si="7"/>
        <v/>
      </c>
      <c r="CF55" s="27" t="e">
        <f>IF(AND(CI55,NOT(AD55)),LOOKUP(CF$5,{0,750,1500},H55:J55),"")</f>
        <v>#N/A</v>
      </c>
      <c r="CG55" s="6" t="str">
        <f t="shared" si="8"/>
        <v/>
      </c>
      <c r="CH55" t="e">
        <f t="shared" si="164"/>
        <v>#N/A</v>
      </c>
      <c r="CI55" t="e">
        <f t="shared" si="165"/>
        <v>#N/A</v>
      </c>
      <c r="CJ55" s="6" t="e">
        <f t="shared" si="166"/>
        <v>#N/A</v>
      </c>
      <c r="CK55" s="6">
        <f t="shared" si="167"/>
        <v>1</v>
      </c>
      <c r="CL55" s="6">
        <f t="shared" si="168"/>
        <v>1</v>
      </c>
      <c r="CM55" s="6">
        <f t="shared" si="169"/>
        <v>1</v>
      </c>
      <c r="CN55" s="6">
        <f t="shared" si="170"/>
        <v>0</v>
      </c>
      <c r="CO55" s="6">
        <f t="shared" si="171"/>
        <v>1</v>
      </c>
      <c r="CP55" s="6">
        <f t="shared" si="172"/>
        <v>1</v>
      </c>
      <c r="CQ55" s="6">
        <f t="shared" si="173"/>
        <v>1</v>
      </c>
      <c r="CR55" s="81" t="str">
        <f t="shared" si="174"/>
        <v/>
      </c>
      <c r="CS55">
        <f t="shared" si="175"/>
        <v>5.9999999999999982</v>
      </c>
      <c r="CT55">
        <f t="shared" si="19"/>
        <v>20</v>
      </c>
      <c r="CU55" t="str">
        <f t="shared" si="176"/>
        <v>rm</v>
      </c>
      <c r="CV55" s="81">
        <f t="shared" si="177"/>
        <v>180</v>
      </c>
      <c r="CW55" s="81">
        <f>(CV55/25)^1.5*(Calculator!$BU$4/10000)*CW$5</f>
        <v>49.885325635190988</v>
      </c>
      <c r="CX55" t="str">
        <f t="shared" si="178"/>
        <v>$20/rm</v>
      </c>
    </row>
    <row r="56" spans="2:102" x14ac:dyDescent="0.25">
      <c r="B56" s="115" t="s">
        <v>233</v>
      </c>
      <c r="C56" s="13">
        <v>46252.407638888886</v>
      </c>
      <c r="D56">
        <v>35404</v>
      </c>
      <c r="E56" s="54" t="s">
        <v>237</v>
      </c>
      <c r="F56" s="54" t="s">
        <v>384</v>
      </c>
      <c r="G56" s="54" t="s">
        <v>2051</v>
      </c>
      <c r="H56" s="55">
        <v>13</v>
      </c>
      <c r="I56" s="55">
        <v>12.6</v>
      </c>
      <c r="J56" s="55">
        <v>12.4</v>
      </c>
      <c r="K56" s="54"/>
      <c r="L56" s="56" t="b">
        <v>0</v>
      </c>
      <c r="M56" s="56" t="b">
        <v>0</v>
      </c>
      <c r="N56" s="54">
        <v>1</v>
      </c>
      <c r="O56" s="54" t="s">
        <v>228</v>
      </c>
      <c r="P56" s="54">
        <v>29</v>
      </c>
      <c r="Q56" s="54">
        <v>9</v>
      </c>
      <c r="R56" s="54" t="s">
        <v>385</v>
      </c>
      <c r="S56" s="54" t="s">
        <v>391</v>
      </c>
      <c r="T56" s="54" t="s">
        <v>390</v>
      </c>
      <c r="U56" s="54" t="s">
        <v>2025</v>
      </c>
      <c r="V56" s="54" t="s">
        <v>2054</v>
      </c>
      <c r="W56" s="54" t="b">
        <v>0</v>
      </c>
      <c r="X56" s="54"/>
      <c r="Y56" s="57" t="s">
        <v>2055</v>
      </c>
      <c r="Z56" s="54" t="s">
        <v>388</v>
      </c>
      <c r="AA56" s="54"/>
      <c r="AB56" s="54" t="s">
        <v>389</v>
      </c>
      <c r="AC56" s="56" t="b">
        <v>1</v>
      </c>
      <c r="AD56" s="56" t="b">
        <v>0</v>
      </c>
      <c r="AE56" s="54" t="s">
        <v>302</v>
      </c>
      <c r="AF56" s="58">
        <v>46251</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6.1899999999999997E-2</v>
      </c>
      <c r="BC56" s="60">
        <v>4.0599999999999996</v>
      </c>
      <c r="BD56" s="61">
        <v>6.0295000000000001E-2</v>
      </c>
      <c r="BE56" s="62" t="s">
        <v>293</v>
      </c>
      <c r="BF56" s="35">
        <f t="shared" si="155"/>
        <v>4.0600000000000005</v>
      </c>
      <c r="BG56" s="35">
        <f t="shared" si="155"/>
        <v>6.0295000000000001E-2</v>
      </c>
      <c r="BH56" s="35" t="str">
        <f t="shared" si="156"/>
        <v>Low</v>
      </c>
      <c r="BI56" s="110">
        <f t="shared" si="157"/>
        <v>0</v>
      </c>
      <c r="BJ56" s="83">
        <f>VLOOKUP($F56,REP_Info!$D$6:$H$250,5,FALSE)</f>
        <v>1.244</v>
      </c>
      <c r="BK56" s="30">
        <f t="shared" si="158"/>
        <v>13.031499999999999</v>
      </c>
      <c r="BL56" s="30">
        <f t="shared" si="158"/>
        <v>12.625500000000001</v>
      </c>
      <c r="BM56" s="30">
        <f t="shared" si="158"/>
        <v>12.422499999999999</v>
      </c>
      <c r="BN56" s="29">
        <f t="shared" si="158"/>
        <v>12.354833333333334</v>
      </c>
      <c r="BO56" s="85" t="str">
        <f t="shared" si="159"/>
        <v>$$$</v>
      </c>
      <c r="BP56" s="88" t="str">
        <f t="shared" si="160"/>
        <v>$$$</v>
      </c>
      <c r="BQ56" s="88" t="str">
        <f t="shared" si="161"/>
        <v>$$$</v>
      </c>
      <c r="BR56" s="88" t="str">
        <f t="shared" si="162"/>
        <v>$$$</v>
      </c>
      <c r="BS56" s="29" t="e">
        <f t="shared" si="163"/>
        <v>#N/A</v>
      </c>
      <c r="BT56" s="29" t="e">
        <f t="shared" si="163"/>
        <v>#N/A</v>
      </c>
      <c r="BU56" s="29" t="e">
        <f t="shared" si="163"/>
        <v>#N/A</v>
      </c>
      <c r="BV56" s="29" t="e">
        <f t="shared" si="163"/>
        <v>#N/A</v>
      </c>
      <c r="BW56" s="29" t="e">
        <f t="shared" si="163"/>
        <v>#N/A</v>
      </c>
      <c r="BX56" s="29" t="e">
        <f t="shared" si="163"/>
        <v>#N/A</v>
      </c>
      <c r="BY56" s="29" t="e">
        <f t="shared" si="163"/>
        <v>#N/A</v>
      </c>
      <c r="BZ56" s="29" t="e">
        <f t="shared" si="163"/>
        <v>#N/A</v>
      </c>
      <c r="CA56" s="29" t="e">
        <f t="shared" si="163"/>
        <v>#N/A</v>
      </c>
      <c r="CB56" s="29" t="e">
        <f t="shared" si="163"/>
        <v>#N/A</v>
      </c>
      <c r="CC56" s="29" t="e">
        <f t="shared" si="163"/>
        <v>#N/A</v>
      </c>
      <c r="CD56" s="29" t="e">
        <f t="shared" si="163"/>
        <v>#N/A</v>
      </c>
      <c r="CE56" s="6" t="str">
        <f t="shared" si="7"/>
        <v/>
      </c>
      <c r="CF56" s="27" t="e">
        <f>IF(AND(CI56,NOT(AD56)),LOOKUP(CF$5,{0,750,1500},H56:J56),"")</f>
        <v>#N/A</v>
      </c>
      <c r="CG56" s="6" t="str">
        <f t="shared" si="8"/>
        <v/>
      </c>
      <c r="CH56" t="e">
        <f t="shared" si="164"/>
        <v>#N/A</v>
      </c>
      <c r="CI56" t="e">
        <f t="shared" si="165"/>
        <v>#N/A</v>
      </c>
      <c r="CJ56" s="6" t="e">
        <f t="shared" si="166"/>
        <v>#N/A</v>
      </c>
      <c r="CK56" s="6">
        <f t="shared" si="167"/>
        <v>1</v>
      </c>
      <c r="CL56" s="6">
        <f t="shared" si="168"/>
        <v>1</v>
      </c>
      <c r="CM56" s="6">
        <f t="shared" si="169"/>
        <v>1</v>
      </c>
      <c r="CN56" s="6">
        <f t="shared" si="170"/>
        <v>0</v>
      </c>
      <c r="CO56" s="6">
        <f t="shared" si="171"/>
        <v>1</v>
      </c>
      <c r="CP56" s="6">
        <f t="shared" si="172"/>
        <v>1</v>
      </c>
      <c r="CQ56" s="6">
        <f t="shared" si="173"/>
        <v>1</v>
      </c>
      <c r="CR56" s="81" t="str">
        <f t="shared" si="174"/>
        <v/>
      </c>
      <c r="CS56">
        <f t="shared" si="175"/>
        <v>5.9999999999999982</v>
      </c>
      <c r="CT56">
        <f t="shared" si="19"/>
        <v>20</v>
      </c>
      <c r="CU56" t="str">
        <f t="shared" si="176"/>
        <v>rm</v>
      </c>
      <c r="CV56" s="81">
        <f t="shared" si="177"/>
        <v>180</v>
      </c>
      <c r="CW56" s="81">
        <f>(CV56/25)^1.5*(Calculator!$BU$4/10000)*CW$5</f>
        <v>49.885325635190988</v>
      </c>
      <c r="CX56" t="str">
        <f t="shared" si="178"/>
        <v>$20/rm</v>
      </c>
    </row>
    <row r="57" spans="2:102" x14ac:dyDescent="0.25">
      <c r="B57" s="115" t="s">
        <v>233</v>
      </c>
      <c r="C57" s="13">
        <v>46246.298611111109</v>
      </c>
      <c r="D57">
        <v>27509</v>
      </c>
      <c r="E57" s="54" t="s">
        <v>235</v>
      </c>
      <c r="F57" s="54" t="s">
        <v>392</v>
      </c>
      <c r="G57" s="54" t="s">
        <v>1957</v>
      </c>
      <c r="H57" s="55">
        <v>13.700000000000001</v>
      </c>
      <c r="I57" s="55">
        <v>13.200000000000001</v>
      </c>
      <c r="J57" s="55">
        <v>13</v>
      </c>
      <c r="K57" s="54"/>
      <c r="L57" s="56" t="b">
        <v>0</v>
      </c>
      <c r="M57" s="56" t="b">
        <v>0</v>
      </c>
      <c r="N57" s="54">
        <v>1</v>
      </c>
      <c r="O57" s="54" t="s">
        <v>228</v>
      </c>
      <c r="P57" s="54">
        <v>100</v>
      </c>
      <c r="Q57" s="54">
        <v>12</v>
      </c>
      <c r="R57" s="54">
        <v>120</v>
      </c>
      <c r="S57" s="54" t="s">
        <v>1958</v>
      </c>
      <c r="T57" s="54" t="s">
        <v>1959</v>
      </c>
      <c r="U57" s="54" t="s">
        <v>1951</v>
      </c>
      <c r="V57" s="54" t="s">
        <v>1960</v>
      </c>
      <c r="W57" s="54" t="b">
        <v>1</v>
      </c>
      <c r="X57" s="54"/>
      <c r="Y57" s="57" t="s">
        <v>1961</v>
      </c>
      <c r="Z57" s="54" t="s">
        <v>1958</v>
      </c>
      <c r="AA57" s="54"/>
      <c r="AB57" s="54" t="s">
        <v>1962</v>
      </c>
      <c r="AC57" s="56" t="b">
        <v>0</v>
      </c>
      <c r="AD57" s="56" t="b">
        <v>0</v>
      </c>
      <c r="AE57" s="54" t="s">
        <v>302</v>
      </c>
      <c r="AF57" s="58">
        <v>46245</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7.5819999999999999E-2</v>
      </c>
      <c r="BC57" s="60">
        <v>4.9000000000000004</v>
      </c>
      <c r="BD57" s="61">
        <v>5.1461E-2</v>
      </c>
      <c r="BE57" s="62" t="s">
        <v>293</v>
      </c>
      <c r="BF57" s="35">
        <f t="shared" si="155"/>
        <v>4.9000000000000004</v>
      </c>
      <c r="BG57" s="35">
        <f t="shared" si="155"/>
        <v>4.9811000000000001E-2</v>
      </c>
      <c r="BH57" s="35" t="str">
        <f t="shared" si="156"/>
        <v>Low</v>
      </c>
      <c r="BI57" s="110">
        <f t="shared" si="157"/>
        <v>0</v>
      </c>
      <c r="BJ57" s="83" t="str">
        <f>VLOOKUP($F57,REP_Info!$D$6:$H$250,5,FALSE)</f>
        <v/>
      </c>
      <c r="BK57" s="30">
        <f t="shared" si="158"/>
        <v>13.543099999999999</v>
      </c>
      <c r="BL57" s="30">
        <f t="shared" si="158"/>
        <v>13.053100000000001</v>
      </c>
      <c r="BM57" s="30">
        <f t="shared" si="158"/>
        <v>12.808099999999998</v>
      </c>
      <c r="BN57" s="29">
        <f t="shared" si="158"/>
        <v>12.726433333333334</v>
      </c>
      <c r="BO57" s="85" t="str">
        <f t="shared" si="159"/>
        <v>$$$</v>
      </c>
      <c r="BP57" s="88" t="str">
        <f t="shared" si="160"/>
        <v>$$$</v>
      </c>
      <c r="BQ57" s="88" t="str">
        <f t="shared" si="161"/>
        <v>$$$</v>
      </c>
      <c r="BR57" s="88" t="str">
        <f t="shared" si="162"/>
        <v>$$$</v>
      </c>
      <c r="BS57" s="29" t="e">
        <f t="shared" si="163"/>
        <v>#N/A</v>
      </c>
      <c r="BT57" s="29" t="e">
        <f t="shared" si="163"/>
        <v>#N/A</v>
      </c>
      <c r="BU57" s="29" t="e">
        <f t="shared" si="163"/>
        <v>#N/A</v>
      </c>
      <c r="BV57" s="29" t="e">
        <f t="shared" si="163"/>
        <v>#N/A</v>
      </c>
      <c r="BW57" s="29" t="e">
        <f t="shared" si="163"/>
        <v>#N/A</v>
      </c>
      <c r="BX57" s="29" t="e">
        <f t="shared" si="163"/>
        <v>#N/A</v>
      </c>
      <c r="BY57" s="29" t="e">
        <f t="shared" si="163"/>
        <v>#N/A</v>
      </c>
      <c r="BZ57" s="29" t="e">
        <f t="shared" si="163"/>
        <v>#N/A</v>
      </c>
      <c r="CA57" s="29" t="e">
        <f t="shared" si="163"/>
        <v>#N/A</v>
      </c>
      <c r="CB57" s="29" t="e">
        <f t="shared" si="163"/>
        <v>#N/A</v>
      </c>
      <c r="CC57" s="29" t="e">
        <f t="shared" si="163"/>
        <v>#N/A</v>
      </c>
      <c r="CD57" s="29" t="e">
        <f t="shared" si="163"/>
        <v>#N/A</v>
      </c>
      <c r="CE57" s="6" t="str">
        <f t="shared" si="7"/>
        <v/>
      </c>
      <c r="CF57" s="27" t="e">
        <f>IF(AND(CI57,NOT(AD57)),LOOKUP(CF$5,{0,750,1500},H57:J57),"")</f>
        <v>#N/A</v>
      </c>
      <c r="CG57" s="6" t="str">
        <f t="shared" si="8"/>
        <v/>
      </c>
      <c r="CH57" t="e">
        <f t="shared" si="164"/>
        <v>#N/A</v>
      </c>
      <c r="CI57" t="e">
        <f t="shared" si="165"/>
        <v>#N/A</v>
      </c>
      <c r="CJ57" s="6" t="e">
        <f t="shared" si="166"/>
        <v>#N/A</v>
      </c>
      <c r="CK57" s="6">
        <f t="shared" si="167"/>
        <v>1</v>
      </c>
      <c r="CL57" s="6">
        <f t="shared" si="168"/>
        <v>1</v>
      </c>
      <c r="CM57" s="6">
        <f t="shared" si="169"/>
        <v>1</v>
      </c>
      <c r="CN57" s="6">
        <f t="shared" si="170"/>
        <v>1</v>
      </c>
      <c r="CO57" s="6">
        <f t="shared" si="171"/>
        <v>1</v>
      </c>
      <c r="CP57" s="6">
        <f t="shared" si="172"/>
        <v>1</v>
      </c>
      <c r="CQ57" s="6">
        <f t="shared" si="173"/>
        <v>1</v>
      </c>
      <c r="CR57" s="81" t="str">
        <f t="shared" si="174"/>
        <v/>
      </c>
      <c r="CS57">
        <f t="shared" si="175"/>
        <v>0</v>
      </c>
      <c r="CT57">
        <f t="shared" si="19"/>
        <v>120</v>
      </c>
      <c r="CU57" t="str">
        <f t="shared" si="176"/>
        <v/>
      </c>
      <c r="CV57" s="81">
        <f t="shared" si="177"/>
        <v>120</v>
      </c>
      <c r="CW57" s="81">
        <f>(CV57/25)^1.5*(Calculator!$BU$4/10000)*CW$5</f>
        <v>27.154131879733114</v>
      </c>
      <c r="CX57" t="str">
        <f t="shared" si="178"/>
        <v>$120</v>
      </c>
    </row>
    <row r="58" spans="2:102" x14ac:dyDescent="0.25">
      <c r="B58" s="115" t="s">
        <v>233</v>
      </c>
      <c r="C58" s="13">
        <v>46246.298611111109</v>
      </c>
      <c r="D58">
        <v>35094</v>
      </c>
      <c r="E58" s="54" t="s">
        <v>237</v>
      </c>
      <c r="F58" s="54" t="s">
        <v>392</v>
      </c>
      <c r="G58" s="54" t="s">
        <v>1957</v>
      </c>
      <c r="H58" s="55">
        <v>14.399999999999999</v>
      </c>
      <c r="I58" s="55">
        <v>14.000000000000002</v>
      </c>
      <c r="J58" s="55">
        <v>13.8</v>
      </c>
      <c r="K58" s="54"/>
      <c r="L58" s="56" t="b">
        <v>0</v>
      </c>
      <c r="M58" s="56" t="b">
        <v>0</v>
      </c>
      <c r="N58" s="54">
        <v>1</v>
      </c>
      <c r="O58" s="54" t="s">
        <v>228</v>
      </c>
      <c r="P58" s="54">
        <v>100</v>
      </c>
      <c r="Q58" s="54">
        <v>12</v>
      </c>
      <c r="R58" s="54">
        <v>120</v>
      </c>
      <c r="S58" s="54" t="s">
        <v>1958</v>
      </c>
      <c r="T58" s="54" t="s">
        <v>1963</v>
      </c>
      <c r="U58" s="54" t="s">
        <v>1949</v>
      </c>
      <c r="V58" s="54" t="s">
        <v>1949</v>
      </c>
      <c r="W58" s="54" t="b">
        <v>1</v>
      </c>
      <c r="X58" s="54"/>
      <c r="Y58" s="57" t="s">
        <v>1964</v>
      </c>
      <c r="Z58" s="54" t="s">
        <v>1958</v>
      </c>
      <c r="AA58" s="54"/>
      <c r="AB58" s="54" t="s">
        <v>1962</v>
      </c>
      <c r="AC58" s="56" t="b">
        <v>0</v>
      </c>
      <c r="AD58" s="56" t="b">
        <v>0</v>
      </c>
      <c r="AE58" s="54" t="s">
        <v>302</v>
      </c>
      <c r="AF58" s="58">
        <v>46245</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7.5520000000000004E-2</v>
      </c>
      <c r="BC58" s="60">
        <v>4.0599999999999996</v>
      </c>
      <c r="BD58" s="61">
        <v>6.0295000000000001E-2</v>
      </c>
      <c r="BE58" s="62" t="s">
        <v>293</v>
      </c>
      <c r="BF58" s="35">
        <f t="shared" si="155"/>
        <v>4.0600000000000005</v>
      </c>
      <c r="BG58" s="35">
        <f t="shared" si="155"/>
        <v>6.0295000000000001E-2</v>
      </c>
      <c r="BH58" s="35" t="str">
        <f t="shared" si="156"/>
        <v>Low</v>
      </c>
      <c r="BI58" s="110">
        <f t="shared" si="157"/>
        <v>0</v>
      </c>
      <c r="BJ58" s="83" t="str">
        <f>VLOOKUP($F58,REP_Info!$D$6:$H$250,5,FALSE)</f>
        <v/>
      </c>
      <c r="BK58" s="30">
        <f t="shared" si="158"/>
        <v>14.3935</v>
      </c>
      <c r="BL58" s="30">
        <f t="shared" si="158"/>
        <v>13.987500000000001</v>
      </c>
      <c r="BM58" s="30">
        <f t="shared" si="158"/>
        <v>13.784500000000003</v>
      </c>
      <c r="BN58" s="29">
        <f t="shared" si="158"/>
        <v>13.716833333333334</v>
      </c>
      <c r="BO58" s="85" t="str">
        <f t="shared" si="159"/>
        <v>$$$</v>
      </c>
      <c r="BP58" s="88" t="str">
        <f t="shared" si="160"/>
        <v>$$$</v>
      </c>
      <c r="BQ58" s="88" t="str">
        <f t="shared" si="161"/>
        <v>$$$</v>
      </c>
      <c r="BR58" s="88" t="str">
        <f t="shared" si="162"/>
        <v>$$$</v>
      </c>
      <c r="BS58" s="29" t="e">
        <f t="shared" si="163"/>
        <v>#N/A</v>
      </c>
      <c r="BT58" s="29" t="e">
        <f t="shared" si="163"/>
        <v>#N/A</v>
      </c>
      <c r="BU58" s="29" t="e">
        <f t="shared" si="163"/>
        <v>#N/A</v>
      </c>
      <c r="BV58" s="29" t="e">
        <f t="shared" si="163"/>
        <v>#N/A</v>
      </c>
      <c r="BW58" s="29" t="e">
        <f t="shared" si="163"/>
        <v>#N/A</v>
      </c>
      <c r="BX58" s="29" t="e">
        <f t="shared" si="163"/>
        <v>#N/A</v>
      </c>
      <c r="BY58" s="29" t="e">
        <f t="shared" si="163"/>
        <v>#N/A</v>
      </c>
      <c r="BZ58" s="29" t="e">
        <f t="shared" si="163"/>
        <v>#N/A</v>
      </c>
      <c r="CA58" s="29" t="e">
        <f t="shared" si="163"/>
        <v>#N/A</v>
      </c>
      <c r="CB58" s="29" t="e">
        <f t="shared" si="163"/>
        <v>#N/A</v>
      </c>
      <c r="CC58" s="29" t="e">
        <f t="shared" si="163"/>
        <v>#N/A</v>
      </c>
      <c r="CD58" s="29" t="e">
        <f t="shared" si="163"/>
        <v>#N/A</v>
      </c>
      <c r="CE58" s="6" t="str">
        <f t="shared" si="7"/>
        <v/>
      </c>
      <c r="CF58" s="27" t="e">
        <f>IF(AND(CI58,NOT(AD58)),LOOKUP(CF$5,{0,750,1500},H58:J58),"")</f>
        <v>#N/A</v>
      </c>
      <c r="CG58" s="6" t="str">
        <f t="shared" si="8"/>
        <v/>
      </c>
      <c r="CH58" t="e">
        <f t="shared" si="164"/>
        <v>#N/A</v>
      </c>
      <c r="CI58" t="e">
        <f t="shared" si="165"/>
        <v>#N/A</v>
      </c>
      <c r="CJ58" s="6" t="e">
        <f t="shared" si="166"/>
        <v>#N/A</v>
      </c>
      <c r="CK58" s="6">
        <f t="shared" si="167"/>
        <v>1</v>
      </c>
      <c r="CL58" s="6">
        <f t="shared" si="168"/>
        <v>1</v>
      </c>
      <c r="CM58" s="6">
        <f t="shared" si="169"/>
        <v>1</v>
      </c>
      <c r="CN58" s="6">
        <f t="shared" si="170"/>
        <v>1</v>
      </c>
      <c r="CO58" s="6">
        <f t="shared" si="171"/>
        <v>1</v>
      </c>
      <c r="CP58" s="6">
        <f t="shared" si="172"/>
        <v>1</v>
      </c>
      <c r="CQ58" s="6">
        <f t="shared" si="173"/>
        <v>1</v>
      </c>
      <c r="CR58" s="81" t="str">
        <f t="shared" si="174"/>
        <v/>
      </c>
      <c r="CS58">
        <f t="shared" si="175"/>
        <v>0</v>
      </c>
      <c r="CT58">
        <f t="shared" si="19"/>
        <v>120</v>
      </c>
      <c r="CU58" t="str">
        <f t="shared" si="176"/>
        <v/>
      </c>
      <c r="CV58" s="81">
        <f t="shared" si="177"/>
        <v>120</v>
      </c>
      <c r="CW58" s="81">
        <f>(CV58/25)^1.5*(Calculator!$BU$4/10000)*CW$5</f>
        <v>27.154131879733114</v>
      </c>
      <c r="CX58" t="str">
        <f t="shared" si="178"/>
        <v>$120</v>
      </c>
    </row>
    <row r="59" spans="2:102" x14ac:dyDescent="0.25">
      <c r="B59" s="115" t="s">
        <v>233</v>
      </c>
      <c r="C59" s="13">
        <v>46256.21597222222</v>
      </c>
      <c r="D59">
        <v>34369</v>
      </c>
      <c r="E59" s="54" t="s">
        <v>235</v>
      </c>
      <c r="F59" s="54" t="s">
        <v>393</v>
      </c>
      <c r="G59" s="54" t="s">
        <v>394</v>
      </c>
      <c r="H59" s="55">
        <v>11.5</v>
      </c>
      <c r="I59" s="55">
        <v>11</v>
      </c>
      <c r="J59" s="55">
        <v>10.8</v>
      </c>
      <c r="K59" s="54"/>
      <c r="L59" s="56" t="b">
        <v>0</v>
      </c>
      <c r="M59" s="56" t="b">
        <v>0</v>
      </c>
      <c r="N59" s="54">
        <v>1</v>
      </c>
      <c r="O59" s="54" t="s">
        <v>228</v>
      </c>
      <c r="P59" s="54">
        <v>24</v>
      </c>
      <c r="Q59" s="54">
        <v>12</v>
      </c>
      <c r="R59" s="54">
        <v>100</v>
      </c>
      <c r="S59" s="54" t="s">
        <v>395</v>
      </c>
      <c r="T59" s="54" t="s">
        <v>396</v>
      </c>
      <c r="U59" s="54" t="s">
        <v>2308</v>
      </c>
      <c r="V59" s="54" t="s">
        <v>2320</v>
      </c>
      <c r="W59" s="54" t="b">
        <v>0</v>
      </c>
      <c r="X59" s="54"/>
      <c r="Y59" s="57" t="s">
        <v>2321</v>
      </c>
      <c r="Z59" s="54" t="s">
        <v>1585</v>
      </c>
      <c r="AA59" s="54"/>
      <c r="AB59" s="54" t="s">
        <v>397</v>
      </c>
      <c r="AC59" s="56" t="b">
        <v>1</v>
      </c>
      <c r="AD59" s="56" t="b">
        <v>0</v>
      </c>
      <c r="AE59" s="54" t="s">
        <v>302</v>
      </c>
      <c r="AF59" s="58">
        <v>46255</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5.4080000000000003E-2</v>
      </c>
      <c r="BC59" s="60">
        <v>4.9000000000000004</v>
      </c>
      <c r="BD59" s="61">
        <v>5.1461E-2</v>
      </c>
      <c r="BE59" s="62" t="s">
        <v>293</v>
      </c>
      <c r="BF59" s="35">
        <f t="shared" si="155"/>
        <v>4.9000000000000004</v>
      </c>
      <c r="BG59" s="35">
        <f t="shared" si="155"/>
        <v>4.9811000000000001E-2</v>
      </c>
      <c r="BH59" s="35" t="str">
        <f t="shared" si="156"/>
        <v>Low</v>
      </c>
      <c r="BI59" s="110">
        <f t="shared" si="157"/>
        <v>0</v>
      </c>
      <c r="BJ59" s="83">
        <f>VLOOKUP($F59,REP_Info!$D$6:$H$250,5,FALSE)</f>
        <v>1.9810000000000001</v>
      </c>
      <c r="BK59" s="30">
        <f t="shared" si="158"/>
        <v>11.3691</v>
      </c>
      <c r="BL59" s="30">
        <f t="shared" si="158"/>
        <v>10.879100000000001</v>
      </c>
      <c r="BM59" s="30">
        <f t="shared" si="158"/>
        <v>10.6341</v>
      </c>
      <c r="BN59" s="29">
        <f t="shared" si="158"/>
        <v>10.552433333333333</v>
      </c>
      <c r="BO59" s="85" t="str">
        <f t="shared" si="159"/>
        <v>$$$</v>
      </c>
      <c r="BP59" s="88" t="str">
        <f t="shared" si="160"/>
        <v>$$$</v>
      </c>
      <c r="BQ59" s="88" t="str">
        <f t="shared" si="161"/>
        <v>$$$</v>
      </c>
      <c r="BR59" s="88" t="str">
        <f t="shared" si="162"/>
        <v>$$$</v>
      </c>
      <c r="BS59" s="29" t="e">
        <f t="shared" si="163"/>
        <v>#N/A</v>
      </c>
      <c r="BT59" s="29" t="e">
        <f t="shared" si="163"/>
        <v>#N/A</v>
      </c>
      <c r="BU59" s="29" t="e">
        <f t="shared" si="163"/>
        <v>#N/A</v>
      </c>
      <c r="BV59" s="29" t="e">
        <f t="shared" si="163"/>
        <v>#N/A</v>
      </c>
      <c r="BW59" s="29" t="e">
        <f t="shared" si="163"/>
        <v>#N/A</v>
      </c>
      <c r="BX59" s="29" t="e">
        <f t="shared" si="163"/>
        <v>#N/A</v>
      </c>
      <c r="BY59" s="29" t="e">
        <f t="shared" si="163"/>
        <v>#N/A</v>
      </c>
      <c r="BZ59" s="29" t="e">
        <f t="shared" si="163"/>
        <v>#N/A</v>
      </c>
      <c r="CA59" s="29" t="e">
        <f t="shared" si="163"/>
        <v>#N/A</v>
      </c>
      <c r="CB59" s="29" t="e">
        <f t="shared" si="163"/>
        <v>#N/A</v>
      </c>
      <c r="CC59" s="29" t="e">
        <f t="shared" si="163"/>
        <v>#N/A</v>
      </c>
      <c r="CD59" s="29" t="e">
        <f t="shared" si="163"/>
        <v>#N/A</v>
      </c>
      <c r="CE59" s="6" t="str">
        <f t="shared" si="7"/>
        <v/>
      </c>
      <c r="CF59" s="27" t="e">
        <f>IF(AND(CI59,NOT(AD59)),LOOKUP(CF$5,{0,750,1500},H59:J59),"")</f>
        <v>#N/A</v>
      </c>
      <c r="CG59" s="6" t="str">
        <f t="shared" si="8"/>
        <v/>
      </c>
      <c r="CH59" t="e">
        <f t="shared" si="164"/>
        <v>#N/A</v>
      </c>
      <c r="CI59" t="e">
        <f t="shared" si="165"/>
        <v>#N/A</v>
      </c>
      <c r="CJ59" s="6" t="e">
        <f t="shared" si="166"/>
        <v>#N/A</v>
      </c>
      <c r="CK59" s="6">
        <f t="shared" si="167"/>
        <v>1</v>
      </c>
      <c r="CL59" s="6">
        <f t="shared" si="168"/>
        <v>1</v>
      </c>
      <c r="CM59" s="6">
        <f t="shared" si="169"/>
        <v>1</v>
      </c>
      <c r="CN59" s="6">
        <f t="shared" si="170"/>
        <v>1</v>
      </c>
      <c r="CO59" s="6">
        <f t="shared" si="171"/>
        <v>1</v>
      </c>
      <c r="CP59" s="6">
        <f t="shared" si="172"/>
        <v>1</v>
      </c>
      <c r="CQ59" s="6">
        <f t="shared" si="173"/>
        <v>1</v>
      </c>
      <c r="CR59" s="81" t="str">
        <f t="shared" si="174"/>
        <v/>
      </c>
      <c r="CS59">
        <f t="shared" si="175"/>
        <v>0</v>
      </c>
      <c r="CT59">
        <f t="shared" si="19"/>
        <v>100</v>
      </c>
      <c r="CU59" t="str">
        <f t="shared" si="176"/>
        <v/>
      </c>
      <c r="CV59" s="81">
        <f t="shared" si="177"/>
        <v>100</v>
      </c>
      <c r="CW59" s="81">
        <f>(CV59/25)^1.5*(Calculator!$BU$4/10000)*CW$5</f>
        <v>20.656847999999979</v>
      </c>
      <c r="CX59" t="str">
        <f t="shared" si="178"/>
        <v>$100</v>
      </c>
    </row>
    <row r="60" spans="2:102" x14ac:dyDescent="0.25">
      <c r="B60" s="115" t="s">
        <v>233</v>
      </c>
      <c r="C60" s="13">
        <v>46256.21597222222</v>
      </c>
      <c r="D60">
        <v>34387</v>
      </c>
      <c r="E60" s="54" t="s">
        <v>235</v>
      </c>
      <c r="F60" s="54" t="s">
        <v>393</v>
      </c>
      <c r="G60" s="54" t="s">
        <v>398</v>
      </c>
      <c r="H60" s="55">
        <v>12</v>
      </c>
      <c r="I60" s="55">
        <v>11.5</v>
      </c>
      <c r="J60" s="55">
        <v>11.3</v>
      </c>
      <c r="K60" s="54"/>
      <c r="L60" s="56" t="b">
        <v>0</v>
      </c>
      <c r="M60" s="56" t="b">
        <v>0</v>
      </c>
      <c r="N60" s="54">
        <v>1</v>
      </c>
      <c r="O60" s="54" t="s">
        <v>228</v>
      </c>
      <c r="P60" s="54">
        <v>24</v>
      </c>
      <c r="Q60" s="54">
        <v>24</v>
      </c>
      <c r="R60" s="54">
        <v>175</v>
      </c>
      <c r="S60" s="54" t="s">
        <v>395</v>
      </c>
      <c r="T60" s="54" t="s">
        <v>396</v>
      </c>
      <c r="U60" s="54" t="s">
        <v>2309</v>
      </c>
      <c r="V60" s="54" t="s">
        <v>2322</v>
      </c>
      <c r="W60" s="54" t="b">
        <v>0</v>
      </c>
      <c r="X60" s="54"/>
      <c r="Y60" s="57" t="s">
        <v>2323</v>
      </c>
      <c r="Z60" s="54" t="s">
        <v>399</v>
      </c>
      <c r="AA60" s="54"/>
      <c r="AB60" s="54" t="s">
        <v>397</v>
      </c>
      <c r="AC60" s="56" t="b">
        <v>1</v>
      </c>
      <c r="AD60" s="56" t="b">
        <v>0</v>
      </c>
      <c r="AE60" s="54" t="s">
        <v>302</v>
      </c>
      <c r="AF60" s="58">
        <v>46255</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5.9080000000000001E-2</v>
      </c>
      <c r="BC60" s="60">
        <v>4.9000000000000004</v>
      </c>
      <c r="BD60" s="61">
        <v>5.1461E-2</v>
      </c>
      <c r="BE60" s="62" t="s">
        <v>293</v>
      </c>
      <c r="BF60" s="35">
        <f t="shared" si="155"/>
        <v>4.9000000000000004</v>
      </c>
      <c r="BG60" s="35">
        <f t="shared" si="155"/>
        <v>4.9811000000000001E-2</v>
      </c>
      <c r="BH60" s="35" t="str">
        <f t="shared" si="156"/>
        <v>Low</v>
      </c>
      <c r="BI60" s="110">
        <f t="shared" si="157"/>
        <v>0</v>
      </c>
      <c r="BJ60" s="83">
        <f>VLOOKUP($F60,REP_Info!$D$6:$H$250,5,FALSE)</f>
        <v>1.9810000000000001</v>
      </c>
      <c r="BK60" s="30">
        <f t="shared" si="158"/>
        <v>11.8691</v>
      </c>
      <c r="BL60" s="30">
        <f t="shared" si="158"/>
        <v>11.379100000000001</v>
      </c>
      <c r="BM60" s="30">
        <f t="shared" si="158"/>
        <v>11.1341</v>
      </c>
      <c r="BN60" s="29">
        <f t="shared" si="158"/>
        <v>11.052433333333331</v>
      </c>
      <c r="BO60" s="85" t="str">
        <f t="shared" si="159"/>
        <v>$$$</v>
      </c>
      <c r="BP60" s="88" t="str">
        <f t="shared" si="160"/>
        <v>$$$</v>
      </c>
      <c r="BQ60" s="88" t="str">
        <f t="shared" si="161"/>
        <v>$$$</v>
      </c>
      <c r="BR60" s="88" t="str">
        <f t="shared" si="162"/>
        <v>$$$</v>
      </c>
      <c r="BS60" s="29" t="e">
        <f t="shared" si="163"/>
        <v>#N/A</v>
      </c>
      <c r="BT60" s="29" t="e">
        <f t="shared" si="163"/>
        <v>#N/A</v>
      </c>
      <c r="BU60" s="29" t="e">
        <f t="shared" si="163"/>
        <v>#N/A</v>
      </c>
      <c r="BV60" s="29" t="e">
        <f t="shared" si="163"/>
        <v>#N/A</v>
      </c>
      <c r="BW60" s="29" t="e">
        <f t="shared" si="163"/>
        <v>#N/A</v>
      </c>
      <c r="BX60" s="29" t="e">
        <f t="shared" si="163"/>
        <v>#N/A</v>
      </c>
      <c r="BY60" s="29" t="e">
        <f t="shared" si="163"/>
        <v>#N/A</v>
      </c>
      <c r="BZ60" s="29" t="e">
        <f t="shared" si="163"/>
        <v>#N/A</v>
      </c>
      <c r="CA60" s="29" t="e">
        <f t="shared" si="163"/>
        <v>#N/A</v>
      </c>
      <c r="CB60" s="29" t="e">
        <f t="shared" si="163"/>
        <v>#N/A</v>
      </c>
      <c r="CC60" s="29" t="e">
        <f t="shared" si="163"/>
        <v>#N/A</v>
      </c>
      <c r="CD60" s="29" t="e">
        <f t="shared" si="163"/>
        <v>#N/A</v>
      </c>
      <c r="CE60" s="6" t="str">
        <f t="shared" si="7"/>
        <v/>
      </c>
      <c r="CF60" s="27" t="e">
        <f>IF(AND(CI60,NOT(AD60)),LOOKUP(CF$5,{0,750,1500},H60:J60),"")</f>
        <v>#N/A</v>
      </c>
      <c r="CG60" s="6" t="str">
        <f t="shared" si="8"/>
        <v/>
      </c>
      <c r="CH60" t="e">
        <f t="shared" si="164"/>
        <v>#N/A</v>
      </c>
      <c r="CI60" t="e">
        <f t="shared" si="165"/>
        <v>#N/A</v>
      </c>
      <c r="CJ60" s="6" t="e">
        <f t="shared" si="166"/>
        <v>#N/A</v>
      </c>
      <c r="CK60" s="6">
        <f t="shared" si="167"/>
        <v>1</v>
      </c>
      <c r="CL60" s="6">
        <f t="shared" si="168"/>
        <v>1</v>
      </c>
      <c r="CM60" s="6">
        <f t="shared" si="169"/>
        <v>1</v>
      </c>
      <c r="CN60" s="6">
        <f t="shared" si="170"/>
        <v>1</v>
      </c>
      <c r="CO60" s="6">
        <f t="shared" si="171"/>
        <v>0</v>
      </c>
      <c r="CP60" s="6">
        <f t="shared" si="172"/>
        <v>1</v>
      </c>
      <c r="CQ60" s="6">
        <f t="shared" si="173"/>
        <v>1</v>
      </c>
      <c r="CR60" s="81" t="str">
        <f t="shared" si="174"/>
        <v/>
      </c>
      <c r="CS60">
        <f t="shared" si="175"/>
        <v>0</v>
      </c>
      <c r="CT60">
        <f t="shared" si="19"/>
        <v>175</v>
      </c>
      <c r="CU60" t="str">
        <f t="shared" si="176"/>
        <v/>
      </c>
      <c r="CV60" s="81">
        <f t="shared" si="177"/>
        <v>175</v>
      </c>
      <c r="CW60" s="81">
        <f>(CV60/25)^1.5*(Calculator!$BU$4/10000)*CW$5</f>
        <v>47.821272343654172</v>
      </c>
      <c r="CX60" t="str">
        <f t="shared" si="178"/>
        <v>$175</v>
      </c>
    </row>
    <row r="61" spans="2:102" x14ac:dyDescent="0.25">
      <c r="B61" s="115" t="s">
        <v>233</v>
      </c>
      <c r="C61" s="13">
        <v>46256.21597222222</v>
      </c>
      <c r="D61">
        <v>34388</v>
      </c>
      <c r="E61" s="54" t="s">
        <v>235</v>
      </c>
      <c r="F61" s="54" t="s">
        <v>393</v>
      </c>
      <c r="G61" s="54" t="s">
        <v>400</v>
      </c>
      <c r="H61" s="55">
        <v>12.2</v>
      </c>
      <c r="I61" s="55">
        <v>11.700000000000001</v>
      </c>
      <c r="J61" s="55">
        <v>11.5</v>
      </c>
      <c r="K61" s="54"/>
      <c r="L61" s="56" t="b">
        <v>0</v>
      </c>
      <c r="M61" s="56" t="b">
        <v>0</v>
      </c>
      <c r="N61" s="54">
        <v>1</v>
      </c>
      <c r="O61" s="54" t="s">
        <v>228</v>
      </c>
      <c r="P61" s="54">
        <v>24</v>
      </c>
      <c r="Q61" s="54">
        <v>36</v>
      </c>
      <c r="R61" s="54">
        <v>250</v>
      </c>
      <c r="S61" s="54" t="s">
        <v>395</v>
      </c>
      <c r="T61" s="54" t="s">
        <v>396</v>
      </c>
      <c r="U61" s="54" t="s">
        <v>2310</v>
      </c>
      <c r="V61" s="54" t="s">
        <v>2324</v>
      </c>
      <c r="W61" s="54" t="b">
        <v>0</v>
      </c>
      <c r="X61" s="54"/>
      <c r="Y61" s="57" t="s">
        <v>2325</v>
      </c>
      <c r="Z61" s="54" t="s">
        <v>401</v>
      </c>
      <c r="AA61" s="54"/>
      <c r="AB61" s="54" t="s">
        <v>397</v>
      </c>
      <c r="AC61" s="56" t="b">
        <v>1</v>
      </c>
      <c r="AD61" s="56" t="b">
        <v>0</v>
      </c>
      <c r="AE61" s="54" t="s">
        <v>302</v>
      </c>
      <c r="AF61" s="58">
        <v>46255</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6.1080000000000002E-2</v>
      </c>
      <c r="BC61" s="60">
        <v>4.9000000000000004</v>
      </c>
      <c r="BD61" s="61">
        <v>5.1461E-2</v>
      </c>
      <c r="BE61" s="62" t="s">
        <v>293</v>
      </c>
      <c r="BF61" s="35">
        <f t="shared" si="155"/>
        <v>4.9000000000000004</v>
      </c>
      <c r="BG61" s="35">
        <f t="shared" si="155"/>
        <v>4.9811000000000001E-2</v>
      </c>
      <c r="BH61" s="35" t="str">
        <f t="shared" si="156"/>
        <v>Low</v>
      </c>
      <c r="BI61" s="110">
        <f t="shared" si="157"/>
        <v>0</v>
      </c>
      <c r="BJ61" s="83">
        <f>VLOOKUP($F61,REP_Info!$D$6:$H$250,5,FALSE)</f>
        <v>1.9810000000000001</v>
      </c>
      <c r="BK61" s="30">
        <f t="shared" si="158"/>
        <v>12.069100000000001</v>
      </c>
      <c r="BL61" s="30">
        <f t="shared" si="158"/>
        <v>11.5791</v>
      </c>
      <c r="BM61" s="30">
        <f t="shared" si="158"/>
        <v>11.334100000000001</v>
      </c>
      <c r="BN61" s="29">
        <f t="shared" si="158"/>
        <v>11.252433333333332</v>
      </c>
      <c r="BO61" s="85" t="str">
        <f t="shared" si="159"/>
        <v>$$$</v>
      </c>
      <c r="BP61" s="88" t="str">
        <f t="shared" si="160"/>
        <v>$$$</v>
      </c>
      <c r="BQ61" s="88" t="str">
        <f t="shared" si="161"/>
        <v>$$$</v>
      </c>
      <c r="BR61" s="88" t="str">
        <f t="shared" si="162"/>
        <v>$$$</v>
      </c>
      <c r="BS61" s="29" t="e">
        <f t="shared" si="163"/>
        <v>#N/A</v>
      </c>
      <c r="BT61" s="29" t="e">
        <f t="shared" si="163"/>
        <v>#N/A</v>
      </c>
      <c r="BU61" s="29" t="e">
        <f t="shared" si="163"/>
        <v>#N/A</v>
      </c>
      <c r="BV61" s="29" t="e">
        <f t="shared" si="163"/>
        <v>#N/A</v>
      </c>
      <c r="BW61" s="29" t="e">
        <f t="shared" si="163"/>
        <v>#N/A</v>
      </c>
      <c r="BX61" s="29" t="e">
        <f t="shared" si="163"/>
        <v>#N/A</v>
      </c>
      <c r="BY61" s="29" t="e">
        <f t="shared" si="163"/>
        <v>#N/A</v>
      </c>
      <c r="BZ61" s="29" t="e">
        <f t="shared" si="163"/>
        <v>#N/A</v>
      </c>
      <c r="CA61" s="29" t="e">
        <f t="shared" si="163"/>
        <v>#N/A</v>
      </c>
      <c r="CB61" s="29" t="e">
        <f t="shared" si="163"/>
        <v>#N/A</v>
      </c>
      <c r="CC61" s="29" t="e">
        <f t="shared" si="163"/>
        <v>#N/A</v>
      </c>
      <c r="CD61" s="29" t="e">
        <f t="shared" si="163"/>
        <v>#N/A</v>
      </c>
      <c r="CE61" s="6" t="str">
        <f t="shared" si="7"/>
        <v/>
      </c>
      <c r="CF61" s="27" t="e">
        <f>IF(AND(CI61,NOT(AD61)),LOOKUP(CF$5,{0,750,1500},H61:J61),"")</f>
        <v>#N/A</v>
      </c>
      <c r="CG61" s="6" t="str">
        <f t="shared" si="8"/>
        <v/>
      </c>
      <c r="CH61" t="e">
        <f t="shared" si="164"/>
        <v>#N/A</v>
      </c>
      <c r="CI61" t="e">
        <f t="shared" si="165"/>
        <v>#N/A</v>
      </c>
      <c r="CJ61" s="6" t="e">
        <f t="shared" si="166"/>
        <v>#N/A</v>
      </c>
      <c r="CK61" s="6">
        <f t="shared" si="167"/>
        <v>1</v>
      </c>
      <c r="CL61" s="6">
        <f t="shared" si="168"/>
        <v>1</v>
      </c>
      <c r="CM61" s="6">
        <f t="shared" si="169"/>
        <v>1</v>
      </c>
      <c r="CN61" s="6">
        <f t="shared" si="170"/>
        <v>1</v>
      </c>
      <c r="CO61" s="6">
        <f t="shared" si="171"/>
        <v>0</v>
      </c>
      <c r="CP61" s="6">
        <f t="shared" si="172"/>
        <v>1</v>
      </c>
      <c r="CQ61" s="6">
        <f t="shared" si="173"/>
        <v>1</v>
      </c>
      <c r="CR61" s="81" t="str">
        <f t="shared" si="174"/>
        <v/>
      </c>
      <c r="CS61">
        <f t="shared" si="175"/>
        <v>0</v>
      </c>
      <c r="CT61">
        <f t="shared" si="19"/>
        <v>250</v>
      </c>
      <c r="CU61" t="str">
        <f t="shared" si="176"/>
        <v/>
      </c>
      <c r="CV61" s="81">
        <f t="shared" si="177"/>
        <v>250</v>
      </c>
      <c r="CW61" s="81">
        <f>(CV61/25)^1.5*(Calculator!$BU$4/10000)*CW$5</f>
        <v>81.653361199867305</v>
      </c>
      <c r="CX61" t="str">
        <f t="shared" si="178"/>
        <v>$250</v>
      </c>
    </row>
    <row r="62" spans="2:102" x14ac:dyDescent="0.25">
      <c r="B62" s="115" t="s">
        <v>233</v>
      </c>
      <c r="C62" s="13">
        <v>46256.21597222222</v>
      </c>
      <c r="D62">
        <v>34389</v>
      </c>
      <c r="E62" s="54" t="s">
        <v>235</v>
      </c>
      <c r="F62" s="54" t="s">
        <v>393</v>
      </c>
      <c r="G62" s="54" t="s">
        <v>2056</v>
      </c>
      <c r="H62" s="55">
        <v>11.799999999999999</v>
      </c>
      <c r="I62" s="55">
        <v>11.3</v>
      </c>
      <c r="J62" s="55">
        <v>11.1</v>
      </c>
      <c r="K62" s="54"/>
      <c r="L62" s="56" t="b">
        <v>0</v>
      </c>
      <c r="M62" s="56" t="b">
        <v>0</v>
      </c>
      <c r="N62" s="54">
        <v>1</v>
      </c>
      <c r="O62" s="54" t="s">
        <v>228</v>
      </c>
      <c r="P62" s="54">
        <v>24</v>
      </c>
      <c r="Q62" s="54">
        <v>18</v>
      </c>
      <c r="R62" s="54">
        <v>125</v>
      </c>
      <c r="S62" s="54" t="s">
        <v>395</v>
      </c>
      <c r="T62" s="54"/>
      <c r="U62" s="54" t="s">
        <v>2311</v>
      </c>
      <c r="V62" s="54" t="s">
        <v>2326</v>
      </c>
      <c r="W62" s="54" t="b">
        <v>0</v>
      </c>
      <c r="X62" s="54"/>
      <c r="Y62" s="57" t="s">
        <v>2327</v>
      </c>
      <c r="Z62" s="54" t="s">
        <v>2057</v>
      </c>
      <c r="AA62" s="54"/>
      <c r="AB62" s="54" t="s">
        <v>397</v>
      </c>
      <c r="AC62" s="56" t="b">
        <v>1</v>
      </c>
      <c r="AD62" s="56" t="b">
        <v>0</v>
      </c>
      <c r="AE62" s="54" t="s">
        <v>302</v>
      </c>
      <c r="AF62" s="58">
        <v>46255</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5.7079999999999999E-2</v>
      </c>
      <c r="BC62" s="60">
        <v>4.9000000000000004</v>
      </c>
      <c r="BD62" s="61">
        <v>5.1461E-2</v>
      </c>
      <c r="BE62" s="62" t="s">
        <v>293</v>
      </c>
      <c r="BF62" s="35">
        <f t="shared" si="155"/>
        <v>4.9000000000000004</v>
      </c>
      <c r="BG62" s="35">
        <f t="shared" si="155"/>
        <v>4.9811000000000001E-2</v>
      </c>
      <c r="BH62" s="35" t="str">
        <f t="shared" si="156"/>
        <v>Low</v>
      </c>
      <c r="BI62" s="110">
        <f t="shared" si="157"/>
        <v>0</v>
      </c>
      <c r="BJ62" s="83">
        <f>VLOOKUP($F62,REP_Info!$D$6:$H$250,5,FALSE)</f>
        <v>1.9810000000000001</v>
      </c>
      <c r="BK62" s="30">
        <f t="shared" si="158"/>
        <v>11.6691</v>
      </c>
      <c r="BL62" s="30">
        <f t="shared" si="158"/>
        <v>11.1791</v>
      </c>
      <c r="BM62" s="30">
        <f t="shared" si="158"/>
        <v>10.934100000000001</v>
      </c>
      <c r="BN62" s="29">
        <f t="shared" si="158"/>
        <v>10.852433333333334</v>
      </c>
      <c r="BO62" s="85" t="str">
        <f t="shared" si="159"/>
        <v>$$$</v>
      </c>
      <c r="BP62" s="88" t="str">
        <f t="shared" si="160"/>
        <v>$$$</v>
      </c>
      <c r="BQ62" s="88" t="str">
        <f t="shared" si="161"/>
        <v>$$$</v>
      </c>
      <c r="BR62" s="88" t="str">
        <f t="shared" si="162"/>
        <v>$$$</v>
      </c>
      <c r="BS62" s="29" t="e">
        <f t="shared" si="163"/>
        <v>#N/A</v>
      </c>
      <c r="BT62" s="29" t="e">
        <f t="shared" si="163"/>
        <v>#N/A</v>
      </c>
      <c r="BU62" s="29" t="e">
        <f t="shared" si="163"/>
        <v>#N/A</v>
      </c>
      <c r="BV62" s="29" t="e">
        <f t="shared" ref="BS62:CD64" si="179">IF($CI62,IF(BV$7&gt;0,IF(BV$4&gt;$Q62,$BF62+BV$7*(BV$5+$BG62+$BI62),LOOKUP(BV$7,$AH62:$AL62,$AM62:$AQ62)+IF($AG62="Y",SUMPRODUCT($AX62:$BB62-$AW62:$BA62,BV$7-$AR62:$AV62,N(BV$7&gt;$AR62:$AV62)),BV$7*LOOKUP(BV$7,$AR62:$AV62,$AX62:$BB62))+IF($BE62="Y",$BF62,$BC62)+BV$7*IF($BE62="Y",$BG62,$BD62))*100/BV$7,""),NA())</f>
        <v>#N/A</v>
      </c>
      <c r="BW62" s="29" t="e">
        <f t="shared" si="179"/>
        <v>#N/A</v>
      </c>
      <c r="BX62" s="29" t="e">
        <f t="shared" si="179"/>
        <v>#N/A</v>
      </c>
      <c r="BY62" s="29" t="e">
        <f t="shared" si="179"/>
        <v>#N/A</v>
      </c>
      <c r="BZ62" s="29" t="e">
        <f t="shared" si="179"/>
        <v>#N/A</v>
      </c>
      <c r="CA62" s="29" t="e">
        <f t="shared" si="179"/>
        <v>#N/A</v>
      </c>
      <c r="CB62" s="29" t="e">
        <f t="shared" si="179"/>
        <v>#N/A</v>
      </c>
      <c r="CC62" s="29" t="e">
        <f t="shared" si="179"/>
        <v>#N/A</v>
      </c>
      <c r="CD62" s="29" t="e">
        <f t="shared" si="179"/>
        <v>#N/A</v>
      </c>
      <c r="CE62" s="6" t="str">
        <f t="shared" si="7"/>
        <v/>
      </c>
      <c r="CF62" s="27" t="e">
        <f>IF(AND(CI62,NOT(AD62)),LOOKUP(CF$5,{0,750,1500},H62:J62),"")</f>
        <v>#N/A</v>
      </c>
      <c r="CG62" s="6" t="str">
        <f t="shared" si="8"/>
        <v/>
      </c>
      <c r="CH62" t="e">
        <f t="shared" si="164"/>
        <v>#N/A</v>
      </c>
      <c r="CI62" t="e">
        <f t="shared" si="165"/>
        <v>#N/A</v>
      </c>
      <c r="CJ62" s="6" t="e">
        <f t="shared" si="166"/>
        <v>#N/A</v>
      </c>
      <c r="CK62" s="6">
        <f t="shared" si="167"/>
        <v>1</v>
      </c>
      <c r="CL62" s="6">
        <f t="shared" si="168"/>
        <v>1</v>
      </c>
      <c r="CM62" s="6">
        <f t="shared" si="169"/>
        <v>1</v>
      </c>
      <c r="CN62" s="6">
        <f t="shared" si="170"/>
        <v>1</v>
      </c>
      <c r="CO62" s="6">
        <f t="shared" si="171"/>
        <v>0</v>
      </c>
      <c r="CP62" s="6">
        <f t="shared" si="172"/>
        <v>1</v>
      </c>
      <c r="CQ62" s="6">
        <f t="shared" si="173"/>
        <v>1</v>
      </c>
      <c r="CR62" s="81" t="str">
        <f t="shared" si="174"/>
        <v/>
      </c>
      <c r="CS62">
        <f t="shared" si="175"/>
        <v>0</v>
      </c>
      <c r="CT62">
        <f t="shared" si="19"/>
        <v>125</v>
      </c>
      <c r="CU62" t="str">
        <f t="shared" si="176"/>
        <v/>
      </c>
      <c r="CV62" s="81">
        <f t="shared" si="177"/>
        <v>125</v>
      </c>
      <c r="CW62" s="81">
        <f>(CV62/25)^1.5*(Calculator!$BU$4/10000)*CW$5</f>
        <v>28.868822705550329</v>
      </c>
      <c r="CX62" t="str">
        <f t="shared" si="178"/>
        <v>$125</v>
      </c>
    </row>
    <row r="63" spans="2:102" x14ac:dyDescent="0.25">
      <c r="B63" s="115" t="s">
        <v>233</v>
      </c>
      <c r="C63" s="13">
        <v>46256.21597222222</v>
      </c>
      <c r="D63">
        <v>34396</v>
      </c>
      <c r="E63" s="54" t="s">
        <v>237</v>
      </c>
      <c r="F63" s="54" t="s">
        <v>393</v>
      </c>
      <c r="G63" s="54" t="s">
        <v>2056</v>
      </c>
      <c r="H63" s="55">
        <v>12.4</v>
      </c>
      <c r="I63" s="55">
        <v>12</v>
      </c>
      <c r="J63" s="55">
        <v>11.799999999999999</v>
      </c>
      <c r="K63" s="54"/>
      <c r="L63" s="56" t="b">
        <v>0</v>
      </c>
      <c r="M63" s="56" t="b">
        <v>0</v>
      </c>
      <c r="N63" s="54">
        <v>1</v>
      </c>
      <c r="O63" s="54" t="s">
        <v>228</v>
      </c>
      <c r="P63" s="54">
        <v>24</v>
      </c>
      <c r="Q63" s="54">
        <v>18</v>
      </c>
      <c r="R63" s="54">
        <v>125</v>
      </c>
      <c r="S63" s="54" t="s">
        <v>395</v>
      </c>
      <c r="T63" s="54"/>
      <c r="U63" s="54" t="s">
        <v>2312</v>
      </c>
      <c r="V63" s="54" t="s">
        <v>2328</v>
      </c>
      <c r="W63" s="54" t="b">
        <v>0</v>
      </c>
      <c r="X63" s="54"/>
      <c r="Y63" s="57" t="s">
        <v>2329</v>
      </c>
      <c r="Z63" s="54" t="s">
        <v>2058</v>
      </c>
      <c r="AA63" s="54"/>
      <c r="AB63" s="54" t="s">
        <v>397</v>
      </c>
      <c r="AC63" s="56" t="b">
        <v>1</v>
      </c>
      <c r="AD63" s="56" t="b">
        <v>0</v>
      </c>
      <c r="AE63" s="54" t="s">
        <v>302</v>
      </c>
      <c r="AF63" s="58">
        <v>46255</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5.602E-2</v>
      </c>
      <c r="BC63" s="60">
        <v>4.0599999999999996</v>
      </c>
      <c r="BD63" s="61">
        <v>6.0295000000000001E-2</v>
      </c>
      <c r="BE63" s="62" t="s">
        <v>293</v>
      </c>
      <c r="BF63" s="35">
        <f t="shared" si="155"/>
        <v>4.0600000000000005</v>
      </c>
      <c r="BG63" s="35">
        <f t="shared" si="155"/>
        <v>6.0295000000000001E-2</v>
      </c>
      <c r="BH63" s="35" t="str">
        <f t="shared" si="156"/>
        <v>Low</v>
      </c>
      <c r="BI63" s="110">
        <f t="shared" si="157"/>
        <v>0</v>
      </c>
      <c r="BJ63" s="83">
        <f>VLOOKUP($F63,REP_Info!$D$6:$H$250,5,FALSE)</f>
        <v>1.9810000000000001</v>
      </c>
      <c r="BK63" s="30">
        <f t="shared" si="158"/>
        <v>12.4435</v>
      </c>
      <c r="BL63" s="30">
        <f t="shared" si="158"/>
        <v>12.0375</v>
      </c>
      <c r="BM63" s="30">
        <f t="shared" si="158"/>
        <v>11.8345</v>
      </c>
      <c r="BN63" s="29">
        <f t="shared" si="158"/>
        <v>11.766833333333333</v>
      </c>
      <c r="BO63" s="85" t="str">
        <f t="shared" si="159"/>
        <v>$$$</v>
      </c>
      <c r="BP63" s="88" t="str">
        <f t="shared" si="160"/>
        <v>$$$</v>
      </c>
      <c r="BQ63" s="88" t="str">
        <f t="shared" si="161"/>
        <v>$$$</v>
      </c>
      <c r="BR63" s="88" t="str">
        <f t="shared" si="162"/>
        <v>$$$</v>
      </c>
      <c r="BS63" s="29" t="e">
        <f t="shared" si="179"/>
        <v>#N/A</v>
      </c>
      <c r="BT63" s="29" t="e">
        <f t="shared" si="179"/>
        <v>#N/A</v>
      </c>
      <c r="BU63" s="29" t="e">
        <f t="shared" si="179"/>
        <v>#N/A</v>
      </c>
      <c r="BV63" s="29" t="e">
        <f t="shared" si="179"/>
        <v>#N/A</v>
      </c>
      <c r="BW63" s="29" t="e">
        <f t="shared" si="179"/>
        <v>#N/A</v>
      </c>
      <c r="BX63" s="29" t="e">
        <f t="shared" si="179"/>
        <v>#N/A</v>
      </c>
      <c r="BY63" s="29" t="e">
        <f t="shared" si="179"/>
        <v>#N/A</v>
      </c>
      <c r="BZ63" s="29" t="e">
        <f t="shared" si="179"/>
        <v>#N/A</v>
      </c>
      <c r="CA63" s="29" t="e">
        <f t="shared" si="179"/>
        <v>#N/A</v>
      </c>
      <c r="CB63" s="29" t="e">
        <f t="shared" si="179"/>
        <v>#N/A</v>
      </c>
      <c r="CC63" s="29" t="e">
        <f t="shared" si="179"/>
        <v>#N/A</v>
      </c>
      <c r="CD63" s="29" t="e">
        <f t="shared" si="179"/>
        <v>#N/A</v>
      </c>
      <c r="CE63" s="6" t="str">
        <f t="shared" si="7"/>
        <v/>
      </c>
      <c r="CF63" s="27" t="e">
        <f>IF(AND(CI63,NOT(AD63)),LOOKUP(CF$5,{0,750,1500},H63:J63),"")</f>
        <v>#N/A</v>
      </c>
      <c r="CG63" s="6" t="str">
        <f t="shared" si="8"/>
        <v/>
      </c>
      <c r="CH63" t="e">
        <f t="shared" si="164"/>
        <v>#N/A</v>
      </c>
      <c r="CI63" t="e">
        <f t="shared" si="165"/>
        <v>#N/A</v>
      </c>
      <c r="CJ63" s="6" t="e">
        <f t="shared" si="166"/>
        <v>#N/A</v>
      </c>
      <c r="CK63" s="6">
        <f t="shared" si="167"/>
        <v>1</v>
      </c>
      <c r="CL63" s="6">
        <f t="shared" si="168"/>
        <v>1</v>
      </c>
      <c r="CM63" s="6">
        <f t="shared" si="169"/>
        <v>1</v>
      </c>
      <c r="CN63" s="6">
        <f t="shared" si="170"/>
        <v>1</v>
      </c>
      <c r="CO63" s="6">
        <f t="shared" si="171"/>
        <v>0</v>
      </c>
      <c r="CP63" s="6">
        <f t="shared" si="172"/>
        <v>1</v>
      </c>
      <c r="CQ63" s="6">
        <f t="shared" si="173"/>
        <v>1</v>
      </c>
      <c r="CR63" s="81" t="str">
        <f t="shared" si="174"/>
        <v/>
      </c>
      <c r="CS63">
        <f t="shared" si="175"/>
        <v>0</v>
      </c>
      <c r="CT63">
        <f t="shared" si="19"/>
        <v>125</v>
      </c>
      <c r="CU63" t="str">
        <f t="shared" si="176"/>
        <v/>
      </c>
      <c r="CV63" s="81">
        <f t="shared" si="177"/>
        <v>125</v>
      </c>
      <c r="CW63" s="81">
        <f>(CV63/25)^1.5*(Calculator!$BU$4/10000)*CW$5</f>
        <v>28.868822705550329</v>
      </c>
      <c r="CX63" t="str">
        <f t="shared" si="178"/>
        <v>$125</v>
      </c>
    </row>
    <row r="64" spans="2:102" x14ac:dyDescent="0.25">
      <c r="B64" s="115" t="s">
        <v>233</v>
      </c>
      <c r="C64" s="13">
        <v>46256.21597222222</v>
      </c>
      <c r="D64">
        <v>34397</v>
      </c>
      <c r="E64" s="54" t="s">
        <v>237</v>
      </c>
      <c r="F64" s="54" t="s">
        <v>393</v>
      </c>
      <c r="G64" s="54" t="s">
        <v>400</v>
      </c>
      <c r="H64" s="55">
        <v>12.9</v>
      </c>
      <c r="I64" s="55">
        <v>12.5</v>
      </c>
      <c r="J64" s="55">
        <v>12.3</v>
      </c>
      <c r="K64" s="54"/>
      <c r="L64" s="56" t="b">
        <v>0</v>
      </c>
      <c r="M64" s="56" t="b">
        <v>0</v>
      </c>
      <c r="N64" s="54">
        <v>1</v>
      </c>
      <c r="O64" s="54" t="s">
        <v>228</v>
      </c>
      <c r="P64" s="54">
        <v>24</v>
      </c>
      <c r="Q64" s="54">
        <v>36</v>
      </c>
      <c r="R64" s="54">
        <v>250</v>
      </c>
      <c r="S64" s="54" t="s">
        <v>395</v>
      </c>
      <c r="T64" s="54" t="s">
        <v>396</v>
      </c>
      <c r="U64" s="54" t="s">
        <v>2313</v>
      </c>
      <c r="V64" s="54" t="s">
        <v>2330</v>
      </c>
      <c r="W64" s="54" t="b">
        <v>0</v>
      </c>
      <c r="X64" s="54"/>
      <c r="Y64" s="57" t="s">
        <v>2331</v>
      </c>
      <c r="Z64" s="54" t="s">
        <v>402</v>
      </c>
      <c r="AA64" s="54"/>
      <c r="AB64" s="54" t="s">
        <v>397</v>
      </c>
      <c r="AC64" s="56" t="b">
        <v>1</v>
      </c>
      <c r="AD64" s="56" t="b">
        <v>0</v>
      </c>
      <c r="AE64" s="54" t="s">
        <v>302</v>
      </c>
      <c r="AF64" s="58">
        <v>46255</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6.1019999999999998E-2</v>
      </c>
      <c r="BC64" s="60">
        <v>4.0599999999999996</v>
      </c>
      <c r="BD64" s="61">
        <v>6.0295000000000001E-2</v>
      </c>
      <c r="BE64" s="62" t="s">
        <v>293</v>
      </c>
      <c r="BF64" s="35">
        <f t="shared" si="155"/>
        <v>4.0600000000000005</v>
      </c>
      <c r="BG64" s="35">
        <f t="shared" si="155"/>
        <v>6.0295000000000001E-2</v>
      </c>
      <c r="BH64" s="35" t="str">
        <f t="shared" si="156"/>
        <v>Low</v>
      </c>
      <c r="BI64" s="110">
        <f t="shared" si="157"/>
        <v>0</v>
      </c>
      <c r="BJ64" s="83">
        <f>VLOOKUP($F64,REP_Info!$D$6:$H$250,5,FALSE)</f>
        <v>1.9810000000000001</v>
      </c>
      <c r="BK64" s="30">
        <f t="shared" si="158"/>
        <v>12.9435</v>
      </c>
      <c r="BL64" s="30">
        <f t="shared" si="158"/>
        <v>12.5375</v>
      </c>
      <c r="BM64" s="30">
        <f t="shared" si="158"/>
        <v>12.3345</v>
      </c>
      <c r="BN64" s="29">
        <f t="shared" si="158"/>
        <v>12.266833333333333</v>
      </c>
      <c r="BO64" s="85" t="str">
        <f t="shared" si="159"/>
        <v>$$$</v>
      </c>
      <c r="BP64" s="88" t="str">
        <f t="shared" si="160"/>
        <v>$$$</v>
      </c>
      <c r="BQ64" s="88" t="str">
        <f t="shared" si="161"/>
        <v>$$$</v>
      </c>
      <c r="BR64" s="88" t="str">
        <f t="shared" si="162"/>
        <v>$$$</v>
      </c>
      <c r="BS64" s="29" t="e">
        <f t="shared" si="179"/>
        <v>#N/A</v>
      </c>
      <c r="BT64" s="29" t="e">
        <f t="shared" si="179"/>
        <v>#N/A</v>
      </c>
      <c r="BU64" s="29" t="e">
        <f t="shared" si="179"/>
        <v>#N/A</v>
      </c>
      <c r="BV64" s="29" t="e">
        <f t="shared" si="179"/>
        <v>#N/A</v>
      </c>
      <c r="BW64" s="29" t="e">
        <f t="shared" si="179"/>
        <v>#N/A</v>
      </c>
      <c r="BX64" s="29" t="e">
        <f t="shared" si="179"/>
        <v>#N/A</v>
      </c>
      <c r="BY64" s="29" t="e">
        <f t="shared" si="179"/>
        <v>#N/A</v>
      </c>
      <c r="BZ64" s="29" t="e">
        <f t="shared" si="179"/>
        <v>#N/A</v>
      </c>
      <c r="CA64" s="29" t="e">
        <f t="shared" si="179"/>
        <v>#N/A</v>
      </c>
      <c r="CB64" s="29" t="e">
        <f t="shared" si="179"/>
        <v>#N/A</v>
      </c>
      <c r="CC64" s="29" t="e">
        <f t="shared" si="179"/>
        <v>#N/A</v>
      </c>
      <c r="CD64" s="29" t="e">
        <f t="shared" si="179"/>
        <v>#N/A</v>
      </c>
      <c r="CE64" s="6" t="str">
        <f t="shared" si="7"/>
        <v/>
      </c>
      <c r="CF64" s="27" t="e">
        <f>IF(AND(CI64,NOT(AD64)),LOOKUP(CF$5,{0,750,1500},H64:J64),"")</f>
        <v>#N/A</v>
      </c>
      <c r="CG64" s="6" t="str">
        <f t="shared" si="8"/>
        <v/>
      </c>
      <c r="CH64" t="e">
        <f t="shared" si="164"/>
        <v>#N/A</v>
      </c>
      <c r="CI64" t="e">
        <f t="shared" si="165"/>
        <v>#N/A</v>
      </c>
      <c r="CJ64" s="6" t="e">
        <f t="shared" si="166"/>
        <v>#N/A</v>
      </c>
      <c r="CK64" s="6">
        <f t="shared" si="167"/>
        <v>1</v>
      </c>
      <c r="CL64" s="6">
        <f t="shared" si="168"/>
        <v>1</v>
      </c>
      <c r="CM64" s="6">
        <f t="shared" si="169"/>
        <v>1</v>
      </c>
      <c r="CN64" s="6">
        <f t="shared" si="170"/>
        <v>1</v>
      </c>
      <c r="CO64" s="6">
        <f t="shared" si="171"/>
        <v>0</v>
      </c>
      <c r="CP64" s="6">
        <f t="shared" si="172"/>
        <v>1</v>
      </c>
      <c r="CQ64" s="6">
        <f t="shared" si="173"/>
        <v>1</v>
      </c>
      <c r="CR64" s="81" t="str">
        <f t="shared" si="174"/>
        <v/>
      </c>
      <c r="CS64">
        <f t="shared" si="175"/>
        <v>0</v>
      </c>
      <c r="CT64">
        <f t="shared" ref="CT64" si="180">IF(OR(LEFT($R64,2)="No",LEFT($R64,4)="Batt"),0,VALUE(IFERROR(LEFT($R64,FIND("/",$R64)-1),IFERROR(LEFT($R64,FIND(" ",$R64)-1),$R64))))</f>
        <v>250</v>
      </c>
      <c r="CU64" t="str">
        <f t="shared" si="176"/>
        <v/>
      </c>
      <c r="CV64" s="81">
        <f t="shared" si="177"/>
        <v>250</v>
      </c>
      <c r="CW64" s="81">
        <f>(CV64/25)^1.5*(Calculator!$BU$4/10000)*CW$5</f>
        <v>81.653361199867305</v>
      </c>
      <c r="CX64" t="str">
        <f t="shared" si="178"/>
        <v>$250</v>
      </c>
    </row>
    <row r="65" spans="2:102" x14ac:dyDescent="0.25">
      <c r="B65" s="115" t="s">
        <v>233</v>
      </c>
      <c r="C65" s="13">
        <v>46256.21597222222</v>
      </c>
      <c r="D65">
        <v>34398</v>
      </c>
      <c r="E65" s="54" t="s">
        <v>237</v>
      </c>
      <c r="F65" s="54" t="s">
        <v>393</v>
      </c>
      <c r="G65" s="54" t="s">
        <v>398</v>
      </c>
      <c r="H65" s="55">
        <v>12.6</v>
      </c>
      <c r="I65" s="55">
        <v>12.2</v>
      </c>
      <c r="J65" s="55">
        <v>12</v>
      </c>
      <c r="K65" s="54"/>
      <c r="L65" s="56" t="b">
        <v>0</v>
      </c>
      <c r="M65" s="56" t="b">
        <v>0</v>
      </c>
      <c r="N65" s="54">
        <v>1</v>
      </c>
      <c r="O65" s="54" t="s">
        <v>228</v>
      </c>
      <c r="P65" s="54">
        <v>24</v>
      </c>
      <c r="Q65" s="54">
        <v>24</v>
      </c>
      <c r="R65" s="54">
        <v>175</v>
      </c>
      <c r="S65" s="54" t="s">
        <v>395</v>
      </c>
      <c r="T65" s="54" t="s">
        <v>396</v>
      </c>
      <c r="U65" s="54" t="s">
        <v>2314</v>
      </c>
      <c r="V65" s="54" t="s">
        <v>2332</v>
      </c>
      <c r="W65" s="54" t="b">
        <v>0</v>
      </c>
      <c r="X65" s="54"/>
      <c r="Y65" s="57" t="s">
        <v>2333</v>
      </c>
      <c r="Z65" s="54" t="s">
        <v>403</v>
      </c>
      <c r="AA65" s="54"/>
      <c r="AB65" s="54" t="s">
        <v>397</v>
      </c>
      <c r="AC65" s="56" t="b">
        <v>1</v>
      </c>
      <c r="AD65" s="56" t="b">
        <v>0</v>
      </c>
      <c r="AE65" s="54" t="s">
        <v>302</v>
      </c>
      <c r="AF65" s="58">
        <v>46255</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5.8020000000000002E-2</v>
      </c>
      <c r="BC65" s="60">
        <v>4.0599999999999996</v>
      </c>
      <c r="BD65" s="61">
        <v>6.0295000000000001E-2</v>
      </c>
      <c r="BE65" s="62" t="s">
        <v>293</v>
      </c>
      <c r="BF65" s="35">
        <f t="shared" si="0"/>
        <v>4.0600000000000005</v>
      </c>
      <c r="BG65" s="35">
        <f t="shared" si="0"/>
        <v>6.0295000000000001E-2</v>
      </c>
      <c r="BH65" s="35" t="str">
        <f t="shared" ref="BH65:BH99" si="181">IF(ISTEXT(BE65),IF(AND(AV65=0,SUM(AN65:AQ65)=0),IF(AM65&lt;=0,IF(BE65="Y","Low","Flat"),"Med"),"High"),"?")</f>
        <v>Low</v>
      </c>
      <c r="BI65" s="110">
        <f t="shared" ref="BI65:BI99" si="182">IF(ISNUMBER(AH65),0*BI$5*SIN((EDATE($A$3,$Q65)-DATE(YEAR(EDATE($A$3,$Q65)),1,0)-BI$4)*2*PI()/365),"")</f>
        <v>0</v>
      </c>
      <c r="BJ65" s="83">
        <f>VLOOKUP($F65,REP_Info!$D$6:$H$250,5,FALSE)</f>
        <v>1.9810000000000001</v>
      </c>
      <c r="BK65" s="30">
        <f t="shared" ref="BK65:BN99" si="183">IF(BK$7&gt;0,(LOOKUP(BK$7,$AH65:$AL65,$AM65:$AQ65)+IF($AG65="Y",SUMPRODUCT($AX65:$BB65-$AW65:$BA65,BK$7-$AR65:$AV65,N(BK$7&gt;$AR65:$AV65)),BK$7*LOOKUP(BK$7,$AR65:$AV65,$AX65:$BB65))+IF($BE65="Y",$BF65,$BC65)+BK$7*IF($BE65="Y",$BG65,$BD65))*100/BK$7,"")</f>
        <v>12.6435</v>
      </c>
      <c r="BL65" s="30">
        <f t="shared" si="183"/>
        <v>12.237500000000001</v>
      </c>
      <c r="BM65" s="30">
        <f t="shared" si="183"/>
        <v>12.0345</v>
      </c>
      <c r="BN65" s="29">
        <f t="shared" si="183"/>
        <v>11.966833333333334</v>
      </c>
      <c r="BO65" s="85" t="str">
        <f t="shared" si="2"/>
        <v>$$$</v>
      </c>
      <c r="BP65" s="88" t="str">
        <f t="shared" ref="BP65:BP99" si="184">IFERROR(BO65*100/BO$5,"$$$")</f>
        <v>$$$</v>
      </c>
      <c r="BQ65" s="88" t="str">
        <f t="shared" si="4"/>
        <v>$$$</v>
      </c>
      <c r="BR65" s="88" t="str">
        <f t="shared" si="5"/>
        <v>$$$</v>
      </c>
      <c r="BS65" s="29" t="e">
        <f t="shared" ref="BS65:CD77" si="185">IF($CI65,IF(BS$7&gt;0,IF(BS$4&gt;$Q65,$BF65+BS$7*(BS$5+$BG65+$BI65),LOOKUP(BS$7,$AH65:$AL65,$AM65:$AQ65)+IF($AG65="Y",SUMPRODUCT($AX65:$BB65-$AW65:$BA65,BS$7-$AR65:$AV65,N(BS$7&gt;$AR65:$AV65)),BS$7*LOOKUP(BS$7,$AR65:$AV65,$AX65:$BB65))+IF($BE65="Y",$BF65,$BC65)+BS$7*IF($BE65="Y",$BG65,$BD65))*100/BS$7,""),NA())</f>
        <v>#N/A</v>
      </c>
      <c r="BT65" s="29" t="e">
        <f t="shared" si="185"/>
        <v>#N/A</v>
      </c>
      <c r="BU65" s="29" t="e">
        <f t="shared" si="185"/>
        <v>#N/A</v>
      </c>
      <c r="BV65" s="29" t="e">
        <f t="shared" si="185"/>
        <v>#N/A</v>
      </c>
      <c r="BW65" s="29" t="e">
        <f t="shared" si="185"/>
        <v>#N/A</v>
      </c>
      <c r="BX65" s="29" t="e">
        <f t="shared" si="185"/>
        <v>#N/A</v>
      </c>
      <c r="BY65" s="29" t="e">
        <f t="shared" si="185"/>
        <v>#N/A</v>
      </c>
      <c r="BZ65" s="29" t="e">
        <f t="shared" si="185"/>
        <v>#N/A</v>
      </c>
      <c r="CA65" s="29" t="e">
        <f t="shared" si="185"/>
        <v>#N/A</v>
      </c>
      <c r="CB65" s="29" t="e">
        <f t="shared" si="185"/>
        <v>#N/A</v>
      </c>
      <c r="CC65" s="29" t="e">
        <f t="shared" si="185"/>
        <v>#N/A</v>
      </c>
      <c r="CD65" s="29" t="e">
        <f t="shared" si="185"/>
        <v>#N/A</v>
      </c>
      <c r="CE65" s="6" t="str">
        <f t="shared" si="7"/>
        <v/>
      </c>
      <c r="CF65" s="27" t="e">
        <f>IF(AND(CI65,NOT(AD65)),LOOKUP(CF$5,{0,750,1500},H65:J65),"")</f>
        <v>#N/A</v>
      </c>
      <c r="CG65" s="6" t="str">
        <f t="shared" si="8"/>
        <v/>
      </c>
      <c r="CH65" t="e">
        <f t="shared" ref="CH65:CH99" si="186">IF(CI65,IF(ISNUMBER(BO65),BO65,100000)+CV65/10000+IF(ISNUMBER(BJ65),BJ65,2)/10000-P65/100000+ROW()/10000000,"")</f>
        <v>#N/A</v>
      </c>
      <c r="CI65" t="e">
        <f t="shared" ref="CI65:CI99" si="187">PRODUCT(CJ65:CQ65)</f>
        <v>#N/A</v>
      </c>
      <c r="CJ65" s="6" t="e">
        <f t="shared" si="11"/>
        <v>#N/A</v>
      </c>
      <c r="CK65" s="6">
        <f t="shared" si="12"/>
        <v>1</v>
      </c>
      <c r="CL65" s="6">
        <f t="shared" si="26"/>
        <v>1</v>
      </c>
      <c r="CM65" s="6">
        <f t="shared" si="13"/>
        <v>1</v>
      </c>
      <c r="CN65" s="6">
        <f t="shared" si="14"/>
        <v>1</v>
      </c>
      <c r="CO65" s="6">
        <f t="shared" si="15"/>
        <v>0</v>
      </c>
      <c r="CP65" s="6">
        <f t="shared" si="16"/>
        <v>1</v>
      </c>
      <c r="CQ65" s="6">
        <f t="shared" ref="CQ65:CQ99" si="188">IF(CQ$5="Any",1,IF(AND(CQ$5="Med",AV65=0,SUM(AN65:AQ65)=0),1,IF(AND(CQ$5="Low",AV65=0,SUM(AN65:AQ65)=0,AM65=0),1,IF(AND(CQ$5="Flat",AV65=0,SUM(AN65:AQ65)=0,AM65=0,IFERROR(NOT(BE65="Y"),0)),1,0))))</f>
        <v>1</v>
      </c>
      <c r="CR65" s="81" t="str">
        <f t="shared" si="17"/>
        <v/>
      </c>
      <c r="CS65">
        <f t="shared" ref="CS65:CS99" si="189">CS$5*(12/(MIN(12,Q65))-1)</f>
        <v>0</v>
      </c>
      <c r="CT65">
        <f t="shared" si="19"/>
        <v>175</v>
      </c>
      <c r="CU65" t="str">
        <f t="shared" si="29"/>
        <v/>
      </c>
      <c r="CV65" s="81">
        <f t="shared" ref="CV65:CV99" si="190">CT65*IF(CU65="",1,Q65)</f>
        <v>175</v>
      </c>
      <c r="CW65" s="81">
        <f>(CV65/25)^1.5*(Calculator!$BU$4/10000)*CW$5</f>
        <v>47.821272343654172</v>
      </c>
      <c r="CX65" t="str">
        <f t="shared" ref="CX65:CX99" si="191">"$"&amp;IF(LEFT(CU65,1)="r",CT65&amp;"/"&amp;CU65,CV65)</f>
        <v>$175</v>
      </c>
    </row>
    <row r="66" spans="2:102" x14ac:dyDescent="0.25">
      <c r="B66" s="115" t="s">
        <v>233</v>
      </c>
      <c r="C66" s="13">
        <v>46254.637499999997</v>
      </c>
      <c r="D66">
        <v>34399</v>
      </c>
      <c r="E66" s="54" t="s">
        <v>237</v>
      </c>
      <c r="F66" s="54" t="s">
        <v>393</v>
      </c>
      <c r="G66" s="54" t="s">
        <v>394</v>
      </c>
      <c r="H66" s="55">
        <v>12.2</v>
      </c>
      <c r="I66" s="55">
        <v>11.799999999999999</v>
      </c>
      <c r="J66" s="55">
        <v>11.600000000000001</v>
      </c>
      <c r="K66" s="54"/>
      <c r="L66" s="56" t="b">
        <v>0</v>
      </c>
      <c r="M66" s="56" t="b">
        <v>0</v>
      </c>
      <c r="N66" s="54">
        <v>1</v>
      </c>
      <c r="O66" s="54" t="s">
        <v>228</v>
      </c>
      <c r="P66" s="54">
        <v>24</v>
      </c>
      <c r="Q66" s="54">
        <v>12</v>
      </c>
      <c r="R66" s="54">
        <v>100</v>
      </c>
      <c r="S66" s="54" t="s">
        <v>395</v>
      </c>
      <c r="T66" s="54" t="s">
        <v>396</v>
      </c>
      <c r="U66" s="54" t="s">
        <v>2236</v>
      </c>
      <c r="V66" s="54" t="s">
        <v>2254</v>
      </c>
      <c r="W66" s="54" t="b">
        <v>0</v>
      </c>
      <c r="X66" s="54"/>
      <c r="Y66" s="57" t="s">
        <v>2255</v>
      </c>
      <c r="Z66" s="54" t="s">
        <v>404</v>
      </c>
      <c r="AA66" s="54"/>
      <c r="AB66" s="54" t="s">
        <v>397</v>
      </c>
      <c r="AC66" s="56" t="b">
        <v>1</v>
      </c>
      <c r="AD66" s="56" t="b">
        <v>0</v>
      </c>
      <c r="AE66" s="54" t="s">
        <v>302</v>
      </c>
      <c r="AF66" s="58">
        <v>46253</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5.4019999999999999E-2</v>
      </c>
      <c r="BC66" s="60">
        <v>4.0599999999999996</v>
      </c>
      <c r="BD66" s="61">
        <v>6.0295000000000001E-2</v>
      </c>
      <c r="BE66" s="62" t="s">
        <v>293</v>
      </c>
      <c r="BF66" s="35">
        <f t="shared" si="0"/>
        <v>4.0600000000000005</v>
      </c>
      <c r="BG66" s="35">
        <f t="shared" si="0"/>
        <v>6.0295000000000001E-2</v>
      </c>
      <c r="BH66" s="35" t="str">
        <f t="shared" si="181"/>
        <v>Low</v>
      </c>
      <c r="BI66" s="110">
        <f t="shared" si="182"/>
        <v>0</v>
      </c>
      <c r="BJ66" s="83">
        <f>VLOOKUP($F66,REP_Info!$D$6:$H$250,5,FALSE)</f>
        <v>1.9810000000000001</v>
      </c>
      <c r="BK66" s="30">
        <f t="shared" si="183"/>
        <v>12.243499999999999</v>
      </c>
      <c r="BL66" s="30">
        <f t="shared" si="183"/>
        <v>11.8375</v>
      </c>
      <c r="BM66" s="30">
        <f t="shared" si="183"/>
        <v>11.634499999999999</v>
      </c>
      <c r="BN66" s="29">
        <f t="shared" si="183"/>
        <v>11.566833333333333</v>
      </c>
      <c r="BO66" s="85" t="str">
        <f t="shared" si="2"/>
        <v>$$$</v>
      </c>
      <c r="BP66" s="88" t="str">
        <f t="shared" si="184"/>
        <v>$$$</v>
      </c>
      <c r="BQ66" s="88" t="str">
        <f t="shared" si="4"/>
        <v>$$$</v>
      </c>
      <c r="BR66" s="88" t="str">
        <f t="shared" si="5"/>
        <v>$$$</v>
      </c>
      <c r="BS66" s="29" t="e">
        <f t="shared" si="185"/>
        <v>#N/A</v>
      </c>
      <c r="BT66" s="29" t="e">
        <f t="shared" si="185"/>
        <v>#N/A</v>
      </c>
      <c r="BU66" s="29" t="e">
        <f t="shared" si="185"/>
        <v>#N/A</v>
      </c>
      <c r="BV66" s="29" t="e">
        <f t="shared" si="185"/>
        <v>#N/A</v>
      </c>
      <c r="BW66" s="29" t="e">
        <f t="shared" si="185"/>
        <v>#N/A</v>
      </c>
      <c r="BX66" s="29" t="e">
        <f t="shared" si="185"/>
        <v>#N/A</v>
      </c>
      <c r="BY66" s="29" t="e">
        <f t="shared" si="185"/>
        <v>#N/A</v>
      </c>
      <c r="BZ66" s="29" t="e">
        <f t="shared" si="185"/>
        <v>#N/A</v>
      </c>
      <c r="CA66" s="29" t="e">
        <f t="shared" si="185"/>
        <v>#N/A</v>
      </c>
      <c r="CB66" s="29" t="e">
        <f t="shared" si="185"/>
        <v>#N/A</v>
      </c>
      <c r="CC66" s="29" t="e">
        <f t="shared" si="185"/>
        <v>#N/A</v>
      </c>
      <c r="CD66" s="29" t="e">
        <f t="shared" si="185"/>
        <v>#N/A</v>
      </c>
      <c r="CE66" s="6" t="str">
        <f t="shared" si="7"/>
        <v/>
      </c>
      <c r="CF66" s="27" t="e">
        <f>IF(AND(CI66,NOT(AD66)),LOOKUP(CF$5,{0,750,1500},H66:J66),"")</f>
        <v>#N/A</v>
      </c>
      <c r="CG66" s="6" t="str">
        <f t="shared" si="8"/>
        <v/>
      </c>
      <c r="CH66" t="e">
        <f t="shared" si="186"/>
        <v>#N/A</v>
      </c>
      <c r="CI66" t="e">
        <f t="shared" si="187"/>
        <v>#N/A</v>
      </c>
      <c r="CJ66" s="6" t="e">
        <f t="shared" si="11"/>
        <v>#N/A</v>
      </c>
      <c r="CK66" s="6">
        <f t="shared" si="12"/>
        <v>1</v>
      </c>
      <c r="CL66" s="6">
        <f t="shared" si="26"/>
        <v>1</v>
      </c>
      <c r="CM66" s="6">
        <f t="shared" si="13"/>
        <v>1</v>
      </c>
      <c r="CN66" s="6">
        <f t="shared" si="14"/>
        <v>1</v>
      </c>
      <c r="CO66" s="6">
        <f t="shared" si="15"/>
        <v>1</v>
      </c>
      <c r="CP66" s="6">
        <f t="shared" si="16"/>
        <v>1</v>
      </c>
      <c r="CQ66" s="6">
        <f t="shared" si="188"/>
        <v>1</v>
      </c>
      <c r="CR66" s="81" t="str">
        <f t="shared" si="17"/>
        <v/>
      </c>
      <c r="CS66">
        <f t="shared" si="189"/>
        <v>0</v>
      </c>
      <c r="CT66">
        <f t="shared" si="19"/>
        <v>100</v>
      </c>
      <c r="CU66" t="str">
        <f t="shared" si="29"/>
        <v/>
      </c>
      <c r="CV66" s="81">
        <f t="shared" si="190"/>
        <v>100</v>
      </c>
      <c r="CW66" s="81">
        <f>(CV66/25)^1.5*(Calculator!$BU$4/10000)*CW$5</f>
        <v>20.656847999999979</v>
      </c>
      <c r="CX66" t="str">
        <f t="shared" si="191"/>
        <v>$100</v>
      </c>
    </row>
    <row r="67" spans="2:102" x14ac:dyDescent="0.25">
      <c r="B67" s="115" t="s">
        <v>233</v>
      </c>
      <c r="C67" s="13">
        <v>46254.637499999997</v>
      </c>
      <c r="D67">
        <v>37568</v>
      </c>
      <c r="E67" s="54" t="s">
        <v>237</v>
      </c>
      <c r="F67" s="54" t="s">
        <v>393</v>
      </c>
      <c r="G67" s="54" t="s">
        <v>2218</v>
      </c>
      <c r="H67" s="55">
        <v>11.899999999999999</v>
      </c>
      <c r="I67" s="55">
        <v>11.5</v>
      </c>
      <c r="J67" s="55">
        <v>11.3</v>
      </c>
      <c r="K67" s="54"/>
      <c r="L67" s="56" t="b">
        <v>0</v>
      </c>
      <c r="M67" s="56" t="b">
        <v>0</v>
      </c>
      <c r="N67" s="54">
        <v>1</v>
      </c>
      <c r="O67" s="54" t="s">
        <v>228</v>
      </c>
      <c r="P67" s="54">
        <v>24</v>
      </c>
      <c r="Q67" s="54">
        <v>10</v>
      </c>
      <c r="R67" s="54">
        <v>100</v>
      </c>
      <c r="S67" s="54" t="s">
        <v>395</v>
      </c>
      <c r="T67" s="54"/>
      <c r="U67" s="54" t="s">
        <v>2237</v>
      </c>
      <c r="V67" s="54" t="s">
        <v>2256</v>
      </c>
      <c r="W67" s="54" t="b">
        <v>0</v>
      </c>
      <c r="X67" s="54"/>
      <c r="Y67" s="57" t="s">
        <v>2257</v>
      </c>
      <c r="Z67" s="54" t="s">
        <v>2219</v>
      </c>
      <c r="AA67" s="54"/>
      <c r="AB67" s="54" t="s">
        <v>397</v>
      </c>
      <c r="AC67" s="56" t="b">
        <v>0</v>
      </c>
      <c r="AD67" s="56" t="b">
        <v>0</v>
      </c>
      <c r="AE67" s="54" t="s">
        <v>302</v>
      </c>
      <c r="AF67" s="58">
        <v>46253</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5.1020000000000003E-2</v>
      </c>
      <c r="BC67" s="60">
        <v>4.0599999999999996</v>
      </c>
      <c r="BD67" s="61">
        <v>6.0295000000000001E-2</v>
      </c>
      <c r="BE67" s="62" t="s">
        <v>293</v>
      </c>
      <c r="BF67" s="35">
        <f t="shared" si="0"/>
        <v>4.0600000000000005</v>
      </c>
      <c r="BG67" s="35">
        <f t="shared" si="0"/>
        <v>6.0295000000000001E-2</v>
      </c>
      <c r="BH67" s="35" t="str">
        <f t="shared" si="181"/>
        <v>Low</v>
      </c>
      <c r="BI67" s="110">
        <f t="shared" si="182"/>
        <v>0</v>
      </c>
      <c r="BJ67" s="83">
        <f>VLOOKUP($F67,REP_Info!$D$6:$H$250,5,FALSE)</f>
        <v>1.9810000000000001</v>
      </c>
      <c r="BK67" s="30">
        <f t="shared" si="183"/>
        <v>11.9435</v>
      </c>
      <c r="BL67" s="30">
        <f t="shared" si="183"/>
        <v>11.5375</v>
      </c>
      <c r="BM67" s="30">
        <f t="shared" si="183"/>
        <v>11.3345</v>
      </c>
      <c r="BN67" s="29">
        <f t="shared" si="183"/>
        <v>11.266833333333333</v>
      </c>
      <c r="BO67" s="85" t="str">
        <f t="shared" si="2"/>
        <v>$$$</v>
      </c>
      <c r="BP67" s="88" t="str">
        <f t="shared" si="184"/>
        <v>$$$</v>
      </c>
      <c r="BQ67" s="88" t="str">
        <f t="shared" si="4"/>
        <v>$$$</v>
      </c>
      <c r="BR67" s="88" t="str">
        <f t="shared" si="5"/>
        <v>$$$</v>
      </c>
      <c r="BS67" s="29" t="e">
        <f t="shared" si="185"/>
        <v>#N/A</v>
      </c>
      <c r="BT67" s="29" t="e">
        <f t="shared" si="185"/>
        <v>#N/A</v>
      </c>
      <c r="BU67" s="29" t="e">
        <f t="shared" si="185"/>
        <v>#N/A</v>
      </c>
      <c r="BV67" s="29" t="e">
        <f t="shared" si="185"/>
        <v>#N/A</v>
      </c>
      <c r="BW67" s="29" t="e">
        <f t="shared" si="185"/>
        <v>#N/A</v>
      </c>
      <c r="BX67" s="29" t="e">
        <f t="shared" si="185"/>
        <v>#N/A</v>
      </c>
      <c r="BY67" s="29" t="e">
        <f t="shared" si="185"/>
        <v>#N/A</v>
      </c>
      <c r="BZ67" s="29" t="e">
        <f t="shared" si="185"/>
        <v>#N/A</v>
      </c>
      <c r="CA67" s="29" t="e">
        <f t="shared" si="185"/>
        <v>#N/A</v>
      </c>
      <c r="CB67" s="29" t="e">
        <f t="shared" si="185"/>
        <v>#N/A</v>
      </c>
      <c r="CC67" s="29" t="e">
        <f t="shared" si="185"/>
        <v>#N/A</v>
      </c>
      <c r="CD67" s="29" t="e">
        <f t="shared" si="185"/>
        <v>#N/A</v>
      </c>
      <c r="CE67" s="6" t="str">
        <f t="shared" si="7"/>
        <v/>
      </c>
      <c r="CF67" s="27" t="e">
        <f>IF(AND(CI67,NOT(AD67)),LOOKUP(CF$5,{0,750,1500},H67:J67),"")</f>
        <v>#N/A</v>
      </c>
      <c r="CG67" s="6" t="str">
        <f t="shared" si="8"/>
        <v/>
      </c>
      <c r="CH67" t="e">
        <f t="shared" si="186"/>
        <v>#N/A</v>
      </c>
      <c r="CI67" t="e">
        <f t="shared" si="187"/>
        <v>#N/A</v>
      </c>
      <c r="CJ67" s="6" t="e">
        <f t="shared" si="11"/>
        <v>#N/A</v>
      </c>
      <c r="CK67" s="6">
        <f t="shared" si="12"/>
        <v>1</v>
      </c>
      <c r="CL67" s="6">
        <f t="shared" si="26"/>
        <v>1</v>
      </c>
      <c r="CM67" s="6">
        <f t="shared" si="13"/>
        <v>1</v>
      </c>
      <c r="CN67" s="6">
        <f t="shared" si="14"/>
        <v>0</v>
      </c>
      <c r="CO67" s="6">
        <f t="shared" si="15"/>
        <v>1</v>
      </c>
      <c r="CP67" s="6">
        <f t="shared" si="16"/>
        <v>1</v>
      </c>
      <c r="CQ67" s="6">
        <f t="shared" si="188"/>
        <v>1</v>
      </c>
      <c r="CR67" s="81" t="str">
        <f t="shared" si="17"/>
        <v/>
      </c>
      <c r="CS67">
        <f t="shared" si="189"/>
        <v>3.5999999999999992</v>
      </c>
      <c r="CT67">
        <f t="shared" si="19"/>
        <v>100</v>
      </c>
      <c r="CU67" t="str">
        <f t="shared" si="29"/>
        <v/>
      </c>
      <c r="CV67" s="81">
        <f t="shared" si="190"/>
        <v>100</v>
      </c>
      <c r="CW67" s="81">
        <f>(CV67/25)^1.5*(Calculator!$BU$4/10000)*CW$5</f>
        <v>20.656847999999979</v>
      </c>
      <c r="CX67" t="str">
        <f t="shared" si="191"/>
        <v>$100</v>
      </c>
    </row>
    <row r="68" spans="2:102" x14ac:dyDescent="0.25">
      <c r="B68" s="115" t="s">
        <v>233</v>
      </c>
      <c r="C68" s="13">
        <v>46254.637499999997</v>
      </c>
      <c r="D68">
        <v>37615</v>
      </c>
      <c r="E68" s="54" t="s">
        <v>235</v>
      </c>
      <c r="F68" s="54" t="s">
        <v>393</v>
      </c>
      <c r="G68" s="54" t="s">
        <v>2218</v>
      </c>
      <c r="H68" s="55">
        <v>11.200000000000001</v>
      </c>
      <c r="I68" s="55">
        <v>10.7</v>
      </c>
      <c r="J68" s="55">
        <v>10.5</v>
      </c>
      <c r="K68" s="54"/>
      <c r="L68" s="56" t="b">
        <v>0</v>
      </c>
      <c r="M68" s="56" t="b">
        <v>0</v>
      </c>
      <c r="N68" s="54">
        <v>1</v>
      </c>
      <c r="O68" s="54" t="s">
        <v>228</v>
      </c>
      <c r="P68" s="54">
        <v>24</v>
      </c>
      <c r="Q68" s="54">
        <v>10</v>
      </c>
      <c r="R68" s="54">
        <v>100</v>
      </c>
      <c r="S68" s="54" t="s">
        <v>395</v>
      </c>
      <c r="T68" s="54"/>
      <c r="U68" s="54" t="s">
        <v>2210</v>
      </c>
      <c r="V68" s="54" t="s">
        <v>2220</v>
      </c>
      <c r="W68" s="54" t="b">
        <v>0</v>
      </c>
      <c r="X68" s="54"/>
      <c r="Y68" s="57" t="s">
        <v>2221</v>
      </c>
      <c r="Z68" s="54" t="s">
        <v>2222</v>
      </c>
      <c r="AA68" s="54"/>
      <c r="AB68" s="54" t="s">
        <v>397</v>
      </c>
      <c r="AC68" s="56" t="b">
        <v>1</v>
      </c>
      <c r="AD68" s="56" t="b">
        <v>0</v>
      </c>
      <c r="AE68" s="54" t="s">
        <v>302</v>
      </c>
      <c r="AF68" s="58">
        <v>46253</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5.108E-2</v>
      </c>
      <c r="BC68" s="60">
        <v>4.9000000000000004</v>
      </c>
      <c r="BD68" s="61">
        <v>5.1461E-2</v>
      </c>
      <c r="BE68" s="62" t="s">
        <v>293</v>
      </c>
      <c r="BF68" s="35">
        <f t="shared" si="0"/>
        <v>4.9000000000000004</v>
      </c>
      <c r="BG68" s="35">
        <f t="shared" si="0"/>
        <v>4.9811000000000001E-2</v>
      </c>
      <c r="BH68" s="35" t="str">
        <f t="shared" si="181"/>
        <v>Low</v>
      </c>
      <c r="BI68" s="110">
        <f t="shared" si="182"/>
        <v>0</v>
      </c>
      <c r="BJ68" s="83">
        <f>VLOOKUP($F68,REP_Info!$D$6:$H$250,5,FALSE)</f>
        <v>1.9810000000000001</v>
      </c>
      <c r="BK68" s="30">
        <f t="shared" si="183"/>
        <v>11.069100000000001</v>
      </c>
      <c r="BL68" s="30">
        <f t="shared" si="183"/>
        <v>10.5791</v>
      </c>
      <c r="BM68" s="30">
        <f t="shared" si="183"/>
        <v>10.334100000000001</v>
      </c>
      <c r="BN68" s="29">
        <f t="shared" si="183"/>
        <v>10.252433333333332</v>
      </c>
      <c r="BO68" s="85" t="str">
        <f t="shared" si="2"/>
        <v>$$$</v>
      </c>
      <c r="BP68" s="88" t="str">
        <f t="shared" si="184"/>
        <v>$$$</v>
      </c>
      <c r="BQ68" s="88" t="str">
        <f t="shared" si="4"/>
        <v>$$$</v>
      </c>
      <c r="BR68" s="88" t="str">
        <f t="shared" si="5"/>
        <v>$$$</v>
      </c>
      <c r="BS68" s="29" t="e">
        <f t="shared" si="185"/>
        <v>#N/A</v>
      </c>
      <c r="BT68" s="29" t="e">
        <f t="shared" si="185"/>
        <v>#N/A</v>
      </c>
      <c r="BU68" s="29" t="e">
        <f t="shared" si="185"/>
        <v>#N/A</v>
      </c>
      <c r="BV68" s="29" t="e">
        <f t="shared" si="185"/>
        <v>#N/A</v>
      </c>
      <c r="BW68" s="29" t="e">
        <f t="shared" si="185"/>
        <v>#N/A</v>
      </c>
      <c r="BX68" s="29" t="e">
        <f t="shared" si="185"/>
        <v>#N/A</v>
      </c>
      <c r="BY68" s="29" t="e">
        <f t="shared" si="185"/>
        <v>#N/A</v>
      </c>
      <c r="BZ68" s="29" t="e">
        <f t="shared" si="185"/>
        <v>#N/A</v>
      </c>
      <c r="CA68" s="29" t="e">
        <f t="shared" si="185"/>
        <v>#N/A</v>
      </c>
      <c r="CB68" s="29" t="e">
        <f t="shared" si="185"/>
        <v>#N/A</v>
      </c>
      <c r="CC68" s="29" t="e">
        <f t="shared" si="185"/>
        <v>#N/A</v>
      </c>
      <c r="CD68" s="29" t="e">
        <f t="shared" si="185"/>
        <v>#N/A</v>
      </c>
      <c r="CE68" s="6" t="str">
        <f t="shared" si="7"/>
        <v/>
      </c>
      <c r="CF68" s="27" t="e">
        <f>IF(AND(CI68,NOT(AD68)),LOOKUP(CF$5,{0,750,1500},H68:J68),"")</f>
        <v>#N/A</v>
      </c>
      <c r="CG68" s="6" t="str">
        <f t="shared" si="8"/>
        <v/>
      </c>
      <c r="CH68" t="e">
        <f t="shared" si="186"/>
        <v>#N/A</v>
      </c>
      <c r="CI68" t="e">
        <f t="shared" si="187"/>
        <v>#N/A</v>
      </c>
      <c r="CJ68" s="6" t="e">
        <f t="shared" si="11"/>
        <v>#N/A</v>
      </c>
      <c r="CK68" s="6">
        <f t="shared" si="12"/>
        <v>1</v>
      </c>
      <c r="CL68" s="6">
        <f t="shared" si="26"/>
        <v>1</v>
      </c>
      <c r="CM68" s="6">
        <f t="shared" si="13"/>
        <v>1</v>
      </c>
      <c r="CN68" s="6">
        <f t="shared" si="14"/>
        <v>0</v>
      </c>
      <c r="CO68" s="6">
        <f t="shared" si="15"/>
        <v>1</v>
      </c>
      <c r="CP68" s="6">
        <f t="shared" si="16"/>
        <v>1</v>
      </c>
      <c r="CQ68" s="6">
        <f t="shared" si="188"/>
        <v>1</v>
      </c>
      <c r="CR68" s="81" t="str">
        <f t="shared" si="17"/>
        <v/>
      </c>
      <c r="CS68">
        <f t="shared" si="189"/>
        <v>3.5999999999999992</v>
      </c>
      <c r="CT68">
        <f t="shared" si="19"/>
        <v>100</v>
      </c>
      <c r="CU68" t="str">
        <f t="shared" si="29"/>
        <v/>
      </c>
      <c r="CV68" s="81">
        <f t="shared" si="190"/>
        <v>100</v>
      </c>
      <c r="CW68" s="81">
        <f>(CV68/25)^1.5*(Calculator!$BU$4/10000)*CW$5</f>
        <v>20.656847999999979</v>
      </c>
      <c r="CX68" t="str">
        <f t="shared" si="191"/>
        <v>$100</v>
      </c>
    </row>
    <row r="69" spans="2:102" x14ac:dyDescent="0.25">
      <c r="B69" s="115" t="s">
        <v>233</v>
      </c>
      <c r="C69" s="13">
        <v>46218.518055555556</v>
      </c>
      <c r="D69">
        <v>10615</v>
      </c>
      <c r="E69" s="54" t="s">
        <v>235</v>
      </c>
      <c r="F69" s="54" t="s">
        <v>405</v>
      </c>
      <c r="G69" s="54" t="s">
        <v>406</v>
      </c>
      <c r="H69" s="55">
        <v>13.3</v>
      </c>
      <c r="I69" s="55">
        <v>12.8</v>
      </c>
      <c r="J69" s="55">
        <v>12.6</v>
      </c>
      <c r="K69" s="54"/>
      <c r="L69" s="56" t="b">
        <v>0</v>
      </c>
      <c r="M69" s="56" t="b">
        <v>1</v>
      </c>
      <c r="N69" s="54">
        <v>1</v>
      </c>
      <c r="O69" s="54" t="s">
        <v>228</v>
      </c>
      <c r="P69" s="54">
        <v>25</v>
      </c>
      <c r="Q69" s="54">
        <v>24</v>
      </c>
      <c r="R69" s="54">
        <v>250</v>
      </c>
      <c r="S69" s="54" t="s">
        <v>407</v>
      </c>
      <c r="T69" s="54" t="s">
        <v>408</v>
      </c>
      <c r="U69" s="54" t="s">
        <v>409</v>
      </c>
      <c r="V69" s="54" t="s">
        <v>410</v>
      </c>
      <c r="W69" s="54" t="b">
        <v>0</v>
      </c>
      <c r="X69" s="54"/>
      <c r="Y69" s="57" t="s">
        <v>411</v>
      </c>
      <c r="Z69" s="54" t="s">
        <v>412</v>
      </c>
      <c r="AA69" s="54"/>
      <c r="AB69" s="54" t="s">
        <v>413</v>
      </c>
      <c r="AC69" s="56" t="b">
        <v>0</v>
      </c>
      <c r="AD69" s="56" t="b">
        <v>0</v>
      </c>
      <c r="AE69" s="54" t="s">
        <v>302</v>
      </c>
      <c r="AF69" s="58">
        <v>46218</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7.2099999999999997E-2</v>
      </c>
      <c r="BC69" s="60">
        <v>4.9000000000000004</v>
      </c>
      <c r="BD69" s="61">
        <v>5.1461E-2</v>
      </c>
      <c r="BE69" s="62" t="e">
        <v>#N/A</v>
      </c>
      <c r="BF69" s="35">
        <f t="shared" si="0"/>
        <v>4.9000000000000004</v>
      </c>
      <c r="BG69" s="35">
        <f t="shared" si="0"/>
        <v>4.9811000000000001E-2</v>
      </c>
      <c r="BH69" s="35" t="str">
        <f t="shared" si="181"/>
        <v>?</v>
      </c>
      <c r="BI69" s="110">
        <f t="shared" si="182"/>
        <v>0</v>
      </c>
      <c r="BJ69" s="83">
        <f>VLOOKUP($F69,REP_Info!$D$6:$H$250,5,FALSE)</f>
        <v>1.9E-2</v>
      </c>
      <c r="BK69" s="30" t="e">
        <f t="shared" si="183"/>
        <v>#N/A</v>
      </c>
      <c r="BL69" s="30" t="e">
        <f t="shared" si="183"/>
        <v>#N/A</v>
      </c>
      <c r="BM69" s="30" t="e">
        <f t="shared" si="183"/>
        <v>#N/A</v>
      </c>
      <c r="BN69" s="29" t="e">
        <f t="shared" si="183"/>
        <v>#N/A</v>
      </c>
      <c r="BO69" s="85" t="str">
        <f t="shared" si="2"/>
        <v>$$$</v>
      </c>
      <c r="BP69" s="88" t="str">
        <f t="shared" si="184"/>
        <v>$$$</v>
      </c>
      <c r="BQ69" s="88" t="str">
        <f t="shared" si="4"/>
        <v>$$$</v>
      </c>
      <c r="BR69" s="88" t="str">
        <f t="shared" si="5"/>
        <v>$$$</v>
      </c>
      <c r="BS69" s="29" t="e">
        <f t="shared" si="185"/>
        <v>#N/A</v>
      </c>
      <c r="BT69" s="29" t="e">
        <f t="shared" si="185"/>
        <v>#N/A</v>
      </c>
      <c r="BU69" s="29" t="e">
        <f t="shared" si="185"/>
        <v>#N/A</v>
      </c>
      <c r="BV69" s="29" t="e">
        <f t="shared" si="185"/>
        <v>#N/A</v>
      </c>
      <c r="BW69" s="29" t="e">
        <f t="shared" si="185"/>
        <v>#N/A</v>
      </c>
      <c r="BX69" s="29" t="e">
        <f t="shared" si="185"/>
        <v>#N/A</v>
      </c>
      <c r="BY69" s="29" t="e">
        <f t="shared" si="185"/>
        <v>#N/A</v>
      </c>
      <c r="BZ69" s="29" t="e">
        <f t="shared" si="185"/>
        <v>#N/A</v>
      </c>
      <c r="CA69" s="29" t="e">
        <f t="shared" si="185"/>
        <v>#N/A</v>
      </c>
      <c r="CB69" s="29" t="e">
        <f t="shared" si="185"/>
        <v>#N/A</v>
      </c>
      <c r="CC69" s="29" t="e">
        <f t="shared" si="185"/>
        <v>#N/A</v>
      </c>
      <c r="CD69" s="29" t="e">
        <f t="shared" si="185"/>
        <v>#N/A</v>
      </c>
      <c r="CE69" s="6" t="str">
        <f t="shared" si="7"/>
        <v/>
      </c>
      <c r="CF69" s="27" t="e">
        <f>IF(AND(CI69,NOT(AD69)),LOOKUP(CF$5,{0,750,1500},H69:J69),"")</f>
        <v>#N/A</v>
      </c>
      <c r="CG69" s="6" t="str">
        <f t="shared" si="8"/>
        <v/>
      </c>
      <c r="CH69" t="e">
        <f t="shared" si="186"/>
        <v>#N/A</v>
      </c>
      <c r="CI69" t="e">
        <f t="shared" si="187"/>
        <v>#N/A</v>
      </c>
      <c r="CJ69" s="6" t="e">
        <f t="shared" si="11"/>
        <v>#N/A</v>
      </c>
      <c r="CK69" s="6">
        <f t="shared" si="12"/>
        <v>1</v>
      </c>
      <c r="CL69" s="6">
        <f t="shared" si="26"/>
        <v>1</v>
      </c>
      <c r="CM69" s="6">
        <f t="shared" si="13"/>
        <v>1</v>
      </c>
      <c r="CN69" s="6">
        <f t="shared" si="14"/>
        <v>1</v>
      </c>
      <c r="CO69" s="6">
        <f t="shared" si="15"/>
        <v>0</v>
      </c>
      <c r="CP69" s="6">
        <f t="shared" si="16"/>
        <v>1</v>
      </c>
      <c r="CQ69" s="6">
        <f t="shared" si="188"/>
        <v>1</v>
      </c>
      <c r="CR69" s="81" t="str">
        <f t="shared" si="17"/>
        <v/>
      </c>
      <c r="CS69">
        <f t="shared" si="189"/>
        <v>0</v>
      </c>
      <c r="CT69">
        <f t="shared" si="19"/>
        <v>250</v>
      </c>
      <c r="CU69" t="str">
        <f t="shared" si="29"/>
        <v/>
      </c>
      <c r="CV69" s="81">
        <f t="shared" si="190"/>
        <v>250</v>
      </c>
      <c r="CW69" s="81">
        <f>(CV69/25)^1.5*(Calculator!$BU$4/10000)*CW$5</f>
        <v>81.653361199867305</v>
      </c>
      <c r="CX69" t="str">
        <f t="shared" si="191"/>
        <v>$250</v>
      </c>
    </row>
    <row r="70" spans="2:102" x14ac:dyDescent="0.25">
      <c r="B70" s="115" t="s">
        <v>233</v>
      </c>
      <c r="C70" s="13">
        <v>46254.637499999997</v>
      </c>
      <c r="D70">
        <v>13187</v>
      </c>
      <c r="E70" s="54" t="s">
        <v>235</v>
      </c>
      <c r="F70" s="54" t="s">
        <v>405</v>
      </c>
      <c r="G70" s="54" t="s">
        <v>2258</v>
      </c>
      <c r="H70" s="55">
        <v>12.2</v>
      </c>
      <c r="I70" s="55">
        <v>11.700000000000001</v>
      </c>
      <c r="J70" s="55">
        <v>11.5</v>
      </c>
      <c r="K70" s="54"/>
      <c r="L70" s="56" t="b">
        <v>0</v>
      </c>
      <c r="M70" s="56" t="b">
        <v>0</v>
      </c>
      <c r="N70" s="54">
        <v>1</v>
      </c>
      <c r="O70" s="54" t="s">
        <v>228</v>
      </c>
      <c r="P70" s="54">
        <v>26</v>
      </c>
      <c r="Q70" s="54">
        <v>9</v>
      </c>
      <c r="R70" s="54">
        <v>150</v>
      </c>
      <c r="S70" s="54" t="s">
        <v>2259</v>
      </c>
      <c r="T70" s="54"/>
      <c r="U70" s="54" t="s">
        <v>409</v>
      </c>
      <c r="V70" s="54" t="s">
        <v>410</v>
      </c>
      <c r="W70" s="54" t="b">
        <v>0</v>
      </c>
      <c r="X70" s="54"/>
      <c r="Y70" s="57" t="s">
        <v>2260</v>
      </c>
      <c r="Z70" s="54" t="s">
        <v>412</v>
      </c>
      <c r="AA70" s="54"/>
      <c r="AB70" s="54" t="s">
        <v>413</v>
      </c>
      <c r="AC70" s="56" t="b">
        <v>0</v>
      </c>
      <c r="AD70" s="56" t="b">
        <v>0</v>
      </c>
      <c r="AE70" s="54" t="s">
        <v>302</v>
      </c>
      <c r="AF70" s="58">
        <v>46254</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6.0999999999999999E-2</v>
      </c>
      <c r="BC70" s="60">
        <v>4.9000000000000004</v>
      </c>
      <c r="BD70" s="61">
        <v>5.1461E-2</v>
      </c>
      <c r="BE70" s="62" t="s">
        <v>293</v>
      </c>
      <c r="BF70" s="35">
        <f t="shared" si="0"/>
        <v>4.9000000000000004</v>
      </c>
      <c r="BG70" s="35">
        <f t="shared" si="0"/>
        <v>4.9811000000000001E-2</v>
      </c>
      <c r="BH70" s="35" t="str">
        <f t="shared" si="181"/>
        <v>Low</v>
      </c>
      <c r="BI70" s="110">
        <f t="shared" si="182"/>
        <v>0</v>
      </c>
      <c r="BJ70" s="83">
        <f>VLOOKUP($F70,REP_Info!$D$6:$H$250,5,FALSE)</f>
        <v>1.9E-2</v>
      </c>
      <c r="BK70" s="30">
        <f t="shared" si="183"/>
        <v>12.061099999999998</v>
      </c>
      <c r="BL70" s="30">
        <f t="shared" si="183"/>
        <v>11.571100000000003</v>
      </c>
      <c r="BM70" s="30">
        <f t="shared" si="183"/>
        <v>11.3261</v>
      </c>
      <c r="BN70" s="29">
        <f t="shared" si="183"/>
        <v>11.244433333333332</v>
      </c>
      <c r="BO70" s="85" t="str">
        <f t="shared" si="2"/>
        <v>$$$</v>
      </c>
      <c r="BP70" s="88" t="str">
        <f t="shared" si="184"/>
        <v>$$$</v>
      </c>
      <c r="BQ70" s="88" t="str">
        <f t="shared" si="4"/>
        <v>$$$</v>
      </c>
      <c r="BR70" s="88" t="str">
        <f t="shared" si="5"/>
        <v>$$$</v>
      </c>
      <c r="BS70" s="29" t="e">
        <f t="shared" si="185"/>
        <v>#N/A</v>
      </c>
      <c r="BT70" s="29" t="e">
        <f t="shared" si="185"/>
        <v>#N/A</v>
      </c>
      <c r="BU70" s="29" t="e">
        <f t="shared" si="185"/>
        <v>#N/A</v>
      </c>
      <c r="BV70" s="29" t="e">
        <f t="shared" si="185"/>
        <v>#N/A</v>
      </c>
      <c r="BW70" s="29" t="e">
        <f t="shared" si="185"/>
        <v>#N/A</v>
      </c>
      <c r="BX70" s="29" t="e">
        <f t="shared" si="185"/>
        <v>#N/A</v>
      </c>
      <c r="BY70" s="29" t="e">
        <f t="shared" si="185"/>
        <v>#N/A</v>
      </c>
      <c r="BZ70" s="29" t="e">
        <f t="shared" si="185"/>
        <v>#N/A</v>
      </c>
      <c r="CA70" s="29" t="e">
        <f t="shared" si="185"/>
        <v>#N/A</v>
      </c>
      <c r="CB70" s="29" t="e">
        <f t="shared" si="185"/>
        <v>#N/A</v>
      </c>
      <c r="CC70" s="29" t="e">
        <f t="shared" si="185"/>
        <v>#N/A</v>
      </c>
      <c r="CD70" s="29" t="e">
        <f t="shared" si="185"/>
        <v>#N/A</v>
      </c>
      <c r="CE70" s="6" t="str">
        <f t="shared" si="7"/>
        <v/>
      </c>
      <c r="CF70" s="27" t="e">
        <f>IF(AND(CI70,NOT(AD70)),LOOKUP(CF$5,{0,750,1500},H70:J70),"")</f>
        <v>#N/A</v>
      </c>
      <c r="CG70" s="6" t="str">
        <f t="shared" si="8"/>
        <v/>
      </c>
      <c r="CH70" t="e">
        <f t="shared" si="186"/>
        <v>#N/A</v>
      </c>
      <c r="CI70" t="e">
        <f t="shared" si="187"/>
        <v>#N/A</v>
      </c>
      <c r="CJ70" s="6" t="e">
        <f t="shared" si="11"/>
        <v>#N/A</v>
      </c>
      <c r="CK70" s="6">
        <f t="shared" si="12"/>
        <v>1</v>
      </c>
      <c r="CL70" s="6">
        <f t="shared" si="26"/>
        <v>1</v>
      </c>
      <c r="CM70" s="6">
        <f t="shared" si="13"/>
        <v>1</v>
      </c>
      <c r="CN70" s="6">
        <f t="shared" si="14"/>
        <v>0</v>
      </c>
      <c r="CO70" s="6">
        <f t="shared" si="15"/>
        <v>1</v>
      </c>
      <c r="CP70" s="6">
        <f t="shared" si="16"/>
        <v>1</v>
      </c>
      <c r="CQ70" s="6">
        <f t="shared" si="188"/>
        <v>1</v>
      </c>
      <c r="CR70" s="81" t="str">
        <f t="shared" si="17"/>
        <v/>
      </c>
      <c r="CS70">
        <f t="shared" si="189"/>
        <v>5.9999999999999982</v>
      </c>
      <c r="CT70">
        <f t="shared" si="19"/>
        <v>150</v>
      </c>
      <c r="CU70" t="str">
        <f t="shared" si="29"/>
        <v/>
      </c>
      <c r="CV70" s="81">
        <f t="shared" si="190"/>
        <v>150</v>
      </c>
      <c r="CW70" s="81">
        <f>(CV70/25)^1.5*(Calculator!$BU$4/10000)*CW$5</f>
        <v>37.949052970673385</v>
      </c>
      <c r="CX70" t="str">
        <f t="shared" si="191"/>
        <v>$150</v>
      </c>
    </row>
    <row r="71" spans="2:102" x14ac:dyDescent="0.25">
      <c r="B71" s="115" t="s">
        <v>233</v>
      </c>
      <c r="C71" s="13">
        <v>46254.637499999997</v>
      </c>
      <c r="D71">
        <v>13196</v>
      </c>
      <c r="E71" s="54" t="s">
        <v>237</v>
      </c>
      <c r="F71" s="54" t="s">
        <v>405</v>
      </c>
      <c r="G71" s="54" t="s">
        <v>2258</v>
      </c>
      <c r="H71" s="55">
        <v>12.7</v>
      </c>
      <c r="I71" s="55">
        <v>12.3</v>
      </c>
      <c r="J71" s="55">
        <v>12.1</v>
      </c>
      <c r="K71" s="54"/>
      <c r="L71" s="56" t="b">
        <v>0</v>
      </c>
      <c r="M71" s="56" t="b">
        <v>0</v>
      </c>
      <c r="N71" s="54">
        <v>1</v>
      </c>
      <c r="O71" s="54" t="s">
        <v>228</v>
      </c>
      <c r="P71" s="54">
        <v>26</v>
      </c>
      <c r="Q71" s="54">
        <v>9</v>
      </c>
      <c r="R71" s="54">
        <v>150</v>
      </c>
      <c r="S71" s="54" t="s">
        <v>2259</v>
      </c>
      <c r="T71" s="54"/>
      <c r="U71" s="54" t="s">
        <v>409</v>
      </c>
      <c r="V71" s="54" t="s">
        <v>410</v>
      </c>
      <c r="W71" s="54" t="b">
        <v>0</v>
      </c>
      <c r="X71" s="54"/>
      <c r="Y71" s="57" t="s">
        <v>2261</v>
      </c>
      <c r="Z71" s="54" t="s">
        <v>412</v>
      </c>
      <c r="AA71" s="54"/>
      <c r="AB71" s="54" t="s">
        <v>413</v>
      </c>
      <c r="AC71" s="56" t="b">
        <v>0</v>
      </c>
      <c r="AD71" s="56" t="b">
        <v>0</v>
      </c>
      <c r="AE71" s="54" t="s">
        <v>302</v>
      </c>
      <c r="AF71" s="58">
        <v>46254</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5.8999999999999997E-2</v>
      </c>
      <c r="BC71" s="60">
        <v>4.0599999999999996</v>
      </c>
      <c r="BD71" s="61">
        <v>6.0208999999999999E-2</v>
      </c>
      <c r="BE71" s="62" t="s">
        <v>293</v>
      </c>
      <c r="BF71" s="35">
        <f t="shared" si="0"/>
        <v>4.0600000000000005</v>
      </c>
      <c r="BG71" s="35">
        <f t="shared" si="0"/>
        <v>6.0295000000000001E-2</v>
      </c>
      <c r="BH71" s="35" t="str">
        <f t="shared" si="181"/>
        <v>Low</v>
      </c>
      <c r="BI71" s="110">
        <f t="shared" si="182"/>
        <v>0</v>
      </c>
      <c r="BJ71" s="83">
        <f>VLOOKUP($F71,REP_Info!$D$6:$H$250,5,FALSE)</f>
        <v>1.9E-2</v>
      </c>
      <c r="BK71" s="30">
        <f t="shared" si="183"/>
        <v>12.7415</v>
      </c>
      <c r="BL71" s="30">
        <f t="shared" si="183"/>
        <v>12.3355</v>
      </c>
      <c r="BM71" s="30">
        <f t="shared" si="183"/>
        <v>12.1325</v>
      </c>
      <c r="BN71" s="29">
        <f t="shared" si="183"/>
        <v>12.064833333333333</v>
      </c>
      <c r="BO71" s="85" t="str">
        <f t="shared" si="2"/>
        <v>$$$</v>
      </c>
      <c r="BP71" s="88" t="str">
        <f t="shared" si="184"/>
        <v>$$$</v>
      </c>
      <c r="BQ71" s="88" t="str">
        <f t="shared" si="4"/>
        <v>$$$</v>
      </c>
      <c r="BR71" s="88" t="str">
        <f t="shared" si="5"/>
        <v>$$$</v>
      </c>
      <c r="BS71" s="29" t="e">
        <f t="shared" si="185"/>
        <v>#N/A</v>
      </c>
      <c r="BT71" s="29" t="e">
        <f t="shared" si="185"/>
        <v>#N/A</v>
      </c>
      <c r="BU71" s="29" t="e">
        <f t="shared" si="185"/>
        <v>#N/A</v>
      </c>
      <c r="BV71" s="29" t="e">
        <f t="shared" si="185"/>
        <v>#N/A</v>
      </c>
      <c r="BW71" s="29" t="e">
        <f t="shared" si="185"/>
        <v>#N/A</v>
      </c>
      <c r="BX71" s="29" t="e">
        <f t="shared" si="185"/>
        <v>#N/A</v>
      </c>
      <c r="BY71" s="29" t="e">
        <f t="shared" si="185"/>
        <v>#N/A</v>
      </c>
      <c r="BZ71" s="29" t="e">
        <f t="shared" si="185"/>
        <v>#N/A</v>
      </c>
      <c r="CA71" s="29" t="e">
        <f t="shared" si="185"/>
        <v>#N/A</v>
      </c>
      <c r="CB71" s="29" t="e">
        <f t="shared" si="185"/>
        <v>#N/A</v>
      </c>
      <c r="CC71" s="29" t="e">
        <f t="shared" si="185"/>
        <v>#N/A</v>
      </c>
      <c r="CD71" s="29" t="e">
        <f t="shared" si="185"/>
        <v>#N/A</v>
      </c>
      <c r="CE71" s="6" t="str">
        <f t="shared" si="7"/>
        <v/>
      </c>
      <c r="CF71" s="27" t="e">
        <f>IF(AND(CI71,NOT(AD71)),LOOKUP(CF$5,{0,750,1500},H71:J71),"")</f>
        <v>#N/A</v>
      </c>
      <c r="CG71" s="6" t="str">
        <f t="shared" si="8"/>
        <v/>
      </c>
      <c r="CH71" t="e">
        <f t="shared" si="186"/>
        <v>#N/A</v>
      </c>
      <c r="CI71" t="e">
        <f t="shared" si="187"/>
        <v>#N/A</v>
      </c>
      <c r="CJ71" s="6" t="e">
        <f t="shared" si="11"/>
        <v>#N/A</v>
      </c>
      <c r="CK71" s="6">
        <f t="shared" si="12"/>
        <v>1</v>
      </c>
      <c r="CL71" s="6">
        <f t="shared" si="26"/>
        <v>1</v>
      </c>
      <c r="CM71" s="6">
        <f t="shared" si="13"/>
        <v>1</v>
      </c>
      <c r="CN71" s="6">
        <f t="shared" si="14"/>
        <v>0</v>
      </c>
      <c r="CO71" s="6">
        <f t="shared" si="15"/>
        <v>1</v>
      </c>
      <c r="CP71" s="6">
        <f t="shared" si="16"/>
        <v>1</v>
      </c>
      <c r="CQ71" s="6">
        <f t="shared" si="188"/>
        <v>1</v>
      </c>
      <c r="CR71" s="81" t="str">
        <f t="shared" si="17"/>
        <v/>
      </c>
      <c r="CS71">
        <f t="shared" si="189"/>
        <v>5.9999999999999982</v>
      </c>
      <c r="CT71">
        <f t="shared" si="19"/>
        <v>150</v>
      </c>
      <c r="CU71" t="str">
        <f t="shared" si="29"/>
        <v/>
      </c>
      <c r="CV71" s="81">
        <f t="shared" si="190"/>
        <v>150</v>
      </c>
      <c r="CW71" s="81">
        <f>(CV71/25)^1.5*(Calculator!$BU$4/10000)*CW$5</f>
        <v>37.949052970673385</v>
      </c>
      <c r="CX71" t="str">
        <f t="shared" si="191"/>
        <v>$150</v>
      </c>
    </row>
    <row r="72" spans="2:102" x14ac:dyDescent="0.25">
      <c r="B72" s="115" t="s">
        <v>233</v>
      </c>
      <c r="C72" s="13">
        <v>46226.595138888886</v>
      </c>
      <c r="D72">
        <v>16509</v>
      </c>
      <c r="E72" s="54" t="s">
        <v>235</v>
      </c>
      <c r="F72" s="54" t="s">
        <v>405</v>
      </c>
      <c r="G72" s="54" t="s">
        <v>414</v>
      </c>
      <c r="H72" s="55">
        <v>12.8</v>
      </c>
      <c r="I72" s="55">
        <v>12.3</v>
      </c>
      <c r="J72" s="55">
        <v>12.1</v>
      </c>
      <c r="K72" s="54"/>
      <c r="L72" s="56" t="b">
        <v>0</v>
      </c>
      <c r="M72" s="56" t="b">
        <v>0</v>
      </c>
      <c r="N72" s="54">
        <v>1</v>
      </c>
      <c r="O72" s="54" t="s">
        <v>228</v>
      </c>
      <c r="P72" s="54">
        <v>25</v>
      </c>
      <c r="Q72" s="54">
        <v>12</v>
      </c>
      <c r="R72" s="54">
        <v>150</v>
      </c>
      <c r="S72" s="54" t="s">
        <v>415</v>
      </c>
      <c r="T72" s="54"/>
      <c r="U72" s="54" t="s">
        <v>409</v>
      </c>
      <c r="V72" s="54" t="s">
        <v>410</v>
      </c>
      <c r="W72" s="54" t="b">
        <v>0</v>
      </c>
      <c r="X72" s="54"/>
      <c r="Y72" s="57" t="s">
        <v>416</v>
      </c>
      <c r="Z72" s="54" t="s">
        <v>412</v>
      </c>
      <c r="AA72" s="54"/>
      <c r="AB72" s="54" t="s">
        <v>413</v>
      </c>
      <c r="AC72" s="56" t="b">
        <v>0</v>
      </c>
      <c r="AD72" s="56" t="b">
        <v>0</v>
      </c>
      <c r="AE72" s="54" t="s">
        <v>302</v>
      </c>
      <c r="AF72" s="58">
        <v>46226</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6.7000000000000004E-2</v>
      </c>
      <c r="BC72" s="60">
        <v>4.9000000000000004</v>
      </c>
      <c r="BD72" s="61">
        <v>5.1461E-2</v>
      </c>
      <c r="BE72" s="62" t="s">
        <v>293</v>
      </c>
      <c r="BF72" s="35">
        <f t="shared" si="0"/>
        <v>4.9000000000000004</v>
      </c>
      <c r="BG72" s="35">
        <f t="shared" si="0"/>
        <v>4.9811000000000001E-2</v>
      </c>
      <c r="BH72" s="35" t="str">
        <f t="shared" si="181"/>
        <v>Low</v>
      </c>
      <c r="BI72" s="110">
        <f t="shared" si="182"/>
        <v>0</v>
      </c>
      <c r="BJ72" s="83">
        <f>VLOOKUP($F72,REP_Info!$D$6:$H$250,5,FALSE)</f>
        <v>1.9E-2</v>
      </c>
      <c r="BK72" s="30">
        <f t="shared" si="183"/>
        <v>12.661099999999999</v>
      </c>
      <c r="BL72" s="30">
        <f t="shared" si="183"/>
        <v>12.171100000000003</v>
      </c>
      <c r="BM72" s="30">
        <f t="shared" si="183"/>
        <v>11.9261</v>
      </c>
      <c r="BN72" s="29">
        <f t="shared" si="183"/>
        <v>11.844433333333331</v>
      </c>
      <c r="BO72" s="85" t="str">
        <f t="shared" si="2"/>
        <v>$$$</v>
      </c>
      <c r="BP72" s="88" t="str">
        <f t="shared" si="184"/>
        <v>$$$</v>
      </c>
      <c r="BQ72" s="88" t="str">
        <f t="shared" si="4"/>
        <v>$$$</v>
      </c>
      <c r="BR72" s="88" t="str">
        <f t="shared" si="5"/>
        <v>$$$</v>
      </c>
      <c r="BS72" s="29" t="e">
        <f t="shared" si="185"/>
        <v>#N/A</v>
      </c>
      <c r="BT72" s="29" t="e">
        <f t="shared" si="185"/>
        <v>#N/A</v>
      </c>
      <c r="BU72" s="29" t="e">
        <f t="shared" si="185"/>
        <v>#N/A</v>
      </c>
      <c r="BV72" s="29" t="e">
        <f t="shared" si="185"/>
        <v>#N/A</v>
      </c>
      <c r="BW72" s="29" t="e">
        <f t="shared" si="185"/>
        <v>#N/A</v>
      </c>
      <c r="BX72" s="29" t="e">
        <f t="shared" si="185"/>
        <v>#N/A</v>
      </c>
      <c r="BY72" s="29" t="e">
        <f t="shared" si="185"/>
        <v>#N/A</v>
      </c>
      <c r="BZ72" s="29" t="e">
        <f t="shared" si="185"/>
        <v>#N/A</v>
      </c>
      <c r="CA72" s="29" t="e">
        <f t="shared" si="185"/>
        <v>#N/A</v>
      </c>
      <c r="CB72" s="29" t="e">
        <f t="shared" si="185"/>
        <v>#N/A</v>
      </c>
      <c r="CC72" s="29" t="e">
        <f t="shared" si="185"/>
        <v>#N/A</v>
      </c>
      <c r="CD72" s="29" t="e">
        <f t="shared" si="185"/>
        <v>#N/A</v>
      </c>
      <c r="CE72" s="6" t="str">
        <f t="shared" si="7"/>
        <v/>
      </c>
      <c r="CF72" s="27" t="e">
        <f>IF(AND(CI72,NOT(AD72)),LOOKUP(CF$5,{0,750,1500},H72:J72),"")</f>
        <v>#N/A</v>
      </c>
      <c r="CG72" s="6" t="str">
        <f t="shared" si="8"/>
        <v/>
      </c>
      <c r="CH72" t="e">
        <f t="shared" si="186"/>
        <v>#N/A</v>
      </c>
      <c r="CI72" t="e">
        <f t="shared" si="187"/>
        <v>#N/A</v>
      </c>
      <c r="CJ72" s="6" t="e">
        <f t="shared" si="11"/>
        <v>#N/A</v>
      </c>
      <c r="CK72" s="6">
        <f t="shared" si="12"/>
        <v>1</v>
      </c>
      <c r="CL72" s="6">
        <f t="shared" si="26"/>
        <v>1</v>
      </c>
      <c r="CM72" s="6">
        <f t="shared" si="13"/>
        <v>1</v>
      </c>
      <c r="CN72" s="6">
        <f t="shared" si="14"/>
        <v>1</v>
      </c>
      <c r="CO72" s="6">
        <f t="shared" si="15"/>
        <v>1</v>
      </c>
      <c r="CP72" s="6">
        <f t="shared" si="16"/>
        <v>1</v>
      </c>
      <c r="CQ72" s="6">
        <f t="shared" si="188"/>
        <v>1</v>
      </c>
      <c r="CR72" s="81" t="str">
        <f t="shared" si="17"/>
        <v/>
      </c>
      <c r="CS72">
        <f t="shared" si="189"/>
        <v>0</v>
      </c>
      <c r="CT72">
        <f t="shared" si="19"/>
        <v>150</v>
      </c>
      <c r="CU72" t="str">
        <f t="shared" si="29"/>
        <v/>
      </c>
      <c r="CV72" s="81">
        <f t="shared" si="190"/>
        <v>150</v>
      </c>
      <c r="CW72" s="81">
        <f>(CV72/25)^1.5*(Calculator!$BU$4/10000)*CW$5</f>
        <v>37.949052970673385</v>
      </c>
      <c r="CX72" t="str">
        <f t="shared" si="191"/>
        <v>$150</v>
      </c>
    </row>
    <row r="73" spans="2:102" x14ac:dyDescent="0.25">
      <c r="B73" s="115" t="s">
        <v>233</v>
      </c>
      <c r="C73" s="13">
        <v>46218.518055555556</v>
      </c>
      <c r="D73">
        <v>16511</v>
      </c>
      <c r="E73" s="54" t="s">
        <v>235</v>
      </c>
      <c r="F73" s="54" t="s">
        <v>405</v>
      </c>
      <c r="G73" s="54" t="s">
        <v>417</v>
      </c>
      <c r="H73" s="55">
        <v>13.200000000000001</v>
      </c>
      <c r="I73" s="55">
        <v>12.7</v>
      </c>
      <c r="J73" s="55">
        <v>12.5</v>
      </c>
      <c r="K73" s="54"/>
      <c r="L73" s="56" t="b">
        <v>0</v>
      </c>
      <c r="M73" s="56" t="b">
        <v>0</v>
      </c>
      <c r="N73" s="54">
        <v>1</v>
      </c>
      <c r="O73" s="54" t="s">
        <v>228</v>
      </c>
      <c r="P73" s="54">
        <v>25</v>
      </c>
      <c r="Q73" s="54">
        <v>24</v>
      </c>
      <c r="R73" s="54">
        <v>250</v>
      </c>
      <c r="S73" s="54" t="s">
        <v>418</v>
      </c>
      <c r="T73" s="54"/>
      <c r="U73" s="54" t="s">
        <v>409</v>
      </c>
      <c r="V73" s="54" t="s">
        <v>410</v>
      </c>
      <c r="W73" s="54" t="b">
        <v>0</v>
      </c>
      <c r="X73" s="54"/>
      <c r="Y73" s="57" t="s">
        <v>419</v>
      </c>
      <c r="Z73" s="54" t="s">
        <v>412</v>
      </c>
      <c r="AA73" s="54"/>
      <c r="AB73" s="54" t="s">
        <v>413</v>
      </c>
      <c r="AC73" s="56" t="b">
        <v>0</v>
      </c>
      <c r="AD73" s="56" t="b">
        <v>0</v>
      </c>
      <c r="AE73" s="54" t="s">
        <v>302</v>
      </c>
      <c r="AF73" s="58">
        <v>46218</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7.0999999999999994E-2</v>
      </c>
      <c r="BC73" s="60">
        <v>4.9000000000000004</v>
      </c>
      <c r="BD73" s="61">
        <v>5.1461E-2</v>
      </c>
      <c r="BE73" s="62" t="s">
        <v>293</v>
      </c>
      <c r="BF73" s="35">
        <f t="shared" si="0"/>
        <v>4.9000000000000004</v>
      </c>
      <c r="BG73" s="35">
        <f t="shared" si="0"/>
        <v>4.9811000000000001E-2</v>
      </c>
      <c r="BH73" s="35" t="str">
        <f t="shared" si="181"/>
        <v>Low</v>
      </c>
      <c r="BI73" s="110">
        <f t="shared" si="182"/>
        <v>0</v>
      </c>
      <c r="BJ73" s="83">
        <f>VLOOKUP($F73,REP_Info!$D$6:$H$250,5,FALSE)</f>
        <v>1.9E-2</v>
      </c>
      <c r="BK73" s="30">
        <f t="shared" si="183"/>
        <v>13.061099999999998</v>
      </c>
      <c r="BL73" s="30">
        <f t="shared" si="183"/>
        <v>12.571100000000003</v>
      </c>
      <c r="BM73" s="30">
        <f t="shared" si="183"/>
        <v>12.3261</v>
      </c>
      <c r="BN73" s="29">
        <f t="shared" si="183"/>
        <v>12.244433333333332</v>
      </c>
      <c r="BO73" s="85" t="str">
        <f t="shared" si="2"/>
        <v>$$$</v>
      </c>
      <c r="BP73" s="88" t="str">
        <f t="shared" si="184"/>
        <v>$$$</v>
      </c>
      <c r="BQ73" s="88" t="str">
        <f t="shared" si="4"/>
        <v>$$$</v>
      </c>
      <c r="BR73" s="88" t="str">
        <f t="shared" si="5"/>
        <v>$$$</v>
      </c>
      <c r="BS73" s="29" t="e">
        <f t="shared" si="185"/>
        <v>#N/A</v>
      </c>
      <c r="BT73" s="29" t="e">
        <f t="shared" si="185"/>
        <v>#N/A</v>
      </c>
      <c r="BU73" s="29" t="e">
        <f t="shared" si="185"/>
        <v>#N/A</v>
      </c>
      <c r="BV73" s="29" t="e">
        <f t="shared" si="185"/>
        <v>#N/A</v>
      </c>
      <c r="BW73" s="29" t="e">
        <f t="shared" si="185"/>
        <v>#N/A</v>
      </c>
      <c r="BX73" s="29" t="e">
        <f t="shared" si="185"/>
        <v>#N/A</v>
      </c>
      <c r="BY73" s="29" t="e">
        <f t="shared" si="185"/>
        <v>#N/A</v>
      </c>
      <c r="BZ73" s="29" t="e">
        <f t="shared" si="185"/>
        <v>#N/A</v>
      </c>
      <c r="CA73" s="29" t="e">
        <f t="shared" si="185"/>
        <v>#N/A</v>
      </c>
      <c r="CB73" s="29" t="e">
        <f t="shared" si="185"/>
        <v>#N/A</v>
      </c>
      <c r="CC73" s="29" t="e">
        <f t="shared" si="185"/>
        <v>#N/A</v>
      </c>
      <c r="CD73" s="29" t="e">
        <f t="shared" si="185"/>
        <v>#N/A</v>
      </c>
      <c r="CE73" s="6" t="str">
        <f t="shared" si="7"/>
        <v/>
      </c>
      <c r="CF73" s="27" t="e">
        <f>IF(AND(CI73,NOT(AD73)),LOOKUP(CF$5,{0,750,1500},H73:J73),"")</f>
        <v>#N/A</v>
      </c>
      <c r="CG73" s="6" t="str">
        <f t="shared" si="8"/>
        <v/>
      </c>
      <c r="CH73" t="e">
        <f t="shared" si="186"/>
        <v>#N/A</v>
      </c>
      <c r="CI73" t="e">
        <f t="shared" si="187"/>
        <v>#N/A</v>
      </c>
      <c r="CJ73" s="6" t="e">
        <f t="shared" si="11"/>
        <v>#N/A</v>
      </c>
      <c r="CK73" s="6">
        <f t="shared" si="12"/>
        <v>1</v>
      </c>
      <c r="CL73" s="6">
        <f t="shared" si="26"/>
        <v>1</v>
      </c>
      <c r="CM73" s="6">
        <f t="shared" si="13"/>
        <v>1</v>
      </c>
      <c r="CN73" s="6">
        <f t="shared" si="14"/>
        <v>1</v>
      </c>
      <c r="CO73" s="6">
        <f t="shared" si="15"/>
        <v>0</v>
      </c>
      <c r="CP73" s="6">
        <f t="shared" si="16"/>
        <v>1</v>
      </c>
      <c r="CQ73" s="6">
        <f t="shared" si="188"/>
        <v>1</v>
      </c>
      <c r="CR73" s="81" t="str">
        <f t="shared" si="17"/>
        <v/>
      </c>
      <c r="CS73">
        <f t="shared" si="189"/>
        <v>0</v>
      </c>
      <c r="CT73">
        <f t="shared" si="19"/>
        <v>250</v>
      </c>
      <c r="CU73" t="str">
        <f t="shared" si="29"/>
        <v/>
      </c>
      <c r="CV73" s="81">
        <f t="shared" si="190"/>
        <v>250</v>
      </c>
      <c r="CW73" s="81">
        <f>(CV73/25)^1.5*(Calculator!$BU$4/10000)*CW$5</f>
        <v>81.653361199867305</v>
      </c>
      <c r="CX73" t="str">
        <f t="shared" si="191"/>
        <v>$250</v>
      </c>
    </row>
    <row r="74" spans="2:102" x14ac:dyDescent="0.25">
      <c r="B74" s="115" t="s">
        <v>233</v>
      </c>
      <c r="C74" s="13">
        <v>46237.767361111109</v>
      </c>
      <c r="D74">
        <v>16515</v>
      </c>
      <c r="E74" s="54" t="s">
        <v>237</v>
      </c>
      <c r="F74" s="54" t="s">
        <v>405</v>
      </c>
      <c r="G74" s="54" t="s">
        <v>414</v>
      </c>
      <c r="H74" s="55">
        <v>13.3</v>
      </c>
      <c r="I74" s="55">
        <v>12.9</v>
      </c>
      <c r="J74" s="55">
        <v>12.7</v>
      </c>
      <c r="K74" s="54"/>
      <c r="L74" s="56" t="b">
        <v>0</v>
      </c>
      <c r="M74" s="56" t="b">
        <v>0</v>
      </c>
      <c r="N74" s="54">
        <v>1</v>
      </c>
      <c r="O74" s="54" t="s">
        <v>228</v>
      </c>
      <c r="P74" s="54">
        <v>25</v>
      </c>
      <c r="Q74" s="54">
        <v>12</v>
      </c>
      <c r="R74" s="54">
        <v>150</v>
      </c>
      <c r="S74" s="54" t="s">
        <v>415</v>
      </c>
      <c r="T74" s="54"/>
      <c r="U74" s="54" t="s">
        <v>409</v>
      </c>
      <c r="V74" s="54" t="s">
        <v>410</v>
      </c>
      <c r="W74" s="54" t="b">
        <v>0</v>
      </c>
      <c r="X74" s="54"/>
      <c r="Y74" s="57" t="s">
        <v>420</v>
      </c>
      <c r="Z74" s="54" t="s">
        <v>412</v>
      </c>
      <c r="AA74" s="54"/>
      <c r="AB74" s="54" t="s">
        <v>413</v>
      </c>
      <c r="AC74" s="56" t="b">
        <v>0</v>
      </c>
      <c r="AD74" s="56" t="b">
        <v>0</v>
      </c>
      <c r="AE74" s="54" t="s">
        <v>302</v>
      </c>
      <c r="AF74" s="58">
        <v>46237</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6.5000000000000002E-2</v>
      </c>
      <c r="BC74" s="60">
        <v>4.0599999999999996</v>
      </c>
      <c r="BD74" s="61">
        <v>6.0208999999999999E-2</v>
      </c>
      <c r="BE74" s="62" t="s">
        <v>293</v>
      </c>
      <c r="BF74" s="35">
        <f t="shared" ref="BF74:BG99" si="192">IF($E74=$E$4,BF$4,IF($E74=$E$5,BF$5,""))</f>
        <v>4.0600000000000005</v>
      </c>
      <c r="BG74" s="35">
        <f t="shared" si="192"/>
        <v>6.0295000000000001E-2</v>
      </c>
      <c r="BH74" s="35" t="str">
        <f t="shared" si="181"/>
        <v>Low</v>
      </c>
      <c r="BI74" s="110">
        <f t="shared" si="182"/>
        <v>0</v>
      </c>
      <c r="BJ74" s="83">
        <f>VLOOKUP($F74,REP_Info!$D$6:$H$250,5,FALSE)</f>
        <v>1.9E-2</v>
      </c>
      <c r="BK74" s="30">
        <f t="shared" si="183"/>
        <v>13.341500000000002</v>
      </c>
      <c r="BL74" s="30">
        <f t="shared" si="183"/>
        <v>12.935500000000001</v>
      </c>
      <c r="BM74" s="30">
        <f t="shared" si="183"/>
        <v>12.7325</v>
      </c>
      <c r="BN74" s="29">
        <f t="shared" si="183"/>
        <v>12.664833333333334</v>
      </c>
      <c r="BO74" s="85" t="str">
        <f t="shared" si="2"/>
        <v>$$$</v>
      </c>
      <c r="BP74" s="88" t="str">
        <f t="shared" si="184"/>
        <v>$$$</v>
      </c>
      <c r="BQ74" s="88" t="str">
        <f t="shared" si="4"/>
        <v>$$$</v>
      </c>
      <c r="BR74" s="88" t="str">
        <f t="shared" si="5"/>
        <v>$$$</v>
      </c>
      <c r="BS74" s="29" t="e">
        <f t="shared" si="185"/>
        <v>#N/A</v>
      </c>
      <c r="BT74" s="29" t="e">
        <f t="shared" si="185"/>
        <v>#N/A</v>
      </c>
      <c r="BU74" s="29" t="e">
        <f t="shared" si="185"/>
        <v>#N/A</v>
      </c>
      <c r="BV74" s="29" t="e">
        <f t="shared" si="185"/>
        <v>#N/A</v>
      </c>
      <c r="BW74" s="29" t="e">
        <f t="shared" si="185"/>
        <v>#N/A</v>
      </c>
      <c r="BX74" s="29" t="e">
        <f t="shared" si="185"/>
        <v>#N/A</v>
      </c>
      <c r="BY74" s="29" t="e">
        <f t="shared" si="185"/>
        <v>#N/A</v>
      </c>
      <c r="BZ74" s="29" t="e">
        <f t="shared" si="185"/>
        <v>#N/A</v>
      </c>
      <c r="CA74" s="29" t="e">
        <f t="shared" si="185"/>
        <v>#N/A</v>
      </c>
      <c r="CB74" s="29" t="e">
        <f t="shared" si="185"/>
        <v>#N/A</v>
      </c>
      <c r="CC74" s="29" t="e">
        <f t="shared" si="185"/>
        <v>#N/A</v>
      </c>
      <c r="CD74" s="29" t="e">
        <f t="shared" si="185"/>
        <v>#N/A</v>
      </c>
      <c r="CE74" s="6" t="str">
        <f t="shared" si="7"/>
        <v/>
      </c>
      <c r="CF74" s="27" t="e">
        <f>IF(AND(CI74,NOT(AD74)),LOOKUP(CF$5,{0,750,1500},H74:J74),"")</f>
        <v>#N/A</v>
      </c>
      <c r="CG74" s="6" t="str">
        <f t="shared" si="8"/>
        <v/>
      </c>
      <c r="CH74" t="e">
        <f t="shared" si="186"/>
        <v>#N/A</v>
      </c>
      <c r="CI74" t="e">
        <f t="shared" si="187"/>
        <v>#N/A</v>
      </c>
      <c r="CJ74" s="6" t="e">
        <f t="shared" si="11"/>
        <v>#N/A</v>
      </c>
      <c r="CK74" s="6">
        <f t="shared" si="12"/>
        <v>1</v>
      </c>
      <c r="CL74" s="6">
        <f t="shared" si="26"/>
        <v>1</v>
      </c>
      <c r="CM74" s="6">
        <f t="shared" si="13"/>
        <v>1</v>
      </c>
      <c r="CN74" s="6">
        <f t="shared" si="14"/>
        <v>1</v>
      </c>
      <c r="CO74" s="6">
        <f t="shared" si="15"/>
        <v>1</v>
      </c>
      <c r="CP74" s="6">
        <f t="shared" si="16"/>
        <v>1</v>
      </c>
      <c r="CQ74" s="6">
        <f t="shared" si="188"/>
        <v>1</v>
      </c>
      <c r="CR74" s="81" t="str">
        <f t="shared" si="17"/>
        <v/>
      </c>
      <c r="CS74">
        <f t="shared" si="189"/>
        <v>0</v>
      </c>
      <c r="CT74">
        <f t="shared" si="19"/>
        <v>150</v>
      </c>
      <c r="CU74" t="str">
        <f t="shared" si="29"/>
        <v/>
      </c>
      <c r="CV74" s="81">
        <f t="shared" si="190"/>
        <v>150</v>
      </c>
      <c r="CW74" s="81">
        <f>(CV74/25)^1.5*(Calculator!$BU$4/10000)*CW$5</f>
        <v>37.949052970673385</v>
      </c>
      <c r="CX74" t="str">
        <f t="shared" si="191"/>
        <v>$150</v>
      </c>
    </row>
    <row r="75" spans="2:102" x14ac:dyDescent="0.25">
      <c r="B75" s="115" t="s">
        <v>233</v>
      </c>
      <c r="C75" s="13">
        <v>46237.767361111109</v>
      </c>
      <c r="D75">
        <v>16517</v>
      </c>
      <c r="E75" s="54" t="s">
        <v>237</v>
      </c>
      <c r="F75" s="54" t="s">
        <v>405</v>
      </c>
      <c r="G75" s="54" t="s">
        <v>417</v>
      </c>
      <c r="H75" s="55">
        <v>13.8</v>
      </c>
      <c r="I75" s="55">
        <v>13.4</v>
      </c>
      <c r="J75" s="55">
        <v>13.200000000000001</v>
      </c>
      <c r="K75" s="54"/>
      <c r="L75" s="56" t="b">
        <v>0</v>
      </c>
      <c r="M75" s="56" t="b">
        <v>0</v>
      </c>
      <c r="N75" s="54">
        <v>1</v>
      </c>
      <c r="O75" s="54" t="s">
        <v>228</v>
      </c>
      <c r="P75" s="54">
        <v>25</v>
      </c>
      <c r="Q75" s="54">
        <v>24</v>
      </c>
      <c r="R75" s="54">
        <v>250</v>
      </c>
      <c r="S75" s="54" t="s">
        <v>418</v>
      </c>
      <c r="T75" s="54"/>
      <c r="U75" s="54" t="s">
        <v>409</v>
      </c>
      <c r="V75" s="54" t="s">
        <v>410</v>
      </c>
      <c r="W75" s="54" t="b">
        <v>0</v>
      </c>
      <c r="X75" s="54"/>
      <c r="Y75" s="57" t="s">
        <v>421</v>
      </c>
      <c r="Z75" s="54" t="s">
        <v>412</v>
      </c>
      <c r="AA75" s="54"/>
      <c r="AB75" s="54" t="s">
        <v>413</v>
      </c>
      <c r="AC75" s="56" t="b">
        <v>0</v>
      </c>
      <c r="AD75" s="56" t="b">
        <v>0</v>
      </c>
      <c r="AE75" s="54" t="s">
        <v>302</v>
      </c>
      <c r="AF75" s="58">
        <v>46237</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7.0000000000000007E-2</v>
      </c>
      <c r="BC75" s="60">
        <v>4.0599999999999996</v>
      </c>
      <c r="BD75" s="61">
        <v>6.0208999999999999E-2</v>
      </c>
      <c r="BE75" s="62" t="s">
        <v>293</v>
      </c>
      <c r="BF75" s="35">
        <f t="shared" si="192"/>
        <v>4.0600000000000005</v>
      </c>
      <c r="BG75" s="35">
        <f t="shared" si="192"/>
        <v>6.0295000000000001E-2</v>
      </c>
      <c r="BH75" s="35" t="str">
        <f t="shared" si="181"/>
        <v>Low</v>
      </c>
      <c r="BI75" s="110">
        <f t="shared" si="182"/>
        <v>0</v>
      </c>
      <c r="BJ75" s="83">
        <f>VLOOKUP($F75,REP_Info!$D$6:$H$250,5,FALSE)</f>
        <v>1.9E-2</v>
      </c>
      <c r="BK75" s="30">
        <f t="shared" si="183"/>
        <v>13.841500000000002</v>
      </c>
      <c r="BL75" s="30">
        <f t="shared" si="183"/>
        <v>13.435500000000001</v>
      </c>
      <c r="BM75" s="30">
        <f t="shared" si="183"/>
        <v>13.232499999999998</v>
      </c>
      <c r="BN75" s="29">
        <f t="shared" si="183"/>
        <v>13.164833333333336</v>
      </c>
      <c r="BO75" s="85" t="str">
        <f t="shared" si="2"/>
        <v>$$$</v>
      </c>
      <c r="BP75" s="88" t="str">
        <f t="shared" si="184"/>
        <v>$$$</v>
      </c>
      <c r="BQ75" s="88" t="str">
        <f t="shared" si="4"/>
        <v>$$$</v>
      </c>
      <c r="BR75" s="88" t="str">
        <f t="shared" si="5"/>
        <v>$$$</v>
      </c>
      <c r="BS75" s="29" t="e">
        <f t="shared" si="185"/>
        <v>#N/A</v>
      </c>
      <c r="BT75" s="29" t="e">
        <f t="shared" si="185"/>
        <v>#N/A</v>
      </c>
      <c r="BU75" s="29" t="e">
        <f t="shared" si="185"/>
        <v>#N/A</v>
      </c>
      <c r="BV75" s="29" t="e">
        <f t="shared" si="185"/>
        <v>#N/A</v>
      </c>
      <c r="BW75" s="29" t="e">
        <f t="shared" si="185"/>
        <v>#N/A</v>
      </c>
      <c r="BX75" s="29" t="e">
        <f t="shared" si="185"/>
        <v>#N/A</v>
      </c>
      <c r="BY75" s="29" t="e">
        <f t="shared" si="185"/>
        <v>#N/A</v>
      </c>
      <c r="BZ75" s="29" t="e">
        <f t="shared" si="185"/>
        <v>#N/A</v>
      </c>
      <c r="CA75" s="29" t="e">
        <f t="shared" si="185"/>
        <v>#N/A</v>
      </c>
      <c r="CB75" s="29" t="e">
        <f t="shared" si="185"/>
        <v>#N/A</v>
      </c>
      <c r="CC75" s="29" t="e">
        <f t="shared" si="185"/>
        <v>#N/A</v>
      </c>
      <c r="CD75" s="29" t="e">
        <f t="shared" si="185"/>
        <v>#N/A</v>
      </c>
      <c r="CE75" s="6" t="str">
        <f t="shared" si="7"/>
        <v/>
      </c>
      <c r="CF75" s="27" t="e">
        <f>IF(AND(CI75,NOT(AD75)),LOOKUP(CF$5,{0,750,1500},H75:J75),"")</f>
        <v>#N/A</v>
      </c>
      <c r="CG75" s="6" t="str">
        <f t="shared" si="8"/>
        <v/>
      </c>
      <c r="CH75" t="e">
        <f t="shared" si="186"/>
        <v>#N/A</v>
      </c>
      <c r="CI75" t="e">
        <f t="shared" si="187"/>
        <v>#N/A</v>
      </c>
      <c r="CJ75" s="6" t="e">
        <f t="shared" si="11"/>
        <v>#N/A</v>
      </c>
      <c r="CK75" s="6">
        <f t="shared" si="12"/>
        <v>1</v>
      </c>
      <c r="CL75" s="6">
        <f t="shared" si="26"/>
        <v>1</v>
      </c>
      <c r="CM75" s="6">
        <f t="shared" si="13"/>
        <v>1</v>
      </c>
      <c r="CN75" s="6">
        <f t="shared" si="14"/>
        <v>1</v>
      </c>
      <c r="CO75" s="6">
        <f t="shared" si="15"/>
        <v>0</v>
      </c>
      <c r="CP75" s="6">
        <f t="shared" si="16"/>
        <v>1</v>
      </c>
      <c r="CQ75" s="6">
        <f t="shared" si="188"/>
        <v>1</v>
      </c>
      <c r="CR75" s="81" t="str">
        <f t="shared" si="17"/>
        <v/>
      </c>
      <c r="CS75">
        <f t="shared" si="189"/>
        <v>0</v>
      </c>
      <c r="CT75">
        <f t="shared" si="19"/>
        <v>250</v>
      </c>
      <c r="CU75" t="str">
        <f t="shared" si="29"/>
        <v/>
      </c>
      <c r="CV75" s="81">
        <f t="shared" si="190"/>
        <v>250</v>
      </c>
      <c r="CW75" s="81">
        <f>(CV75/25)^1.5*(Calculator!$BU$4/10000)*CW$5</f>
        <v>81.653361199867305</v>
      </c>
      <c r="CX75" t="str">
        <f t="shared" si="191"/>
        <v>$250</v>
      </c>
    </row>
    <row r="76" spans="2:102" x14ac:dyDescent="0.25">
      <c r="B76" s="115" t="s">
        <v>233</v>
      </c>
      <c r="C76" s="13">
        <v>46242.178472222222</v>
      </c>
      <c r="D76">
        <v>21502</v>
      </c>
      <c r="E76" s="54" t="s">
        <v>237</v>
      </c>
      <c r="F76" s="54" t="s">
        <v>422</v>
      </c>
      <c r="G76" s="54" t="s">
        <v>423</v>
      </c>
      <c r="H76" s="55">
        <v>13</v>
      </c>
      <c r="I76" s="55">
        <v>12.5</v>
      </c>
      <c r="J76" s="55">
        <v>12.3</v>
      </c>
      <c r="K76" s="54"/>
      <c r="L76" s="56" t="b">
        <v>0</v>
      </c>
      <c r="M76" s="56" t="b">
        <v>0</v>
      </c>
      <c r="N76" s="54">
        <v>1</v>
      </c>
      <c r="O76" s="54" t="s">
        <v>228</v>
      </c>
      <c r="P76" s="54">
        <v>100</v>
      </c>
      <c r="Q76" s="54">
        <v>36</v>
      </c>
      <c r="R76" s="54">
        <v>99</v>
      </c>
      <c r="S76" s="54" t="s">
        <v>424</v>
      </c>
      <c r="T76" s="54" t="s">
        <v>425</v>
      </c>
      <c r="U76" s="54" t="s">
        <v>1882</v>
      </c>
      <c r="V76" s="54" t="s">
        <v>1893</v>
      </c>
      <c r="W76" s="54" t="b">
        <v>0</v>
      </c>
      <c r="X76" s="54"/>
      <c r="Y76" s="57" t="s">
        <v>1894</v>
      </c>
      <c r="Z76" s="54" t="s">
        <v>426</v>
      </c>
      <c r="AA76" s="54"/>
      <c r="AB76" s="54" t="s">
        <v>427</v>
      </c>
      <c r="AC76" s="56" t="b">
        <v>0</v>
      </c>
      <c r="AD76" s="56" t="b">
        <v>0</v>
      </c>
      <c r="AE76" s="54" t="s">
        <v>302</v>
      </c>
      <c r="AF76" s="58">
        <v>46239</v>
      </c>
      <c r="AG76" s="62" t="s">
        <v>293</v>
      </c>
      <c r="AH76" s="54">
        <v>0</v>
      </c>
      <c r="AI76" s="54"/>
      <c r="AJ76" s="54"/>
      <c r="AK76" s="54"/>
      <c r="AL76" s="54"/>
      <c r="AM76" s="54">
        <v>0</v>
      </c>
      <c r="AN76" s="54"/>
      <c r="AO76" s="54"/>
      <c r="AP76" s="54"/>
      <c r="AQ76" s="54"/>
      <c r="AR76" s="54"/>
      <c r="AS76" s="54"/>
      <c r="AT76" s="54"/>
      <c r="AU76" s="54"/>
      <c r="AV76" s="54"/>
      <c r="AW76" s="54"/>
      <c r="AX76" s="59"/>
      <c r="AY76" s="59"/>
      <c r="AZ76" s="59"/>
      <c r="BA76" s="59"/>
      <c r="BB76" s="59">
        <v>6.1100000000000002E-2</v>
      </c>
      <c r="BC76" s="60">
        <v>4.0599999999999996</v>
      </c>
      <c r="BD76" s="61">
        <v>6.0295000000000001E-2</v>
      </c>
      <c r="BE76" s="62" t="s">
        <v>293</v>
      </c>
      <c r="BF76" s="35">
        <f t="shared" si="192"/>
        <v>4.0600000000000005</v>
      </c>
      <c r="BG76" s="35">
        <f t="shared" si="192"/>
        <v>6.0295000000000001E-2</v>
      </c>
      <c r="BH76" s="35" t="str">
        <f t="shared" si="181"/>
        <v>Low</v>
      </c>
      <c r="BI76" s="110">
        <f t="shared" si="182"/>
        <v>0</v>
      </c>
      <c r="BJ76" s="83">
        <f>VLOOKUP($F76,REP_Info!$D$6:$H$250,5,FALSE)</f>
        <v>3.9169999999999998</v>
      </c>
      <c r="BK76" s="30">
        <f t="shared" si="183"/>
        <v>12.951499999999998</v>
      </c>
      <c r="BL76" s="30">
        <f t="shared" si="183"/>
        <v>12.545500000000001</v>
      </c>
      <c r="BM76" s="30">
        <f t="shared" si="183"/>
        <v>12.342500000000001</v>
      </c>
      <c r="BN76" s="29">
        <f t="shared" si="183"/>
        <v>12.274833333333333</v>
      </c>
      <c r="BO76" s="85" t="str">
        <f t="shared" si="2"/>
        <v>$$$</v>
      </c>
      <c r="BP76" s="88" t="str">
        <f t="shared" si="184"/>
        <v>$$$</v>
      </c>
      <c r="BQ76" s="88" t="str">
        <f t="shared" si="4"/>
        <v>$$$</v>
      </c>
      <c r="BR76" s="88" t="str">
        <f t="shared" si="5"/>
        <v>$$$</v>
      </c>
      <c r="BS76" s="29" t="e">
        <f t="shared" si="185"/>
        <v>#N/A</v>
      </c>
      <c r="BT76" s="29" t="e">
        <f t="shared" si="185"/>
        <v>#N/A</v>
      </c>
      <c r="BU76" s="29" t="e">
        <f t="shared" si="185"/>
        <v>#N/A</v>
      </c>
      <c r="BV76" s="29" t="e">
        <f t="shared" si="185"/>
        <v>#N/A</v>
      </c>
      <c r="BW76" s="29" t="e">
        <f t="shared" si="185"/>
        <v>#N/A</v>
      </c>
      <c r="BX76" s="29" t="e">
        <f t="shared" si="185"/>
        <v>#N/A</v>
      </c>
      <c r="BY76" s="29" t="e">
        <f t="shared" si="185"/>
        <v>#N/A</v>
      </c>
      <c r="BZ76" s="29" t="e">
        <f t="shared" si="185"/>
        <v>#N/A</v>
      </c>
      <c r="CA76" s="29" t="e">
        <f t="shared" si="185"/>
        <v>#N/A</v>
      </c>
      <c r="CB76" s="29" t="e">
        <f t="shared" si="185"/>
        <v>#N/A</v>
      </c>
      <c r="CC76" s="29" t="e">
        <f t="shared" si="185"/>
        <v>#N/A</v>
      </c>
      <c r="CD76" s="29" t="e">
        <f t="shared" si="185"/>
        <v>#N/A</v>
      </c>
      <c r="CE76" s="6" t="str">
        <f t="shared" si="7"/>
        <v/>
      </c>
      <c r="CF76" s="27" t="e">
        <f>IF(AND(CI76,NOT(AD76)),LOOKUP(CF$5,{0,750,1500},H76:J76),"")</f>
        <v>#N/A</v>
      </c>
      <c r="CG76" s="6" t="str">
        <f t="shared" si="8"/>
        <v/>
      </c>
      <c r="CH76" t="e">
        <f t="shared" si="186"/>
        <v>#N/A</v>
      </c>
      <c r="CI76" t="e">
        <f t="shared" si="187"/>
        <v>#N/A</v>
      </c>
      <c r="CJ76" s="6" t="e">
        <f t="shared" si="11"/>
        <v>#N/A</v>
      </c>
      <c r="CK76" s="6">
        <f t="shared" si="12"/>
        <v>1</v>
      </c>
      <c r="CL76" s="6">
        <f t="shared" si="26"/>
        <v>1</v>
      </c>
      <c r="CM76" s="6">
        <f t="shared" si="13"/>
        <v>1</v>
      </c>
      <c r="CN76" s="6">
        <f t="shared" si="14"/>
        <v>1</v>
      </c>
      <c r="CO76" s="6">
        <f t="shared" si="15"/>
        <v>0</v>
      </c>
      <c r="CP76" s="6">
        <f t="shared" si="16"/>
        <v>1</v>
      </c>
      <c r="CQ76" s="6">
        <f t="shared" si="188"/>
        <v>1</v>
      </c>
      <c r="CR76" s="81" t="str">
        <f t="shared" si="17"/>
        <v/>
      </c>
      <c r="CS76">
        <f t="shared" si="189"/>
        <v>0</v>
      </c>
      <c r="CT76">
        <f t="shared" si="19"/>
        <v>99</v>
      </c>
      <c r="CU76" t="str">
        <f t="shared" si="29"/>
        <v/>
      </c>
      <c r="CV76" s="81">
        <f t="shared" si="190"/>
        <v>99</v>
      </c>
      <c r="CW76" s="81">
        <f>(CV76/25)^1.5*(Calculator!$BU$4/10000)*CW$5</f>
        <v>20.347771207718779</v>
      </c>
      <c r="CX76" t="str">
        <f t="shared" si="191"/>
        <v>$99</v>
      </c>
    </row>
    <row r="77" spans="2:102" x14ac:dyDescent="0.25">
      <c r="B77" s="115" t="s">
        <v>233</v>
      </c>
      <c r="C77" s="13">
        <v>46242.178472222222</v>
      </c>
      <c r="D77">
        <v>21694</v>
      </c>
      <c r="E77" s="54" t="s">
        <v>237</v>
      </c>
      <c r="F77" s="54" t="s">
        <v>422</v>
      </c>
      <c r="G77" s="54" t="s">
        <v>428</v>
      </c>
      <c r="H77" s="55">
        <v>12.6</v>
      </c>
      <c r="I77" s="55">
        <v>12.1</v>
      </c>
      <c r="J77" s="55">
        <v>11.899999999999999</v>
      </c>
      <c r="K77" s="54"/>
      <c r="L77" s="56" t="b">
        <v>0</v>
      </c>
      <c r="M77" s="56" t="b">
        <v>0</v>
      </c>
      <c r="N77" s="54">
        <v>1</v>
      </c>
      <c r="O77" s="54" t="s">
        <v>228</v>
      </c>
      <c r="P77" s="54">
        <v>100</v>
      </c>
      <c r="Q77" s="54">
        <v>24</v>
      </c>
      <c r="R77" s="54">
        <v>99</v>
      </c>
      <c r="S77" s="54" t="s">
        <v>424</v>
      </c>
      <c r="T77" s="54" t="s">
        <v>425</v>
      </c>
      <c r="U77" s="54" t="s">
        <v>1883</v>
      </c>
      <c r="V77" s="54" t="s">
        <v>1895</v>
      </c>
      <c r="W77" s="54" t="b">
        <v>0</v>
      </c>
      <c r="X77" s="54"/>
      <c r="Y77" s="57" t="s">
        <v>1896</v>
      </c>
      <c r="Z77" s="54" t="s">
        <v>429</v>
      </c>
      <c r="AA77" s="54"/>
      <c r="AB77" s="54" t="s">
        <v>427</v>
      </c>
      <c r="AC77" s="56" t="b">
        <v>0</v>
      </c>
      <c r="AD77" s="56" t="b">
        <v>0</v>
      </c>
      <c r="AE77" s="54" t="s">
        <v>302</v>
      </c>
      <c r="AF77" s="58">
        <v>46239</v>
      </c>
      <c r="AG77" s="62" t="s">
        <v>293</v>
      </c>
      <c r="AH77" s="54">
        <v>0</v>
      </c>
      <c r="AI77" s="54"/>
      <c r="AJ77" s="54"/>
      <c r="AK77" s="54"/>
      <c r="AL77" s="54"/>
      <c r="AM77" s="54">
        <v>0</v>
      </c>
      <c r="AN77" s="54"/>
      <c r="AO77" s="54"/>
      <c r="AP77" s="54"/>
      <c r="AQ77" s="54"/>
      <c r="AR77" s="54"/>
      <c r="AS77" s="54"/>
      <c r="AT77" s="54"/>
      <c r="AU77" s="54"/>
      <c r="AV77" s="54"/>
      <c r="AW77" s="54"/>
      <c r="AX77" s="59"/>
      <c r="AY77" s="59"/>
      <c r="AZ77" s="59"/>
      <c r="BA77" s="59"/>
      <c r="BB77" s="59">
        <v>5.7099999999999998E-2</v>
      </c>
      <c r="BC77" s="60">
        <v>4.0599999999999996</v>
      </c>
      <c r="BD77" s="61">
        <v>6.0295000000000001E-2</v>
      </c>
      <c r="BE77" s="62" t="s">
        <v>293</v>
      </c>
      <c r="BF77" s="35">
        <f t="shared" si="192"/>
        <v>4.0600000000000005</v>
      </c>
      <c r="BG77" s="35">
        <f t="shared" si="192"/>
        <v>6.0295000000000001E-2</v>
      </c>
      <c r="BH77" s="35" t="str">
        <f t="shared" si="181"/>
        <v>Low</v>
      </c>
      <c r="BI77" s="110">
        <f t="shared" si="182"/>
        <v>0</v>
      </c>
      <c r="BJ77" s="83">
        <f>VLOOKUP($F77,REP_Info!$D$6:$H$250,5,FALSE)</f>
        <v>3.9169999999999998</v>
      </c>
      <c r="BK77" s="30">
        <f t="shared" si="183"/>
        <v>12.551500000000001</v>
      </c>
      <c r="BL77" s="30">
        <f t="shared" si="183"/>
        <v>12.145500000000002</v>
      </c>
      <c r="BM77" s="30">
        <f t="shared" si="183"/>
        <v>11.942500000000003</v>
      </c>
      <c r="BN77" s="29">
        <f t="shared" si="183"/>
        <v>11.874833333333333</v>
      </c>
      <c r="BO77" s="85" t="str">
        <f t="shared" si="2"/>
        <v>$$$</v>
      </c>
      <c r="BP77" s="88" t="str">
        <f t="shared" si="184"/>
        <v>$$$</v>
      </c>
      <c r="BQ77" s="88" t="str">
        <f t="shared" ref="BQ77:BQ99" si="193">IFERROR(SUMPRODUCT($BS$7:$CD$7,$BS77:$CD77,--($BS$4:$CD$4&lt;=$Q77))/SUMPRODUCT(--($BS$4:$CD$4&lt;=$Q77),$BS$7:$CD$7),"$$$")</f>
        <v>$$$</v>
      </c>
      <c r="BR77" s="88" t="str">
        <f t="shared" ref="BR77:BR99" si="194">IFERROR($BQ77-$BF77*100*SUMPRODUCT(--($BS$4:$CD$4&lt;=$Q77))/SUMPRODUCT(--($BS$4:$CD$4&lt;=$Q77),$BS$7:$CD$7)-$BG77*100,"$$$")</f>
        <v>$$$</v>
      </c>
      <c r="BS77" s="29" t="e">
        <f t="shared" si="185"/>
        <v>#N/A</v>
      </c>
      <c r="BT77" s="29" t="e">
        <f t="shared" si="185"/>
        <v>#N/A</v>
      </c>
      <c r="BU77" s="29" t="e">
        <f t="shared" si="185"/>
        <v>#N/A</v>
      </c>
      <c r="BV77" s="29" t="e">
        <f t="shared" ref="BS77:CD98" si="195">IF($CI77,IF(BV$7&gt;0,IF(BV$4&gt;$Q77,$BF77+BV$7*(BV$5+$BG77+$BI77),LOOKUP(BV$7,$AH77:$AL77,$AM77:$AQ77)+IF($AG77="Y",SUMPRODUCT($AX77:$BB77-$AW77:$BA77,BV$7-$AR77:$AV77,N(BV$7&gt;$AR77:$AV77)),BV$7*LOOKUP(BV$7,$AR77:$AV77,$AX77:$BB77))+IF($BE77="Y",$BF77,$BC77)+BV$7*IF($BE77="Y",$BG77,$BD77))*100/BV$7,""),NA())</f>
        <v>#N/A</v>
      </c>
      <c r="BW77" s="29" t="e">
        <f t="shared" si="195"/>
        <v>#N/A</v>
      </c>
      <c r="BX77" s="29" t="e">
        <f t="shared" si="195"/>
        <v>#N/A</v>
      </c>
      <c r="BY77" s="29" t="e">
        <f t="shared" si="195"/>
        <v>#N/A</v>
      </c>
      <c r="BZ77" s="29" t="e">
        <f t="shared" si="195"/>
        <v>#N/A</v>
      </c>
      <c r="CA77" s="29" t="e">
        <f t="shared" si="195"/>
        <v>#N/A</v>
      </c>
      <c r="CB77" s="29" t="e">
        <f t="shared" si="195"/>
        <v>#N/A</v>
      </c>
      <c r="CC77" s="29" t="e">
        <f t="shared" si="195"/>
        <v>#N/A</v>
      </c>
      <c r="CD77" s="29" t="e">
        <f t="shared" si="195"/>
        <v>#N/A</v>
      </c>
      <c r="CE77" s="6" t="str">
        <f t="shared" si="7"/>
        <v/>
      </c>
      <c r="CF77" s="27" t="e">
        <f>IF(AND(CI77,NOT(AD77)),LOOKUP(CF$5,{0,750,1500},H77:J77),"")</f>
        <v>#N/A</v>
      </c>
      <c r="CG77" s="6" t="str">
        <f t="shared" si="8"/>
        <v/>
      </c>
      <c r="CH77" t="e">
        <f t="shared" si="186"/>
        <v>#N/A</v>
      </c>
      <c r="CI77" t="e">
        <f t="shared" si="187"/>
        <v>#N/A</v>
      </c>
      <c r="CJ77" s="6" t="e">
        <f t="shared" si="11"/>
        <v>#N/A</v>
      </c>
      <c r="CK77" s="6">
        <f t="shared" si="12"/>
        <v>1</v>
      </c>
      <c r="CL77" s="6">
        <f t="shared" si="26"/>
        <v>1</v>
      </c>
      <c r="CM77" s="6">
        <f t="shared" si="13"/>
        <v>1</v>
      </c>
      <c r="CN77" s="6">
        <f t="shared" si="14"/>
        <v>1</v>
      </c>
      <c r="CO77" s="6">
        <f t="shared" si="15"/>
        <v>0</v>
      </c>
      <c r="CP77" s="6">
        <f t="shared" si="16"/>
        <v>1</v>
      </c>
      <c r="CQ77" s="6">
        <f t="shared" si="188"/>
        <v>1</v>
      </c>
      <c r="CR77" s="81" t="str">
        <f t="shared" si="17"/>
        <v/>
      </c>
      <c r="CS77">
        <f t="shared" si="189"/>
        <v>0</v>
      </c>
      <c r="CT77">
        <f t="shared" si="19"/>
        <v>99</v>
      </c>
      <c r="CU77" t="str">
        <f t="shared" si="29"/>
        <v/>
      </c>
      <c r="CV77" s="81">
        <f t="shared" si="190"/>
        <v>99</v>
      </c>
      <c r="CW77" s="81">
        <f>(CV77/25)^1.5*(Calculator!$BU$4/10000)*CW$5</f>
        <v>20.347771207718779</v>
      </c>
      <c r="CX77" t="str">
        <f t="shared" si="191"/>
        <v>$99</v>
      </c>
    </row>
    <row r="78" spans="2:102" x14ac:dyDescent="0.25">
      <c r="B78" s="115" t="s">
        <v>233</v>
      </c>
      <c r="C78" s="13">
        <v>46252.407638888886</v>
      </c>
      <c r="D78">
        <v>24977</v>
      </c>
      <c r="E78" s="54" t="s">
        <v>235</v>
      </c>
      <c r="F78" s="54" t="s">
        <v>422</v>
      </c>
      <c r="G78" s="54" t="s">
        <v>430</v>
      </c>
      <c r="H78" s="55">
        <v>14.299999999999999</v>
      </c>
      <c r="I78" s="55">
        <v>13.8</v>
      </c>
      <c r="J78" s="55">
        <v>13.5</v>
      </c>
      <c r="K78" s="54"/>
      <c r="L78" s="56" t="b">
        <v>0</v>
      </c>
      <c r="M78" s="56" t="b">
        <v>0</v>
      </c>
      <c r="N78" s="54">
        <v>0</v>
      </c>
      <c r="O78" s="54" t="s">
        <v>238</v>
      </c>
      <c r="P78" s="54">
        <v>100</v>
      </c>
      <c r="Q78" s="54">
        <v>0</v>
      </c>
      <c r="R78" s="54">
        <v>0</v>
      </c>
      <c r="S78" s="54" t="s">
        <v>424</v>
      </c>
      <c r="T78" s="54" t="s">
        <v>431</v>
      </c>
      <c r="U78" s="54" t="s">
        <v>2130</v>
      </c>
      <c r="V78" s="54" t="s">
        <v>2131</v>
      </c>
      <c r="W78" s="54" t="b">
        <v>0</v>
      </c>
      <c r="X78" s="54"/>
      <c r="Y78" s="57" t="s">
        <v>2132</v>
      </c>
      <c r="Z78" s="54" t="s">
        <v>432</v>
      </c>
      <c r="AA78" s="54"/>
      <c r="AB78" s="54" t="s">
        <v>427</v>
      </c>
      <c r="AC78" s="56" t="b">
        <v>0</v>
      </c>
      <c r="AD78" s="56" t="b">
        <v>0</v>
      </c>
      <c r="AE78" s="54"/>
      <c r="AF78" s="58"/>
      <c r="AG78" s="62" t="s">
        <v>293</v>
      </c>
      <c r="AH78" s="54"/>
      <c r="AI78" s="54"/>
      <c r="AJ78" s="54"/>
      <c r="AK78" s="54"/>
      <c r="AL78" s="54"/>
      <c r="AM78" s="54">
        <v>0</v>
      </c>
      <c r="AN78" s="54"/>
      <c r="AO78" s="54"/>
      <c r="AP78" s="54"/>
      <c r="AQ78" s="54"/>
      <c r="AR78" s="54"/>
      <c r="AS78" s="54"/>
      <c r="AT78" s="54"/>
      <c r="AU78" s="54"/>
      <c r="AV78" s="54"/>
      <c r="AW78" s="54"/>
      <c r="AX78" s="59"/>
      <c r="AY78" s="59"/>
      <c r="AZ78" s="59"/>
      <c r="BA78" s="59"/>
      <c r="BB78" s="59"/>
      <c r="BC78" s="60"/>
      <c r="BD78" s="61"/>
      <c r="BE78" s="62"/>
      <c r="BF78" s="35">
        <f t="shared" si="192"/>
        <v>4.9000000000000004</v>
      </c>
      <c r="BG78" s="35">
        <f t="shared" si="192"/>
        <v>4.9811000000000001E-2</v>
      </c>
      <c r="BH78" s="35" t="str">
        <f t="shared" si="181"/>
        <v>?</v>
      </c>
      <c r="BI78" s="110" t="str">
        <f t="shared" si="182"/>
        <v/>
      </c>
      <c r="BJ78" s="83">
        <f>VLOOKUP($F78,REP_Info!$D$6:$H$250,5,FALSE)</f>
        <v>3.9169999999999998</v>
      </c>
      <c r="BK78" s="30" t="e">
        <f t="shared" si="183"/>
        <v>#N/A</v>
      </c>
      <c r="BL78" s="30" t="e">
        <f t="shared" si="183"/>
        <v>#N/A</v>
      </c>
      <c r="BM78" s="30" t="e">
        <f t="shared" si="183"/>
        <v>#N/A</v>
      </c>
      <c r="BN78" s="29" t="e">
        <f t="shared" si="183"/>
        <v>#N/A</v>
      </c>
      <c r="BO78" s="85" t="str">
        <f t="shared" si="2"/>
        <v>$$$</v>
      </c>
      <c r="BP78" s="88" t="str">
        <f t="shared" si="184"/>
        <v>$$$</v>
      </c>
      <c r="BQ78" s="88" t="str">
        <f t="shared" si="193"/>
        <v>$$$</v>
      </c>
      <c r="BR78" s="88" t="str">
        <f t="shared" si="194"/>
        <v>$$$</v>
      </c>
      <c r="BS78" s="29" t="e">
        <f t="shared" si="195"/>
        <v>#N/A</v>
      </c>
      <c r="BT78" s="29" t="e">
        <f t="shared" si="195"/>
        <v>#N/A</v>
      </c>
      <c r="BU78" s="29" t="e">
        <f t="shared" si="195"/>
        <v>#N/A</v>
      </c>
      <c r="BV78" s="29" t="e">
        <f t="shared" si="195"/>
        <v>#N/A</v>
      </c>
      <c r="BW78" s="29" t="e">
        <f t="shared" si="195"/>
        <v>#N/A</v>
      </c>
      <c r="BX78" s="29" t="e">
        <f t="shared" si="195"/>
        <v>#N/A</v>
      </c>
      <c r="BY78" s="29" t="e">
        <f t="shared" si="195"/>
        <v>#N/A</v>
      </c>
      <c r="BZ78" s="29" t="e">
        <f t="shared" si="195"/>
        <v>#N/A</v>
      </c>
      <c r="CA78" s="29" t="e">
        <f t="shared" si="195"/>
        <v>#N/A</v>
      </c>
      <c r="CB78" s="29" t="e">
        <f t="shared" si="195"/>
        <v>#N/A</v>
      </c>
      <c r="CC78" s="29" t="e">
        <f t="shared" si="195"/>
        <v>#N/A</v>
      </c>
      <c r="CD78" s="29" t="e">
        <f t="shared" si="195"/>
        <v>#N/A</v>
      </c>
      <c r="CE78" s="6" t="str">
        <f t="shared" si="7"/>
        <v/>
      </c>
      <c r="CF78" s="27" t="e">
        <f>IF(AND(CI78,NOT(AD78)),LOOKUP(CF$5,{0,750,1500},H78:J78),"")</f>
        <v>#N/A</v>
      </c>
      <c r="CG78" s="6" t="str">
        <f t="shared" si="8"/>
        <v/>
      </c>
      <c r="CH78" t="e">
        <f t="shared" si="186"/>
        <v>#N/A</v>
      </c>
      <c r="CI78" t="e">
        <f t="shared" si="187"/>
        <v>#N/A</v>
      </c>
      <c r="CJ78" s="6" t="e">
        <f t="shared" si="11"/>
        <v>#N/A</v>
      </c>
      <c r="CK78" s="6">
        <f t="shared" si="12"/>
        <v>1</v>
      </c>
      <c r="CL78" s="6">
        <f t="shared" si="26"/>
        <v>1</v>
      </c>
      <c r="CM78" s="6">
        <f t="shared" si="13"/>
        <v>0</v>
      </c>
      <c r="CN78" s="6">
        <f t="shared" si="14"/>
        <v>0</v>
      </c>
      <c r="CO78" s="6">
        <f t="shared" si="15"/>
        <v>1</v>
      </c>
      <c r="CP78" s="6">
        <f t="shared" si="16"/>
        <v>1</v>
      </c>
      <c r="CQ78" s="6">
        <f t="shared" si="188"/>
        <v>1</v>
      </c>
      <c r="CR78" s="81" t="str">
        <f t="shared" si="17"/>
        <v/>
      </c>
      <c r="CS78" t="e">
        <f t="shared" si="189"/>
        <v>#DIV/0!</v>
      </c>
      <c r="CT78">
        <f t="shared" si="19"/>
        <v>0</v>
      </c>
      <c r="CU78" t="str">
        <f t="shared" si="29"/>
        <v/>
      </c>
      <c r="CV78" s="81">
        <f t="shared" si="190"/>
        <v>0</v>
      </c>
      <c r="CW78" s="81">
        <f>(CV78/25)^1.5*(Calculator!$BU$4/10000)*CW$5</f>
        <v>0</v>
      </c>
      <c r="CX78" t="str">
        <f t="shared" si="191"/>
        <v>$0</v>
      </c>
    </row>
    <row r="79" spans="2:102" x14ac:dyDescent="0.25">
      <c r="B79" s="115" t="s">
        <v>233</v>
      </c>
      <c r="C79" s="13">
        <v>46237.767361111109</v>
      </c>
      <c r="D79">
        <v>24982</v>
      </c>
      <c r="E79" s="54" t="s">
        <v>237</v>
      </c>
      <c r="F79" s="54" t="s">
        <v>422</v>
      </c>
      <c r="G79" s="54" t="s">
        <v>430</v>
      </c>
      <c r="H79" s="55">
        <v>14.799999999999999</v>
      </c>
      <c r="I79" s="55">
        <v>14.399999999999999</v>
      </c>
      <c r="J79" s="55">
        <v>14.2</v>
      </c>
      <c r="K79" s="54"/>
      <c r="L79" s="56" t="b">
        <v>0</v>
      </c>
      <c r="M79" s="56" t="b">
        <v>0</v>
      </c>
      <c r="N79" s="54">
        <v>0</v>
      </c>
      <c r="O79" s="54" t="s">
        <v>238</v>
      </c>
      <c r="P79" s="54">
        <v>100</v>
      </c>
      <c r="Q79" s="54">
        <v>0</v>
      </c>
      <c r="R79" s="54">
        <v>0</v>
      </c>
      <c r="S79" s="54" t="s">
        <v>424</v>
      </c>
      <c r="T79" s="54" t="s">
        <v>431</v>
      </c>
      <c r="U79" s="54" t="s">
        <v>1826</v>
      </c>
      <c r="V79" s="54" t="s">
        <v>1827</v>
      </c>
      <c r="W79" s="54" t="b">
        <v>0</v>
      </c>
      <c r="X79" s="54"/>
      <c r="Y79" s="57" t="s">
        <v>1828</v>
      </c>
      <c r="Z79" s="54" t="s">
        <v>433</v>
      </c>
      <c r="AA79" s="54"/>
      <c r="AB79" s="54" t="s">
        <v>427</v>
      </c>
      <c r="AC79" s="56" t="b">
        <v>0</v>
      </c>
      <c r="AD79" s="56" t="b">
        <v>0</v>
      </c>
      <c r="AE79" s="54"/>
      <c r="AF79" s="58"/>
      <c r="AG79" s="62" t="s">
        <v>293</v>
      </c>
      <c r="AH79" s="54"/>
      <c r="AI79" s="54"/>
      <c r="AJ79" s="54"/>
      <c r="AK79" s="54"/>
      <c r="AL79" s="54"/>
      <c r="AM79" s="54">
        <v>0</v>
      </c>
      <c r="AN79" s="54"/>
      <c r="AO79" s="54"/>
      <c r="AP79" s="54"/>
      <c r="AQ79" s="54"/>
      <c r="AR79" s="54"/>
      <c r="AS79" s="54"/>
      <c r="AT79" s="54"/>
      <c r="AU79" s="54"/>
      <c r="AV79" s="54"/>
      <c r="AW79" s="54"/>
      <c r="AX79" s="59"/>
      <c r="AY79" s="59"/>
      <c r="AZ79" s="59"/>
      <c r="BA79" s="59"/>
      <c r="BB79" s="59"/>
      <c r="BC79" s="60"/>
      <c r="BD79" s="61"/>
      <c r="BE79" s="62"/>
      <c r="BF79" s="35">
        <f t="shared" si="192"/>
        <v>4.0600000000000005</v>
      </c>
      <c r="BG79" s="35">
        <f t="shared" si="192"/>
        <v>6.0295000000000001E-2</v>
      </c>
      <c r="BH79" s="35" t="str">
        <f t="shared" si="181"/>
        <v>?</v>
      </c>
      <c r="BI79" s="110" t="str">
        <f t="shared" si="182"/>
        <v/>
      </c>
      <c r="BJ79" s="83">
        <f>VLOOKUP($F79,REP_Info!$D$6:$H$250,5,FALSE)</f>
        <v>3.9169999999999998</v>
      </c>
      <c r="BK79" s="30" t="e">
        <f t="shared" si="183"/>
        <v>#N/A</v>
      </c>
      <c r="BL79" s="30" t="e">
        <f t="shared" si="183"/>
        <v>#N/A</v>
      </c>
      <c r="BM79" s="30" t="e">
        <f t="shared" si="183"/>
        <v>#N/A</v>
      </c>
      <c r="BN79" s="29" t="e">
        <f t="shared" si="183"/>
        <v>#N/A</v>
      </c>
      <c r="BO79" s="85" t="str">
        <f t="shared" si="2"/>
        <v>$$$</v>
      </c>
      <c r="BP79" s="88" t="str">
        <f t="shared" si="184"/>
        <v>$$$</v>
      </c>
      <c r="BQ79" s="88" t="str">
        <f t="shared" si="193"/>
        <v>$$$</v>
      </c>
      <c r="BR79" s="88" t="str">
        <f t="shared" si="194"/>
        <v>$$$</v>
      </c>
      <c r="BS79" s="29" t="e">
        <f t="shared" si="195"/>
        <v>#N/A</v>
      </c>
      <c r="BT79" s="29" t="e">
        <f t="shared" si="195"/>
        <v>#N/A</v>
      </c>
      <c r="BU79" s="29" t="e">
        <f t="shared" si="195"/>
        <v>#N/A</v>
      </c>
      <c r="BV79" s="29" t="e">
        <f t="shared" si="195"/>
        <v>#N/A</v>
      </c>
      <c r="BW79" s="29" t="e">
        <f t="shared" si="195"/>
        <v>#N/A</v>
      </c>
      <c r="BX79" s="29" t="e">
        <f t="shared" si="195"/>
        <v>#N/A</v>
      </c>
      <c r="BY79" s="29" t="e">
        <f t="shared" si="195"/>
        <v>#N/A</v>
      </c>
      <c r="BZ79" s="29" t="e">
        <f t="shared" si="195"/>
        <v>#N/A</v>
      </c>
      <c r="CA79" s="29" t="e">
        <f t="shared" si="195"/>
        <v>#N/A</v>
      </c>
      <c r="CB79" s="29" t="e">
        <f t="shared" si="195"/>
        <v>#N/A</v>
      </c>
      <c r="CC79" s="29" t="e">
        <f t="shared" si="195"/>
        <v>#N/A</v>
      </c>
      <c r="CD79" s="29" t="e">
        <f t="shared" si="195"/>
        <v>#N/A</v>
      </c>
      <c r="CE79" s="6" t="str">
        <f t="shared" ref="CE79:CE142" si="196">IF(ISNUMBER(CF79),RANK($CF79,$CF$8:$CF$357,1),"")</f>
        <v/>
      </c>
      <c r="CF79" s="27" t="e">
        <f>IF(AND(CI79,NOT(AD79)),LOOKUP(CF$5,{0,750,1500},H79:J79),"")</f>
        <v>#N/A</v>
      </c>
      <c r="CG79" s="6" t="str">
        <f t="shared" ref="CG79:CG142" si="197">IF(ISNUMBER(CH79),RANK($CH79,$CH$8:$CH$357,1),"")</f>
        <v/>
      </c>
      <c r="CH79" t="e">
        <f t="shared" si="186"/>
        <v>#N/A</v>
      </c>
      <c r="CI79" t="e">
        <f t="shared" si="187"/>
        <v>#N/A</v>
      </c>
      <c r="CJ79" s="6" t="e">
        <f t="shared" si="11"/>
        <v>#N/A</v>
      </c>
      <c r="CK79" s="6">
        <f t="shared" si="12"/>
        <v>1</v>
      </c>
      <c r="CL79" s="6">
        <f t="shared" si="26"/>
        <v>1</v>
      </c>
      <c r="CM79" s="6">
        <f t="shared" si="13"/>
        <v>0</v>
      </c>
      <c r="CN79" s="6">
        <f t="shared" si="14"/>
        <v>0</v>
      </c>
      <c r="CO79" s="6">
        <f t="shared" si="15"/>
        <v>1</v>
      </c>
      <c r="CP79" s="6">
        <f t="shared" si="16"/>
        <v>1</v>
      </c>
      <c r="CQ79" s="6">
        <f t="shared" si="188"/>
        <v>1</v>
      </c>
      <c r="CR79" s="81" t="str">
        <f t="shared" si="17"/>
        <v/>
      </c>
      <c r="CS79" t="e">
        <f t="shared" si="189"/>
        <v>#DIV/0!</v>
      </c>
      <c r="CT79">
        <f t="shared" si="19"/>
        <v>0</v>
      </c>
      <c r="CU79" t="str">
        <f t="shared" si="29"/>
        <v/>
      </c>
      <c r="CV79" s="81">
        <f t="shared" si="190"/>
        <v>0</v>
      </c>
      <c r="CW79" s="81">
        <f>(CV79/25)^1.5*(Calculator!$BU$4/10000)*CW$5</f>
        <v>0</v>
      </c>
      <c r="CX79" t="str">
        <f t="shared" si="191"/>
        <v>$0</v>
      </c>
    </row>
    <row r="80" spans="2:102" x14ac:dyDescent="0.25">
      <c r="B80" s="115" t="s">
        <v>233</v>
      </c>
      <c r="C80" s="13">
        <v>46254.637499999997</v>
      </c>
      <c r="D80">
        <v>34725</v>
      </c>
      <c r="E80" s="54" t="s">
        <v>235</v>
      </c>
      <c r="F80" s="54" t="s">
        <v>422</v>
      </c>
      <c r="G80" s="54" t="s">
        <v>434</v>
      </c>
      <c r="H80" s="55">
        <v>11.700000000000001</v>
      </c>
      <c r="I80" s="55">
        <v>10.199999999999999</v>
      </c>
      <c r="J80" s="55">
        <v>9.5</v>
      </c>
      <c r="K80" s="54"/>
      <c r="L80" s="56" t="b">
        <v>0</v>
      </c>
      <c r="M80" s="56" t="b">
        <v>1</v>
      </c>
      <c r="N80" s="54">
        <v>1</v>
      </c>
      <c r="O80" s="54" t="s">
        <v>228</v>
      </c>
      <c r="P80" s="54">
        <v>100</v>
      </c>
      <c r="Q80" s="54">
        <v>12</v>
      </c>
      <c r="R80" s="54" t="s">
        <v>435</v>
      </c>
      <c r="S80" s="54" t="s">
        <v>424</v>
      </c>
      <c r="T80" s="54" t="s">
        <v>436</v>
      </c>
      <c r="U80" s="54" t="s">
        <v>2238</v>
      </c>
      <c r="V80" s="54" t="s">
        <v>2262</v>
      </c>
      <c r="W80" s="54" t="b">
        <v>0</v>
      </c>
      <c r="X80" s="54"/>
      <c r="Y80" s="57" t="s">
        <v>2263</v>
      </c>
      <c r="Z80" s="54" t="s">
        <v>437</v>
      </c>
      <c r="AA80" s="54"/>
      <c r="AB80" s="54" t="s">
        <v>427</v>
      </c>
      <c r="AC80" s="56" t="b">
        <v>1</v>
      </c>
      <c r="AD80" s="56" t="b">
        <v>0</v>
      </c>
      <c r="AE80" s="54" t="s">
        <v>302</v>
      </c>
      <c r="AF80" s="58">
        <v>46253</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3.7635000000000002E-2</v>
      </c>
      <c r="BC80" s="60">
        <v>4.9000000000000004</v>
      </c>
      <c r="BD80" s="61">
        <v>4.9811000000000001E-2</v>
      </c>
      <c r="BE80" s="62" t="e">
        <v>#N/A</v>
      </c>
      <c r="BF80" s="35">
        <f t="shared" si="192"/>
        <v>4.9000000000000004</v>
      </c>
      <c r="BG80" s="35">
        <f t="shared" si="192"/>
        <v>4.9811000000000001E-2</v>
      </c>
      <c r="BH80" s="35" t="str">
        <f t="shared" si="181"/>
        <v>?</v>
      </c>
      <c r="BI80" s="110">
        <f t="shared" si="182"/>
        <v>0</v>
      </c>
      <c r="BJ80" s="83">
        <f>VLOOKUP($F80,REP_Info!$D$6:$H$250,5,FALSE)</f>
        <v>3.9169999999999998</v>
      </c>
      <c r="BK80" s="30" t="e">
        <f t="shared" si="183"/>
        <v>#N/A</v>
      </c>
      <c r="BL80" s="30" t="e">
        <f t="shared" si="183"/>
        <v>#N/A</v>
      </c>
      <c r="BM80" s="30" t="e">
        <f t="shared" si="183"/>
        <v>#N/A</v>
      </c>
      <c r="BN80" s="29" t="e">
        <f t="shared" si="183"/>
        <v>#N/A</v>
      </c>
      <c r="BO80" s="85" t="str">
        <f t="shared" si="2"/>
        <v>$$$</v>
      </c>
      <c r="BP80" s="88" t="str">
        <f t="shared" si="184"/>
        <v>$$$</v>
      </c>
      <c r="BQ80" s="88" t="str">
        <f t="shared" si="193"/>
        <v>$$$</v>
      </c>
      <c r="BR80" s="88" t="str">
        <f t="shared" si="194"/>
        <v>$$$</v>
      </c>
      <c r="BS80" s="29" t="e">
        <f t="shared" si="195"/>
        <v>#N/A</v>
      </c>
      <c r="BT80" s="29" t="e">
        <f t="shared" si="195"/>
        <v>#N/A</v>
      </c>
      <c r="BU80" s="29" t="e">
        <f t="shared" si="195"/>
        <v>#N/A</v>
      </c>
      <c r="BV80" s="29" t="e">
        <f t="shared" si="195"/>
        <v>#N/A</v>
      </c>
      <c r="BW80" s="29" t="e">
        <f t="shared" si="195"/>
        <v>#N/A</v>
      </c>
      <c r="BX80" s="29" t="e">
        <f t="shared" si="195"/>
        <v>#N/A</v>
      </c>
      <c r="BY80" s="29" t="e">
        <f t="shared" si="195"/>
        <v>#N/A</v>
      </c>
      <c r="BZ80" s="29" t="e">
        <f t="shared" si="195"/>
        <v>#N/A</v>
      </c>
      <c r="CA80" s="29" t="e">
        <f t="shared" si="195"/>
        <v>#N/A</v>
      </c>
      <c r="CB80" s="29" t="e">
        <f t="shared" si="195"/>
        <v>#N/A</v>
      </c>
      <c r="CC80" s="29" t="e">
        <f t="shared" si="195"/>
        <v>#N/A</v>
      </c>
      <c r="CD80" s="29" t="e">
        <f t="shared" si="195"/>
        <v>#N/A</v>
      </c>
      <c r="CE80" s="6" t="str">
        <f t="shared" si="196"/>
        <v/>
      </c>
      <c r="CF80" s="27" t="e">
        <f>IF(AND(CI80,NOT(AD80)),LOOKUP(CF$5,{0,750,1500},H80:J80),"")</f>
        <v>#N/A</v>
      </c>
      <c r="CG80" s="6" t="str">
        <f t="shared" si="197"/>
        <v/>
      </c>
      <c r="CH80" t="e">
        <f t="shared" si="186"/>
        <v>#N/A</v>
      </c>
      <c r="CI80" t="e">
        <f t="shared" si="187"/>
        <v>#N/A</v>
      </c>
      <c r="CJ80" s="6" t="e">
        <f t="shared" si="11"/>
        <v>#N/A</v>
      </c>
      <c r="CK80" s="6">
        <f t="shared" si="12"/>
        <v>1</v>
      </c>
      <c r="CL80" s="6">
        <f t="shared" si="26"/>
        <v>1</v>
      </c>
      <c r="CM80" s="6">
        <f t="shared" si="13"/>
        <v>1</v>
      </c>
      <c r="CN80" s="6">
        <f t="shared" si="14"/>
        <v>1</v>
      </c>
      <c r="CO80" s="6">
        <f t="shared" si="15"/>
        <v>1</v>
      </c>
      <c r="CP80" s="6">
        <f t="shared" si="16"/>
        <v>1</v>
      </c>
      <c r="CQ80" s="6">
        <f t="shared" si="188"/>
        <v>1</v>
      </c>
      <c r="CR80" s="81" t="str">
        <f t="shared" si="17"/>
        <v/>
      </c>
      <c r="CS80">
        <f t="shared" si="189"/>
        <v>0</v>
      </c>
      <c r="CT80">
        <f t="shared" si="19"/>
        <v>15</v>
      </c>
      <c r="CU80" t="str">
        <f t="shared" si="29"/>
        <v>rm</v>
      </c>
      <c r="CV80" s="81">
        <f t="shared" si="190"/>
        <v>180</v>
      </c>
      <c r="CW80" s="81">
        <f>(CV80/25)^1.5*(Calculator!$BU$4/10000)*CW$5</f>
        <v>49.885325635190988</v>
      </c>
      <c r="CX80" t="str">
        <f t="shared" si="191"/>
        <v>$15/rm</v>
      </c>
    </row>
    <row r="81" spans="2:102" x14ac:dyDescent="0.25">
      <c r="B81" s="115" t="s">
        <v>233</v>
      </c>
      <c r="C81" s="13">
        <v>46254.637499999997</v>
      </c>
      <c r="D81">
        <v>34727</v>
      </c>
      <c r="E81" s="54" t="s">
        <v>237</v>
      </c>
      <c r="F81" s="54" t="s">
        <v>422</v>
      </c>
      <c r="G81" s="54" t="s">
        <v>434</v>
      </c>
      <c r="H81" s="55">
        <v>12.5</v>
      </c>
      <c r="I81" s="55">
        <v>11.1</v>
      </c>
      <c r="J81" s="55">
        <v>10.4</v>
      </c>
      <c r="K81" s="54"/>
      <c r="L81" s="56" t="b">
        <v>0</v>
      </c>
      <c r="M81" s="56" t="b">
        <v>1</v>
      </c>
      <c r="N81" s="54">
        <v>1</v>
      </c>
      <c r="O81" s="54" t="s">
        <v>228</v>
      </c>
      <c r="P81" s="54">
        <v>100</v>
      </c>
      <c r="Q81" s="54">
        <v>12</v>
      </c>
      <c r="R81" s="54" t="s">
        <v>435</v>
      </c>
      <c r="S81" s="54" t="s">
        <v>424</v>
      </c>
      <c r="T81" s="54" t="s">
        <v>436</v>
      </c>
      <c r="U81" s="54" t="s">
        <v>2239</v>
      </c>
      <c r="V81" s="54" t="s">
        <v>2264</v>
      </c>
      <c r="W81" s="54" t="b">
        <v>0</v>
      </c>
      <c r="X81" s="54"/>
      <c r="Y81" s="57" t="s">
        <v>2265</v>
      </c>
      <c r="Z81" s="54" t="s">
        <v>438</v>
      </c>
      <c r="AA81" s="54"/>
      <c r="AB81" s="54" t="s">
        <v>427</v>
      </c>
      <c r="AC81" s="56" t="b">
        <v>1</v>
      </c>
      <c r="AD81" s="56" t="b">
        <v>0</v>
      </c>
      <c r="AE81" s="54" t="s">
        <v>302</v>
      </c>
      <c r="AF81" s="58">
        <v>46253</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3.6985000000000004E-2</v>
      </c>
      <c r="BC81" s="60">
        <v>4.0599999999999996</v>
      </c>
      <c r="BD81" s="61">
        <v>6.0295000000000001E-2</v>
      </c>
      <c r="BE81" s="62" t="e">
        <v>#N/A</v>
      </c>
      <c r="BF81" s="35">
        <f t="shared" si="192"/>
        <v>4.0600000000000005</v>
      </c>
      <c r="BG81" s="35">
        <f t="shared" si="192"/>
        <v>6.0295000000000001E-2</v>
      </c>
      <c r="BH81" s="35" t="str">
        <f t="shared" si="181"/>
        <v>?</v>
      </c>
      <c r="BI81" s="110">
        <f t="shared" si="182"/>
        <v>0</v>
      </c>
      <c r="BJ81" s="83">
        <f>VLOOKUP($F81,REP_Info!$D$6:$H$250,5,FALSE)</f>
        <v>3.9169999999999998</v>
      </c>
      <c r="BK81" s="30" t="e">
        <f t="shared" si="183"/>
        <v>#N/A</v>
      </c>
      <c r="BL81" s="30" t="e">
        <f t="shared" si="183"/>
        <v>#N/A</v>
      </c>
      <c r="BM81" s="30" t="e">
        <f t="shared" si="183"/>
        <v>#N/A</v>
      </c>
      <c r="BN81" s="29" t="e">
        <f t="shared" si="183"/>
        <v>#N/A</v>
      </c>
      <c r="BO81" s="85" t="str">
        <f t="shared" si="2"/>
        <v>$$$</v>
      </c>
      <c r="BP81" s="88" t="str">
        <f t="shared" si="184"/>
        <v>$$$</v>
      </c>
      <c r="BQ81" s="88" t="str">
        <f t="shared" si="193"/>
        <v>$$$</v>
      </c>
      <c r="BR81" s="88" t="str">
        <f t="shared" si="194"/>
        <v>$$$</v>
      </c>
      <c r="BS81" s="29" t="e">
        <f t="shared" si="195"/>
        <v>#N/A</v>
      </c>
      <c r="BT81" s="29" t="e">
        <f t="shared" si="195"/>
        <v>#N/A</v>
      </c>
      <c r="BU81" s="29" t="e">
        <f t="shared" si="195"/>
        <v>#N/A</v>
      </c>
      <c r="BV81" s="29" t="e">
        <f t="shared" si="195"/>
        <v>#N/A</v>
      </c>
      <c r="BW81" s="29" t="e">
        <f t="shared" si="195"/>
        <v>#N/A</v>
      </c>
      <c r="BX81" s="29" t="e">
        <f t="shared" si="195"/>
        <v>#N/A</v>
      </c>
      <c r="BY81" s="29" t="e">
        <f t="shared" si="195"/>
        <v>#N/A</v>
      </c>
      <c r="BZ81" s="29" t="e">
        <f t="shared" si="195"/>
        <v>#N/A</v>
      </c>
      <c r="CA81" s="29" t="e">
        <f t="shared" si="195"/>
        <v>#N/A</v>
      </c>
      <c r="CB81" s="29" t="e">
        <f t="shared" si="195"/>
        <v>#N/A</v>
      </c>
      <c r="CC81" s="29" t="e">
        <f t="shared" si="195"/>
        <v>#N/A</v>
      </c>
      <c r="CD81" s="29" t="e">
        <f t="shared" si="195"/>
        <v>#N/A</v>
      </c>
      <c r="CE81" s="6" t="str">
        <f t="shared" si="196"/>
        <v/>
      </c>
      <c r="CF81" s="27" t="e">
        <f>IF(AND(CI81,NOT(AD81)),LOOKUP(CF$5,{0,750,1500},H81:J81),"")</f>
        <v>#N/A</v>
      </c>
      <c r="CG81" s="6" t="str">
        <f t="shared" si="197"/>
        <v/>
      </c>
      <c r="CH81" t="e">
        <f t="shared" si="186"/>
        <v>#N/A</v>
      </c>
      <c r="CI81" t="e">
        <f t="shared" si="187"/>
        <v>#N/A</v>
      </c>
      <c r="CJ81" s="6" t="e">
        <f t="shared" si="11"/>
        <v>#N/A</v>
      </c>
      <c r="CK81" s="6">
        <f t="shared" si="12"/>
        <v>1</v>
      </c>
      <c r="CL81" s="6">
        <f t="shared" si="26"/>
        <v>1</v>
      </c>
      <c r="CM81" s="6">
        <f t="shared" si="13"/>
        <v>1</v>
      </c>
      <c r="CN81" s="6">
        <f t="shared" si="14"/>
        <v>1</v>
      </c>
      <c r="CO81" s="6">
        <f t="shared" si="15"/>
        <v>1</v>
      </c>
      <c r="CP81" s="6">
        <f t="shared" si="16"/>
        <v>1</v>
      </c>
      <c r="CQ81" s="6">
        <f t="shared" si="188"/>
        <v>1</v>
      </c>
      <c r="CR81" s="81" t="str">
        <f t="shared" si="17"/>
        <v/>
      </c>
      <c r="CS81">
        <f t="shared" si="189"/>
        <v>0</v>
      </c>
      <c r="CT81">
        <f t="shared" si="19"/>
        <v>15</v>
      </c>
      <c r="CU81" t="str">
        <f t="shared" si="29"/>
        <v>rm</v>
      </c>
      <c r="CV81" s="81">
        <f t="shared" si="190"/>
        <v>180</v>
      </c>
      <c r="CW81" s="81">
        <f>(CV81/25)^1.5*(Calculator!$BU$4/10000)*CW$5</f>
        <v>49.885325635190988</v>
      </c>
      <c r="CX81" t="str">
        <f t="shared" si="191"/>
        <v>$15/rm</v>
      </c>
    </row>
    <row r="82" spans="2:102" x14ac:dyDescent="0.25">
      <c r="B82" s="115" t="s">
        <v>233</v>
      </c>
      <c r="C82" s="13">
        <v>46256.21597222222</v>
      </c>
      <c r="D82">
        <v>34735</v>
      </c>
      <c r="E82" s="54" t="s">
        <v>235</v>
      </c>
      <c r="F82" s="54" t="s">
        <v>422</v>
      </c>
      <c r="G82" s="54" t="s">
        <v>439</v>
      </c>
      <c r="H82" s="55">
        <v>13</v>
      </c>
      <c r="I82" s="55">
        <v>11.5</v>
      </c>
      <c r="J82" s="55">
        <v>10.8</v>
      </c>
      <c r="K82" s="54"/>
      <c r="L82" s="56" t="b">
        <v>0</v>
      </c>
      <c r="M82" s="56" t="b">
        <v>1</v>
      </c>
      <c r="N82" s="54">
        <v>1</v>
      </c>
      <c r="O82" s="54" t="s">
        <v>228</v>
      </c>
      <c r="P82" s="54">
        <v>100</v>
      </c>
      <c r="Q82" s="54">
        <v>24</v>
      </c>
      <c r="R82" s="54" t="s">
        <v>435</v>
      </c>
      <c r="S82" s="54" t="s">
        <v>424</v>
      </c>
      <c r="T82" s="54" t="s">
        <v>436</v>
      </c>
      <c r="U82" s="54" t="s">
        <v>2315</v>
      </c>
      <c r="V82" s="54" t="s">
        <v>2334</v>
      </c>
      <c r="W82" s="54" t="b">
        <v>0</v>
      </c>
      <c r="X82" s="54"/>
      <c r="Y82" s="57" t="s">
        <v>2335</v>
      </c>
      <c r="Z82" s="54" t="s">
        <v>440</v>
      </c>
      <c r="AA82" s="54"/>
      <c r="AB82" s="54" t="s">
        <v>427</v>
      </c>
      <c r="AC82" s="56" t="b">
        <v>1</v>
      </c>
      <c r="AD82" s="56" t="b">
        <v>0</v>
      </c>
      <c r="AE82" s="54" t="s">
        <v>302</v>
      </c>
      <c r="AF82" s="58">
        <v>46255</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5.0634999999999999E-2</v>
      </c>
      <c r="BC82" s="60">
        <v>4.9000000000000004</v>
      </c>
      <c r="BD82" s="61">
        <v>4.9811000000000001E-2</v>
      </c>
      <c r="BE82" s="62" t="e">
        <v>#N/A</v>
      </c>
      <c r="BF82" s="35">
        <f t="shared" si="192"/>
        <v>4.9000000000000004</v>
      </c>
      <c r="BG82" s="35">
        <f t="shared" si="192"/>
        <v>4.9811000000000001E-2</v>
      </c>
      <c r="BH82" s="35" t="str">
        <f t="shared" si="181"/>
        <v>?</v>
      </c>
      <c r="BI82" s="110">
        <f t="shared" si="182"/>
        <v>0</v>
      </c>
      <c r="BJ82" s="83">
        <f>VLOOKUP($F82,REP_Info!$D$6:$H$250,5,FALSE)</f>
        <v>3.9169999999999998</v>
      </c>
      <c r="BK82" s="30" t="e">
        <f t="shared" si="183"/>
        <v>#N/A</v>
      </c>
      <c r="BL82" s="30" t="e">
        <f t="shared" si="183"/>
        <v>#N/A</v>
      </c>
      <c r="BM82" s="30" t="e">
        <f t="shared" si="183"/>
        <v>#N/A</v>
      </c>
      <c r="BN82" s="29" t="e">
        <f t="shared" si="183"/>
        <v>#N/A</v>
      </c>
      <c r="BO82" s="85" t="str">
        <f t="shared" ref="BO82:BO99" si="198">IFERROR(SUMPRODUCT($BS$7:$CD$7,$BS82:$CD82)/100,"$$$")</f>
        <v>$$$</v>
      </c>
      <c r="BP82" s="88" t="str">
        <f t="shared" si="184"/>
        <v>$$$</v>
      </c>
      <c r="BQ82" s="88" t="str">
        <f t="shared" si="193"/>
        <v>$$$</v>
      </c>
      <c r="BR82" s="88" t="str">
        <f t="shared" si="194"/>
        <v>$$$</v>
      </c>
      <c r="BS82" s="29" t="e">
        <f t="shared" si="195"/>
        <v>#N/A</v>
      </c>
      <c r="BT82" s="29" t="e">
        <f t="shared" si="195"/>
        <v>#N/A</v>
      </c>
      <c r="BU82" s="29" t="e">
        <f t="shared" si="195"/>
        <v>#N/A</v>
      </c>
      <c r="BV82" s="29" t="e">
        <f t="shared" si="195"/>
        <v>#N/A</v>
      </c>
      <c r="BW82" s="29" t="e">
        <f t="shared" si="195"/>
        <v>#N/A</v>
      </c>
      <c r="BX82" s="29" t="e">
        <f t="shared" si="195"/>
        <v>#N/A</v>
      </c>
      <c r="BY82" s="29" t="e">
        <f t="shared" si="195"/>
        <v>#N/A</v>
      </c>
      <c r="BZ82" s="29" t="e">
        <f t="shared" si="195"/>
        <v>#N/A</v>
      </c>
      <c r="CA82" s="29" t="e">
        <f t="shared" si="195"/>
        <v>#N/A</v>
      </c>
      <c r="CB82" s="29" t="e">
        <f t="shared" si="195"/>
        <v>#N/A</v>
      </c>
      <c r="CC82" s="29" t="e">
        <f t="shared" si="195"/>
        <v>#N/A</v>
      </c>
      <c r="CD82" s="29" t="e">
        <f t="shared" si="195"/>
        <v>#N/A</v>
      </c>
      <c r="CE82" s="6" t="str">
        <f t="shared" si="196"/>
        <v/>
      </c>
      <c r="CF82" s="27" t="e">
        <f>IF(AND(CI82,NOT(AD82)),LOOKUP(CF$5,{0,750,1500},H82:J82),"")</f>
        <v>#N/A</v>
      </c>
      <c r="CG82" s="6" t="str">
        <f t="shared" si="197"/>
        <v/>
      </c>
      <c r="CH82" t="e">
        <f t="shared" si="186"/>
        <v>#N/A</v>
      </c>
      <c r="CI82" t="e">
        <f t="shared" si="187"/>
        <v>#N/A</v>
      </c>
      <c r="CJ82" s="6" t="e">
        <f t="shared" ref="CJ82:CJ99" si="199">IF($E82=CJ$5,1,0)</f>
        <v>#N/A</v>
      </c>
      <c r="CK82" s="6">
        <f t="shared" ref="CK82:CK99" si="200">IF(CK$5="[Any]",1,IF($F82=CK$5,1,0))</f>
        <v>1</v>
      </c>
      <c r="CL82" s="6">
        <f t="shared" ref="CL82:CL99" si="201">IFERROR(--OR(ISBLANK(CL$5),$BJ82="",AND(ISNUMBER($BJ82),$BJ82&lt;=CL$5)),1)</f>
        <v>1</v>
      </c>
      <c r="CM82" s="6">
        <f t="shared" ref="CM82:CM99" si="202">IF($O82="Fixed",1,0)</f>
        <v>1</v>
      </c>
      <c r="CN82" s="6">
        <f t="shared" ref="CN82:CN99" si="203">IF($Q82&gt;=CN$5,1,0)</f>
        <v>1</v>
      </c>
      <c r="CO82" s="6">
        <f t="shared" ref="CO82:CO99" si="204">IF($Q82&lt;=CO$5,1,0)</f>
        <v>0</v>
      </c>
      <c r="CP82" s="6">
        <f t="shared" ref="CP82:CP99" si="205">IF($P82&gt;=CP$5,1,0)</f>
        <v>1</v>
      </c>
      <c r="CQ82" s="6">
        <f t="shared" si="188"/>
        <v>1</v>
      </c>
      <c r="CR82" s="81" t="str">
        <f t="shared" ref="CR82:CR99" si="206">IF(ISNUMBER($CH82),$CH82+$CS82+$CW82,"")</f>
        <v/>
      </c>
      <c r="CS82">
        <f t="shared" si="189"/>
        <v>0</v>
      </c>
      <c r="CT82">
        <f t="shared" si="19"/>
        <v>15</v>
      </c>
      <c r="CU82" t="str">
        <f t="shared" ref="CU82:CU99" si="207">IF(AND(ISERR(FIND("remain",$R82)),ISERR(FIND("left",$R82))),"","r")&amp;IF(ISERR(FIND("mon",$R82)),"","m")</f>
        <v>rm</v>
      </c>
      <c r="CV82" s="81">
        <f t="shared" si="190"/>
        <v>360</v>
      </c>
      <c r="CW82" s="81">
        <f>(CV82/25)^1.5*(Calculator!$BU$4/10000)*CW$5</f>
        <v>141.09700815337061</v>
      </c>
      <c r="CX82" t="str">
        <f t="shared" si="191"/>
        <v>$15/rm</v>
      </c>
    </row>
    <row r="83" spans="2:102" x14ac:dyDescent="0.25">
      <c r="B83" s="115" t="s">
        <v>233</v>
      </c>
      <c r="C83" s="13">
        <v>46253.410416666666</v>
      </c>
      <c r="D83">
        <v>34749</v>
      </c>
      <c r="E83" s="54" t="s">
        <v>235</v>
      </c>
      <c r="F83" s="54" t="s">
        <v>422</v>
      </c>
      <c r="G83" s="54" t="s">
        <v>441</v>
      </c>
      <c r="H83" s="55">
        <v>12.9</v>
      </c>
      <c r="I83" s="55">
        <v>11.4</v>
      </c>
      <c r="J83" s="55">
        <v>10.7</v>
      </c>
      <c r="K83" s="54"/>
      <c r="L83" s="56" t="b">
        <v>0</v>
      </c>
      <c r="M83" s="56" t="b">
        <v>1</v>
      </c>
      <c r="N83" s="54">
        <v>1</v>
      </c>
      <c r="O83" s="54" t="s">
        <v>228</v>
      </c>
      <c r="P83" s="54">
        <v>100</v>
      </c>
      <c r="Q83" s="54">
        <v>36</v>
      </c>
      <c r="R83" s="54" t="s">
        <v>435</v>
      </c>
      <c r="S83" s="54" t="s">
        <v>424</v>
      </c>
      <c r="T83" s="54" t="s">
        <v>442</v>
      </c>
      <c r="U83" s="54" t="s">
        <v>2128</v>
      </c>
      <c r="V83" s="54" t="s">
        <v>2133</v>
      </c>
      <c r="W83" s="54" t="b">
        <v>0</v>
      </c>
      <c r="X83" s="54"/>
      <c r="Y83" s="57" t="s">
        <v>2134</v>
      </c>
      <c r="Z83" s="54" t="s">
        <v>443</v>
      </c>
      <c r="AA83" s="54"/>
      <c r="AB83" s="54" t="s">
        <v>427</v>
      </c>
      <c r="AC83" s="56" t="b">
        <v>1</v>
      </c>
      <c r="AD83" s="56" t="b">
        <v>0</v>
      </c>
      <c r="AE83" s="54" t="s">
        <v>302</v>
      </c>
      <c r="AF83" s="58">
        <v>46252</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4.9659999999999996E-2</v>
      </c>
      <c r="BC83" s="60">
        <v>4.9000000000000004</v>
      </c>
      <c r="BD83" s="61">
        <v>4.9811000000000001E-2</v>
      </c>
      <c r="BE83" s="62" t="e">
        <v>#N/A</v>
      </c>
      <c r="BF83" s="35">
        <f t="shared" si="192"/>
        <v>4.9000000000000004</v>
      </c>
      <c r="BG83" s="35">
        <f t="shared" si="192"/>
        <v>4.9811000000000001E-2</v>
      </c>
      <c r="BH83" s="35" t="str">
        <f t="shared" si="181"/>
        <v>?</v>
      </c>
      <c r="BI83" s="110">
        <f t="shared" si="182"/>
        <v>0</v>
      </c>
      <c r="BJ83" s="83">
        <f>VLOOKUP($F83,REP_Info!$D$6:$H$250,5,FALSE)</f>
        <v>3.9169999999999998</v>
      </c>
      <c r="BK83" s="30" t="e">
        <f t="shared" si="183"/>
        <v>#N/A</v>
      </c>
      <c r="BL83" s="30" t="e">
        <f t="shared" si="183"/>
        <v>#N/A</v>
      </c>
      <c r="BM83" s="30" t="e">
        <f t="shared" si="183"/>
        <v>#N/A</v>
      </c>
      <c r="BN83" s="29" t="e">
        <f t="shared" si="183"/>
        <v>#N/A</v>
      </c>
      <c r="BO83" s="85" t="str">
        <f t="shared" si="198"/>
        <v>$$$</v>
      </c>
      <c r="BP83" s="88" t="str">
        <f t="shared" si="184"/>
        <v>$$$</v>
      </c>
      <c r="BQ83" s="88" t="str">
        <f t="shared" si="193"/>
        <v>$$$</v>
      </c>
      <c r="BR83" s="88" t="str">
        <f t="shared" si="194"/>
        <v>$$$</v>
      </c>
      <c r="BS83" s="29" t="e">
        <f t="shared" si="195"/>
        <v>#N/A</v>
      </c>
      <c r="BT83" s="29" t="e">
        <f t="shared" si="195"/>
        <v>#N/A</v>
      </c>
      <c r="BU83" s="29" t="e">
        <f t="shared" si="195"/>
        <v>#N/A</v>
      </c>
      <c r="BV83" s="29" t="e">
        <f t="shared" si="195"/>
        <v>#N/A</v>
      </c>
      <c r="BW83" s="29" t="e">
        <f t="shared" si="195"/>
        <v>#N/A</v>
      </c>
      <c r="BX83" s="29" t="e">
        <f t="shared" si="195"/>
        <v>#N/A</v>
      </c>
      <c r="BY83" s="29" t="e">
        <f t="shared" si="195"/>
        <v>#N/A</v>
      </c>
      <c r="BZ83" s="29" t="e">
        <f t="shared" si="195"/>
        <v>#N/A</v>
      </c>
      <c r="CA83" s="29" t="e">
        <f t="shared" si="195"/>
        <v>#N/A</v>
      </c>
      <c r="CB83" s="29" t="e">
        <f t="shared" si="195"/>
        <v>#N/A</v>
      </c>
      <c r="CC83" s="29" t="e">
        <f t="shared" si="195"/>
        <v>#N/A</v>
      </c>
      <c r="CD83" s="29" t="e">
        <f t="shared" si="195"/>
        <v>#N/A</v>
      </c>
      <c r="CE83" s="6" t="str">
        <f t="shared" si="196"/>
        <v/>
      </c>
      <c r="CF83" s="27" t="e">
        <f>IF(AND(CI83,NOT(AD83)),LOOKUP(CF$5,{0,750,1500},H83:J83),"")</f>
        <v>#N/A</v>
      </c>
      <c r="CG83" s="6" t="str">
        <f t="shared" si="197"/>
        <v/>
      </c>
      <c r="CH83" t="e">
        <f t="shared" si="186"/>
        <v>#N/A</v>
      </c>
      <c r="CI83" t="e">
        <f t="shared" si="187"/>
        <v>#N/A</v>
      </c>
      <c r="CJ83" s="6" t="e">
        <f t="shared" si="199"/>
        <v>#N/A</v>
      </c>
      <c r="CK83" s="6">
        <f t="shared" si="200"/>
        <v>1</v>
      </c>
      <c r="CL83" s="6">
        <f t="shared" si="201"/>
        <v>1</v>
      </c>
      <c r="CM83" s="6">
        <f t="shared" si="202"/>
        <v>1</v>
      </c>
      <c r="CN83" s="6">
        <f t="shared" si="203"/>
        <v>1</v>
      </c>
      <c r="CO83" s="6">
        <f t="shared" si="204"/>
        <v>0</v>
      </c>
      <c r="CP83" s="6">
        <f t="shared" si="205"/>
        <v>1</v>
      </c>
      <c r="CQ83" s="6">
        <f t="shared" si="188"/>
        <v>1</v>
      </c>
      <c r="CR83" s="81" t="str">
        <f t="shared" si="206"/>
        <v/>
      </c>
      <c r="CS83">
        <f t="shared" si="189"/>
        <v>0</v>
      </c>
      <c r="CT83">
        <f t="shared" si="19"/>
        <v>15</v>
      </c>
      <c r="CU83" t="str">
        <f t="shared" si="207"/>
        <v>rm</v>
      </c>
      <c r="CV83" s="81">
        <f t="shared" si="190"/>
        <v>540</v>
      </c>
      <c r="CW83" s="81">
        <f>(CV83/25)^1.5*(Calculator!$BU$4/10000)*CW$5</f>
        <v>259.21175565680682</v>
      </c>
      <c r="CX83" t="str">
        <f t="shared" si="191"/>
        <v>$15/rm</v>
      </c>
    </row>
    <row r="84" spans="2:102" x14ac:dyDescent="0.25">
      <c r="B84" s="115" t="s">
        <v>233</v>
      </c>
      <c r="C84" s="13">
        <v>46254.637499999997</v>
      </c>
      <c r="D84">
        <v>35429</v>
      </c>
      <c r="E84" s="54" t="s">
        <v>235</v>
      </c>
      <c r="F84" s="54" t="s">
        <v>422</v>
      </c>
      <c r="G84" s="54" t="s">
        <v>1897</v>
      </c>
      <c r="H84" s="55">
        <v>11.4</v>
      </c>
      <c r="I84" s="55">
        <v>9.9</v>
      </c>
      <c r="J84" s="55">
        <v>9.1999999999999993</v>
      </c>
      <c r="K84" s="54"/>
      <c r="L84" s="56" t="b">
        <v>0</v>
      </c>
      <c r="M84" s="56" t="b">
        <v>1</v>
      </c>
      <c r="N84" s="54">
        <v>1</v>
      </c>
      <c r="O84" s="54" t="s">
        <v>228</v>
      </c>
      <c r="P84" s="54">
        <v>100</v>
      </c>
      <c r="Q84" s="54">
        <v>10</v>
      </c>
      <c r="R84" s="54" t="s">
        <v>435</v>
      </c>
      <c r="S84" s="54" t="s">
        <v>424</v>
      </c>
      <c r="T84" s="54" t="s">
        <v>436</v>
      </c>
      <c r="U84" s="54" t="s">
        <v>2240</v>
      </c>
      <c r="V84" s="54" t="s">
        <v>2266</v>
      </c>
      <c r="W84" s="54" t="b">
        <v>0</v>
      </c>
      <c r="X84" s="54"/>
      <c r="Y84" s="57" t="s">
        <v>2267</v>
      </c>
      <c r="Z84" s="54" t="s">
        <v>1898</v>
      </c>
      <c r="AA84" s="54"/>
      <c r="AB84" s="54" t="s">
        <v>427</v>
      </c>
      <c r="AC84" s="56" t="b">
        <v>0</v>
      </c>
      <c r="AD84" s="56" t="b">
        <v>0</v>
      </c>
      <c r="AE84" s="54" t="s">
        <v>302</v>
      </c>
      <c r="AF84" s="58">
        <v>46254</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3.4645000000000002E-2</v>
      </c>
      <c r="BC84" s="60">
        <v>4.9000000000000004</v>
      </c>
      <c r="BD84" s="61">
        <v>4.9811000000000001E-2</v>
      </c>
      <c r="BE84" s="62" t="e">
        <v>#N/A</v>
      </c>
      <c r="BF84" s="35">
        <f t="shared" si="192"/>
        <v>4.9000000000000004</v>
      </c>
      <c r="BG84" s="35">
        <f t="shared" si="192"/>
        <v>4.9811000000000001E-2</v>
      </c>
      <c r="BH84" s="35" t="str">
        <f t="shared" si="181"/>
        <v>?</v>
      </c>
      <c r="BI84" s="110">
        <f t="shared" si="182"/>
        <v>0</v>
      </c>
      <c r="BJ84" s="83">
        <f>VLOOKUP($F84,REP_Info!$D$6:$H$250,5,FALSE)</f>
        <v>3.9169999999999998</v>
      </c>
      <c r="BK84" s="30" t="e">
        <f t="shared" si="183"/>
        <v>#N/A</v>
      </c>
      <c r="BL84" s="30" t="e">
        <f t="shared" si="183"/>
        <v>#N/A</v>
      </c>
      <c r="BM84" s="30" t="e">
        <f t="shared" si="183"/>
        <v>#N/A</v>
      </c>
      <c r="BN84" s="29" t="e">
        <f t="shared" si="183"/>
        <v>#N/A</v>
      </c>
      <c r="BO84" s="85" t="str">
        <f t="shared" si="198"/>
        <v>$$$</v>
      </c>
      <c r="BP84" s="88" t="str">
        <f t="shared" si="184"/>
        <v>$$$</v>
      </c>
      <c r="BQ84" s="88" t="str">
        <f t="shared" si="193"/>
        <v>$$$</v>
      </c>
      <c r="BR84" s="88" t="str">
        <f t="shared" si="194"/>
        <v>$$$</v>
      </c>
      <c r="BS84" s="29" t="e">
        <f t="shared" si="195"/>
        <v>#N/A</v>
      </c>
      <c r="BT84" s="29" t="e">
        <f t="shared" si="195"/>
        <v>#N/A</v>
      </c>
      <c r="BU84" s="29" t="e">
        <f t="shared" si="195"/>
        <v>#N/A</v>
      </c>
      <c r="BV84" s="29" t="e">
        <f t="shared" si="195"/>
        <v>#N/A</v>
      </c>
      <c r="BW84" s="29" t="e">
        <f t="shared" si="195"/>
        <v>#N/A</v>
      </c>
      <c r="BX84" s="29" t="e">
        <f t="shared" si="195"/>
        <v>#N/A</v>
      </c>
      <c r="BY84" s="29" t="e">
        <f t="shared" si="195"/>
        <v>#N/A</v>
      </c>
      <c r="BZ84" s="29" t="e">
        <f t="shared" si="195"/>
        <v>#N/A</v>
      </c>
      <c r="CA84" s="29" t="e">
        <f t="shared" si="195"/>
        <v>#N/A</v>
      </c>
      <c r="CB84" s="29" t="e">
        <f t="shared" si="195"/>
        <v>#N/A</v>
      </c>
      <c r="CC84" s="29" t="e">
        <f t="shared" si="195"/>
        <v>#N/A</v>
      </c>
      <c r="CD84" s="29" t="e">
        <f t="shared" si="195"/>
        <v>#N/A</v>
      </c>
      <c r="CE84" s="6" t="str">
        <f t="shared" si="196"/>
        <v/>
      </c>
      <c r="CF84" s="27" t="e">
        <f>IF(AND(CI84,NOT(AD84)),LOOKUP(CF$5,{0,750,1500},H84:J84),"")</f>
        <v>#N/A</v>
      </c>
      <c r="CG84" s="6" t="str">
        <f t="shared" si="197"/>
        <v/>
      </c>
      <c r="CH84" t="e">
        <f t="shared" si="186"/>
        <v>#N/A</v>
      </c>
      <c r="CI84" t="e">
        <f t="shared" si="187"/>
        <v>#N/A</v>
      </c>
      <c r="CJ84" s="6" t="e">
        <f t="shared" si="199"/>
        <v>#N/A</v>
      </c>
      <c r="CK84" s="6">
        <f t="shared" si="200"/>
        <v>1</v>
      </c>
      <c r="CL84" s="6">
        <f t="shared" si="201"/>
        <v>1</v>
      </c>
      <c r="CM84" s="6">
        <f t="shared" si="202"/>
        <v>1</v>
      </c>
      <c r="CN84" s="6">
        <f t="shared" si="203"/>
        <v>0</v>
      </c>
      <c r="CO84" s="6">
        <f t="shared" si="204"/>
        <v>1</v>
      </c>
      <c r="CP84" s="6">
        <f t="shared" si="205"/>
        <v>1</v>
      </c>
      <c r="CQ84" s="6">
        <f t="shared" si="188"/>
        <v>1</v>
      </c>
      <c r="CR84" s="81" t="str">
        <f t="shared" si="206"/>
        <v/>
      </c>
      <c r="CS84">
        <f t="shared" si="189"/>
        <v>3.5999999999999992</v>
      </c>
      <c r="CT84">
        <f t="shared" si="19"/>
        <v>15</v>
      </c>
      <c r="CU84" t="str">
        <f t="shared" si="207"/>
        <v>rm</v>
      </c>
      <c r="CV84" s="81">
        <f t="shared" si="190"/>
        <v>150</v>
      </c>
      <c r="CW84" s="81">
        <f>(CV84/25)^1.5*(Calculator!$BU$4/10000)*CW$5</f>
        <v>37.949052970673385</v>
      </c>
      <c r="CX84" t="str">
        <f t="shared" si="191"/>
        <v>$15/rm</v>
      </c>
    </row>
    <row r="85" spans="2:102" x14ac:dyDescent="0.25">
      <c r="B85" s="115" t="s">
        <v>233</v>
      </c>
      <c r="C85" s="13">
        <v>46254.637499999997</v>
      </c>
      <c r="D85">
        <v>35431</v>
      </c>
      <c r="E85" s="54" t="s">
        <v>237</v>
      </c>
      <c r="F85" s="54" t="s">
        <v>422</v>
      </c>
      <c r="G85" s="54" t="s">
        <v>1897</v>
      </c>
      <c r="H85" s="55">
        <v>12.2</v>
      </c>
      <c r="I85" s="55">
        <v>10.8</v>
      </c>
      <c r="J85" s="55">
        <v>10.100000000000001</v>
      </c>
      <c r="K85" s="54"/>
      <c r="L85" s="56" t="b">
        <v>0</v>
      </c>
      <c r="M85" s="56" t="b">
        <v>1</v>
      </c>
      <c r="N85" s="54">
        <v>1</v>
      </c>
      <c r="O85" s="54" t="s">
        <v>228</v>
      </c>
      <c r="P85" s="54">
        <v>100</v>
      </c>
      <c r="Q85" s="54">
        <v>10</v>
      </c>
      <c r="R85" s="54" t="s">
        <v>435</v>
      </c>
      <c r="S85" s="54" t="s">
        <v>424</v>
      </c>
      <c r="T85" s="54" t="s">
        <v>436</v>
      </c>
      <c r="U85" s="54" t="s">
        <v>2241</v>
      </c>
      <c r="V85" s="54" t="s">
        <v>2268</v>
      </c>
      <c r="W85" s="54" t="b">
        <v>0</v>
      </c>
      <c r="X85" s="54"/>
      <c r="Y85" s="57" t="s">
        <v>2269</v>
      </c>
      <c r="Z85" s="54" t="s">
        <v>1899</v>
      </c>
      <c r="AA85" s="54"/>
      <c r="AB85" s="54" t="s">
        <v>427</v>
      </c>
      <c r="AC85" s="56" t="b">
        <v>0</v>
      </c>
      <c r="AD85" s="56" t="b">
        <v>0</v>
      </c>
      <c r="AE85" s="54" t="s">
        <v>302</v>
      </c>
      <c r="AF85" s="58">
        <v>46254</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3.3994999999999997E-2</v>
      </c>
      <c r="BC85" s="60">
        <v>4.2300000000000004</v>
      </c>
      <c r="BD85" s="61">
        <v>6.0295000000000001E-2</v>
      </c>
      <c r="BE85" s="62" t="e">
        <v>#N/A</v>
      </c>
      <c r="BF85" s="35">
        <f t="shared" si="192"/>
        <v>4.0600000000000005</v>
      </c>
      <c r="BG85" s="35">
        <f t="shared" si="192"/>
        <v>6.0295000000000001E-2</v>
      </c>
      <c r="BH85" s="35" t="str">
        <f t="shared" si="181"/>
        <v>?</v>
      </c>
      <c r="BI85" s="110">
        <f t="shared" si="182"/>
        <v>0</v>
      </c>
      <c r="BJ85" s="83">
        <f>VLOOKUP($F85,REP_Info!$D$6:$H$250,5,FALSE)</f>
        <v>3.9169999999999998</v>
      </c>
      <c r="BK85" s="30" t="e">
        <f t="shared" si="183"/>
        <v>#N/A</v>
      </c>
      <c r="BL85" s="30" t="e">
        <f t="shared" si="183"/>
        <v>#N/A</v>
      </c>
      <c r="BM85" s="30" t="e">
        <f t="shared" si="183"/>
        <v>#N/A</v>
      </c>
      <c r="BN85" s="29" t="e">
        <f t="shared" si="183"/>
        <v>#N/A</v>
      </c>
      <c r="BO85" s="85" t="str">
        <f t="shared" si="198"/>
        <v>$$$</v>
      </c>
      <c r="BP85" s="88" t="str">
        <f t="shared" si="184"/>
        <v>$$$</v>
      </c>
      <c r="BQ85" s="88" t="str">
        <f t="shared" si="193"/>
        <v>$$$</v>
      </c>
      <c r="BR85" s="88" t="str">
        <f t="shared" si="194"/>
        <v>$$$</v>
      </c>
      <c r="BS85" s="29" t="e">
        <f t="shared" si="195"/>
        <v>#N/A</v>
      </c>
      <c r="BT85" s="29" t="e">
        <f t="shared" si="195"/>
        <v>#N/A</v>
      </c>
      <c r="BU85" s="29" t="e">
        <f t="shared" si="195"/>
        <v>#N/A</v>
      </c>
      <c r="BV85" s="29" t="e">
        <f t="shared" si="195"/>
        <v>#N/A</v>
      </c>
      <c r="BW85" s="29" t="e">
        <f t="shared" si="195"/>
        <v>#N/A</v>
      </c>
      <c r="BX85" s="29" t="e">
        <f t="shared" si="195"/>
        <v>#N/A</v>
      </c>
      <c r="BY85" s="29" t="e">
        <f t="shared" si="195"/>
        <v>#N/A</v>
      </c>
      <c r="BZ85" s="29" t="e">
        <f t="shared" si="195"/>
        <v>#N/A</v>
      </c>
      <c r="CA85" s="29" t="e">
        <f t="shared" si="195"/>
        <v>#N/A</v>
      </c>
      <c r="CB85" s="29" t="e">
        <f t="shared" si="195"/>
        <v>#N/A</v>
      </c>
      <c r="CC85" s="29" t="e">
        <f t="shared" si="195"/>
        <v>#N/A</v>
      </c>
      <c r="CD85" s="29" t="e">
        <f t="shared" si="195"/>
        <v>#N/A</v>
      </c>
      <c r="CE85" s="6" t="str">
        <f t="shared" si="196"/>
        <v/>
      </c>
      <c r="CF85" s="27" t="e">
        <f>IF(AND(CI85,NOT(AD85)),LOOKUP(CF$5,{0,750,1500},H85:J85),"")</f>
        <v>#N/A</v>
      </c>
      <c r="CG85" s="6" t="str">
        <f t="shared" si="197"/>
        <v/>
      </c>
      <c r="CH85" t="e">
        <f t="shared" si="186"/>
        <v>#N/A</v>
      </c>
      <c r="CI85" t="e">
        <f t="shared" si="187"/>
        <v>#N/A</v>
      </c>
      <c r="CJ85" s="6" t="e">
        <f t="shared" si="199"/>
        <v>#N/A</v>
      </c>
      <c r="CK85" s="6">
        <f t="shared" si="200"/>
        <v>1</v>
      </c>
      <c r="CL85" s="6">
        <f t="shared" si="201"/>
        <v>1</v>
      </c>
      <c r="CM85" s="6">
        <f t="shared" si="202"/>
        <v>1</v>
      </c>
      <c r="CN85" s="6">
        <f t="shared" si="203"/>
        <v>0</v>
      </c>
      <c r="CO85" s="6">
        <f t="shared" si="204"/>
        <v>1</v>
      </c>
      <c r="CP85" s="6">
        <f t="shared" si="205"/>
        <v>1</v>
      </c>
      <c r="CQ85" s="6">
        <f t="shared" si="188"/>
        <v>1</v>
      </c>
      <c r="CR85" s="81" t="str">
        <f t="shared" si="206"/>
        <v/>
      </c>
      <c r="CS85">
        <f t="shared" si="189"/>
        <v>3.5999999999999992</v>
      </c>
      <c r="CT85">
        <f t="shared" si="19"/>
        <v>15</v>
      </c>
      <c r="CU85" t="str">
        <f t="shared" si="207"/>
        <v>rm</v>
      </c>
      <c r="CV85" s="81">
        <f t="shared" si="190"/>
        <v>150</v>
      </c>
      <c r="CW85" s="81">
        <f>(CV85/25)^1.5*(Calculator!$BU$4/10000)*CW$5</f>
        <v>37.949052970673385</v>
      </c>
      <c r="CX85" t="str">
        <f t="shared" si="191"/>
        <v>$15/rm</v>
      </c>
    </row>
    <row r="86" spans="2:102" x14ac:dyDescent="0.25">
      <c r="B86" s="115" t="s">
        <v>233</v>
      </c>
      <c r="C86" s="13">
        <v>46254.637499999997</v>
      </c>
      <c r="D86">
        <v>35752</v>
      </c>
      <c r="E86" s="54" t="s">
        <v>235</v>
      </c>
      <c r="F86" s="54" t="s">
        <v>422</v>
      </c>
      <c r="G86" s="54" t="s">
        <v>1900</v>
      </c>
      <c r="H86" s="55">
        <v>11.5</v>
      </c>
      <c r="I86" s="55">
        <v>10</v>
      </c>
      <c r="J86" s="55">
        <v>9.3000000000000007</v>
      </c>
      <c r="K86" s="54"/>
      <c r="L86" s="56" t="b">
        <v>0</v>
      </c>
      <c r="M86" s="56" t="b">
        <v>1</v>
      </c>
      <c r="N86" s="54">
        <v>1</v>
      </c>
      <c r="O86" s="54" t="s">
        <v>228</v>
      </c>
      <c r="P86" s="54">
        <v>100</v>
      </c>
      <c r="Q86" s="54">
        <v>6</v>
      </c>
      <c r="R86" s="54" t="s">
        <v>435</v>
      </c>
      <c r="S86" s="54" t="s">
        <v>424</v>
      </c>
      <c r="T86" s="54" t="s">
        <v>436</v>
      </c>
      <c r="U86" s="54" t="s">
        <v>2242</v>
      </c>
      <c r="V86" s="54" t="s">
        <v>2270</v>
      </c>
      <c r="W86" s="54" t="b">
        <v>0</v>
      </c>
      <c r="X86" s="54"/>
      <c r="Y86" s="57" t="s">
        <v>2271</v>
      </c>
      <c r="Z86" s="54" t="s">
        <v>1901</v>
      </c>
      <c r="AA86" s="54"/>
      <c r="AB86" s="54" t="s">
        <v>427</v>
      </c>
      <c r="AC86" s="56" t="b">
        <v>0</v>
      </c>
      <c r="AD86" s="56" t="b">
        <v>0</v>
      </c>
      <c r="AE86" s="54" t="s">
        <v>302</v>
      </c>
      <c r="AF86" s="58">
        <v>46254</v>
      </c>
      <c r="AG86" s="62" t="s">
        <v>293</v>
      </c>
      <c r="AH86" s="54">
        <v>0</v>
      </c>
      <c r="AI86" s="54"/>
      <c r="AJ86" s="54"/>
      <c r="AK86" s="54"/>
      <c r="AL86" s="54"/>
      <c r="AM86" s="54">
        <v>9.9499999999999993</v>
      </c>
      <c r="AN86" s="54"/>
      <c r="AO86" s="54"/>
      <c r="AP86" s="54"/>
      <c r="AQ86" s="54"/>
      <c r="AR86" s="54"/>
      <c r="AS86" s="54"/>
      <c r="AT86" s="54"/>
      <c r="AU86" s="54"/>
      <c r="AV86" s="54"/>
      <c r="AW86" s="54"/>
      <c r="AX86" s="59"/>
      <c r="AY86" s="59"/>
      <c r="AZ86" s="59"/>
      <c r="BA86" s="59"/>
      <c r="BB86" s="59">
        <v>3.5619999999999999E-2</v>
      </c>
      <c r="BC86" s="60">
        <v>4.9000000000000004</v>
      </c>
      <c r="BD86" s="61">
        <v>4.9811000000000001E-2</v>
      </c>
      <c r="BE86" s="62" t="e">
        <v>#N/A</v>
      </c>
      <c r="BF86" s="35">
        <f t="shared" si="192"/>
        <v>4.9000000000000004</v>
      </c>
      <c r="BG86" s="35">
        <f t="shared" si="192"/>
        <v>4.9811000000000001E-2</v>
      </c>
      <c r="BH86" s="35" t="str">
        <f t="shared" si="181"/>
        <v>?</v>
      </c>
      <c r="BI86" s="110">
        <f t="shared" si="182"/>
        <v>0</v>
      </c>
      <c r="BJ86" s="83">
        <f>VLOOKUP($F86,REP_Info!$D$6:$H$250,5,FALSE)</f>
        <v>3.9169999999999998</v>
      </c>
      <c r="BK86" s="30" t="e">
        <f t="shared" si="183"/>
        <v>#N/A</v>
      </c>
      <c r="BL86" s="30" t="e">
        <f t="shared" si="183"/>
        <v>#N/A</v>
      </c>
      <c r="BM86" s="30" t="e">
        <f t="shared" si="183"/>
        <v>#N/A</v>
      </c>
      <c r="BN86" s="29" t="e">
        <f t="shared" si="183"/>
        <v>#N/A</v>
      </c>
      <c r="BO86" s="85" t="str">
        <f t="shared" si="198"/>
        <v>$$$</v>
      </c>
      <c r="BP86" s="88" t="str">
        <f t="shared" si="184"/>
        <v>$$$</v>
      </c>
      <c r="BQ86" s="88" t="str">
        <f t="shared" si="193"/>
        <v>$$$</v>
      </c>
      <c r="BR86" s="88" t="str">
        <f t="shared" si="194"/>
        <v>$$$</v>
      </c>
      <c r="BS86" s="29" t="e">
        <f t="shared" si="195"/>
        <v>#N/A</v>
      </c>
      <c r="BT86" s="29" t="e">
        <f t="shared" si="195"/>
        <v>#N/A</v>
      </c>
      <c r="BU86" s="29" t="e">
        <f t="shared" si="195"/>
        <v>#N/A</v>
      </c>
      <c r="BV86" s="29" t="e">
        <f t="shared" si="195"/>
        <v>#N/A</v>
      </c>
      <c r="BW86" s="29" t="e">
        <f t="shared" si="195"/>
        <v>#N/A</v>
      </c>
      <c r="BX86" s="29" t="e">
        <f t="shared" si="195"/>
        <v>#N/A</v>
      </c>
      <c r="BY86" s="29" t="e">
        <f t="shared" si="195"/>
        <v>#N/A</v>
      </c>
      <c r="BZ86" s="29" t="e">
        <f t="shared" si="195"/>
        <v>#N/A</v>
      </c>
      <c r="CA86" s="29" t="e">
        <f t="shared" si="195"/>
        <v>#N/A</v>
      </c>
      <c r="CB86" s="29" t="e">
        <f t="shared" si="195"/>
        <v>#N/A</v>
      </c>
      <c r="CC86" s="29" t="e">
        <f t="shared" si="195"/>
        <v>#N/A</v>
      </c>
      <c r="CD86" s="29" t="e">
        <f t="shared" si="195"/>
        <v>#N/A</v>
      </c>
      <c r="CE86" s="6" t="str">
        <f t="shared" si="196"/>
        <v/>
      </c>
      <c r="CF86" s="27" t="e">
        <f>IF(AND(CI86,NOT(AD86)),LOOKUP(CF$5,{0,750,1500},H86:J86),"")</f>
        <v>#N/A</v>
      </c>
      <c r="CG86" s="6" t="str">
        <f t="shared" si="197"/>
        <v/>
      </c>
      <c r="CH86" t="e">
        <f t="shared" si="186"/>
        <v>#N/A</v>
      </c>
      <c r="CI86" t="e">
        <f t="shared" si="187"/>
        <v>#N/A</v>
      </c>
      <c r="CJ86" s="6" t="e">
        <f t="shared" si="199"/>
        <v>#N/A</v>
      </c>
      <c r="CK86" s="6">
        <f t="shared" si="200"/>
        <v>1</v>
      </c>
      <c r="CL86" s="6">
        <f t="shared" si="201"/>
        <v>1</v>
      </c>
      <c r="CM86" s="6">
        <f t="shared" si="202"/>
        <v>1</v>
      </c>
      <c r="CN86" s="6">
        <f t="shared" si="203"/>
        <v>0</v>
      </c>
      <c r="CO86" s="6">
        <f t="shared" si="204"/>
        <v>1</v>
      </c>
      <c r="CP86" s="6">
        <f t="shared" si="205"/>
        <v>1</v>
      </c>
      <c r="CQ86" s="6">
        <f t="shared" si="188"/>
        <v>1</v>
      </c>
      <c r="CR86" s="81" t="str">
        <f t="shared" si="206"/>
        <v/>
      </c>
      <c r="CS86">
        <f t="shared" si="189"/>
        <v>18</v>
      </c>
      <c r="CT86">
        <f t="shared" si="19"/>
        <v>15</v>
      </c>
      <c r="CU86" t="str">
        <f t="shared" si="207"/>
        <v>rm</v>
      </c>
      <c r="CV86" s="81">
        <f t="shared" si="190"/>
        <v>90</v>
      </c>
      <c r="CW86" s="81">
        <f>(CV86/25)^1.5*(Calculator!$BU$4/10000)*CW$5</f>
        <v>17.637126019171333</v>
      </c>
      <c r="CX86" t="str">
        <f t="shared" si="191"/>
        <v>$15/rm</v>
      </c>
    </row>
    <row r="87" spans="2:102" x14ac:dyDescent="0.25">
      <c r="B87" s="115" t="s">
        <v>233</v>
      </c>
      <c r="C87" s="13">
        <v>46254.637499999997</v>
      </c>
      <c r="D87">
        <v>35755</v>
      </c>
      <c r="E87" s="54" t="s">
        <v>237</v>
      </c>
      <c r="F87" s="54" t="s">
        <v>422</v>
      </c>
      <c r="G87" s="54" t="s">
        <v>1900</v>
      </c>
      <c r="H87" s="55">
        <v>12.2</v>
      </c>
      <c r="I87" s="55">
        <v>10.8</v>
      </c>
      <c r="J87" s="55">
        <v>10.100000000000001</v>
      </c>
      <c r="K87" s="54"/>
      <c r="L87" s="56" t="b">
        <v>0</v>
      </c>
      <c r="M87" s="56" t="b">
        <v>1</v>
      </c>
      <c r="N87" s="54">
        <v>1</v>
      </c>
      <c r="O87" s="54" t="s">
        <v>228</v>
      </c>
      <c r="P87" s="54">
        <v>100</v>
      </c>
      <c r="Q87" s="54">
        <v>6</v>
      </c>
      <c r="R87" s="54" t="s">
        <v>435</v>
      </c>
      <c r="S87" s="54" t="s">
        <v>424</v>
      </c>
      <c r="T87" s="54" t="s">
        <v>436</v>
      </c>
      <c r="U87" s="54" t="s">
        <v>2243</v>
      </c>
      <c r="V87" s="54" t="s">
        <v>2272</v>
      </c>
      <c r="W87" s="54" t="b">
        <v>0</v>
      </c>
      <c r="X87" s="54"/>
      <c r="Y87" s="57" t="s">
        <v>2273</v>
      </c>
      <c r="Z87" s="54" t="s">
        <v>1902</v>
      </c>
      <c r="AA87" s="54"/>
      <c r="AB87" s="54" t="s">
        <v>427</v>
      </c>
      <c r="AC87" s="56" t="b">
        <v>0</v>
      </c>
      <c r="AD87" s="56" t="b">
        <v>0</v>
      </c>
      <c r="AE87" s="54" t="s">
        <v>302</v>
      </c>
      <c r="AF87" s="58">
        <v>46254</v>
      </c>
      <c r="AG87" s="62" t="s">
        <v>293</v>
      </c>
      <c r="AH87" s="54">
        <v>0</v>
      </c>
      <c r="AI87" s="54"/>
      <c r="AJ87" s="54"/>
      <c r="AK87" s="54"/>
      <c r="AL87" s="54"/>
      <c r="AM87" s="54">
        <v>9.9499999999999993</v>
      </c>
      <c r="AN87" s="54"/>
      <c r="AO87" s="54"/>
      <c r="AP87" s="54"/>
      <c r="AQ87" s="54"/>
      <c r="AR87" s="54"/>
      <c r="AS87" s="54"/>
      <c r="AT87" s="54"/>
      <c r="AU87" s="54"/>
      <c r="AV87" s="54"/>
      <c r="AW87" s="54"/>
      <c r="AX87" s="59"/>
      <c r="AY87" s="59"/>
      <c r="AZ87" s="59"/>
      <c r="BA87" s="59"/>
      <c r="BB87" s="59">
        <v>3.3994999999999997E-2</v>
      </c>
      <c r="BC87" s="60">
        <v>4.2300000000000004</v>
      </c>
      <c r="BD87" s="61">
        <v>6.0295000000000001E-2</v>
      </c>
      <c r="BE87" s="62" t="e">
        <v>#N/A</v>
      </c>
      <c r="BF87" s="35">
        <f t="shared" si="192"/>
        <v>4.0600000000000005</v>
      </c>
      <c r="BG87" s="35">
        <f t="shared" si="192"/>
        <v>6.0295000000000001E-2</v>
      </c>
      <c r="BH87" s="35" t="str">
        <f t="shared" si="181"/>
        <v>?</v>
      </c>
      <c r="BI87" s="110">
        <f t="shared" si="182"/>
        <v>0</v>
      </c>
      <c r="BJ87" s="83">
        <f>VLOOKUP($F87,REP_Info!$D$6:$H$250,5,FALSE)</f>
        <v>3.9169999999999998</v>
      </c>
      <c r="BK87" s="30" t="e">
        <f t="shared" si="183"/>
        <v>#N/A</v>
      </c>
      <c r="BL87" s="30" t="e">
        <f t="shared" si="183"/>
        <v>#N/A</v>
      </c>
      <c r="BM87" s="30" t="e">
        <f t="shared" si="183"/>
        <v>#N/A</v>
      </c>
      <c r="BN87" s="29" t="e">
        <f t="shared" si="183"/>
        <v>#N/A</v>
      </c>
      <c r="BO87" s="85" t="str">
        <f t="shared" si="198"/>
        <v>$$$</v>
      </c>
      <c r="BP87" s="88" t="str">
        <f t="shared" si="184"/>
        <v>$$$</v>
      </c>
      <c r="BQ87" s="88" t="str">
        <f t="shared" si="193"/>
        <v>$$$</v>
      </c>
      <c r="BR87" s="88" t="str">
        <f t="shared" si="194"/>
        <v>$$$</v>
      </c>
      <c r="BS87" s="29" t="e">
        <f t="shared" si="195"/>
        <v>#N/A</v>
      </c>
      <c r="BT87" s="29" t="e">
        <f t="shared" si="195"/>
        <v>#N/A</v>
      </c>
      <c r="BU87" s="29" t="e">
        <f t="shared" si="195"/>
        <v>#N/A</v>
      </c>
      <c r="BV87" s="29" t="e">
        <f t="shared" si="195"/>
        <v>#N/A</v>
      </c>
      <c r="BW87" s="29" t="e">
        <f t="shared" si="195"/>
        <v>#N/A</v>
      </c>
      <c r="BX87" s="29" t="e">
        <f t="shared" si="195"/>
        <v>#N/A</v>
      </c>
      <c r="BY87" s="29" t="e">
        <f t="shared" si="195"/>
        <v>#N/A</v>
      </c>
      <c r="BZ87" s="29" t="e">
        <f t="shared" si="195"/>
        <v>#N/A</v>
      </c>
      <c r="CA87" s="29" t="e">
        <f t="shared" si="195"/>
        <v>#N/A</v>
      </c>
      <c r="CB87" s="29" t="e">
        <f t="shared" si="195"/>
        <v>#N/A</v>
      </c>
      <c r="CC87" s="29" t="e">
        <f t="shared" si="195"/>
        <v>#N/A</v>
      </c>
      <c r="CD87" s="29" t="e">
        <f t="shared" si="195"/>
        <v>#N/A</v>
      </c>
      <c r="CE87" s="6" t="str">
        <f t="shared" si="196"/>
        <v/>
      </c>
      <c r="CF87" s="27" t="e">
        <f>IF(AND(CI87,NOT(AD87)),LOOKUP(CF$5,{0,750,1500},H87:J87),"")</f>
        <v>#N/A</v>
      </c>
      <c r="CG87" s="6" t="str">
        <f t="shared" si="197"/>
        <v/>
      </c>
      <c r="CH87" t="e">
        <f t="shared" si="186"/>
        <v>#N/A</v>
      </c>
      <c r="CI87" t="e">
        <f t="shared" si="187"/>
        <v>#N/A</v>
      </c>
      <c r="CJ87" s="6" t="e">
        <f t="shared" si="199"/>
        <v>#N/A</v>
      </c>
      <c r="CK87" s="6">
        <f t="shared" si="200"/>
        <v>1</v>
      </c>
      <c r="CL87" s="6">
        <f t="shared" si="201"/>
        <v>1</v>
      </c>
      <c r="CM87" s="6">
        <f t="shared" si="202"/>
        <v>1</v>
      </c>
      <c r="CN87" s="6">
        <f t="shared" si="203"/>
        <v>0</v>
      </c>
      <c r="CO87" s="6">
        <f t="shared" si="204"/>
        <v>1</v>
      </c>
      <c r="CP87" s="6">
        <f t="shared" si="205"/>
        <v>1</v>
      </c>
      <c r="CQ87" s="6">
        <f t="shared" si="188"/>
        <v>1</v>
      </c>
      <c r="CR87" s="81" t="str">
        <f t="shared" si="206"/>
        <v/>
      </c>
      <c r="CS87">
        <f t="shared" si="189"/>
        <v>18</v>
      </c>
      <c r="CT87">
        <f t="shared" si="19"/>
        <v>15</v>
      </c>
      <c r="CU87" t="str">
        <f t="shared" si="207"/>
        <v>rm</v>
      </c>
      <c r="CV87" s="81">
        <f t="shared" si="190"/>
        <v>90</v>
      </c>
      <c r="CW87" s="81">
        <f>(CV87/25)^1.5*(Calculator!$BU$4/10000)*CW$5</f>
        <v>17.637126019171333</v>
      </c>
      <c r="CX87" t="str">
        <f t="shared" si="191"/>
        <v>$15/rm</v>
      </c>
    </row>
    <row r="88" spans="2:102" x14ac:dyDescent="0.25">
      <c r="B88" s="115" t="s">
        <v>233</v>
      </c>
      <c r="C88" s="13">
        <v>46251.443749999999</v>
      </c>
      <c r="D88">
        <v>11680</v>
      </c>
      <c r="E88" s="54" t="s">
        <v>235</v>
      </c>
      <c r="F88" s="54" t="s">
        <v>444</v>
      </c>
      <c r="G88" s="54" t="s">
        <v>1829</v>
      </c>
      <c r="H88" s="55">
        <v>12.6</v>
      </c>
      <c r="I88" s="55">
        <v>12.1</v>
      </c>
      <c r="J88" s="55">
        <v>11.899999999999999</v>
      </c>
      <c r="K88" s="54"/>
      <c r="L88" s="56" t="b">
        <v>0</v>
      </c>
      <c r="M88" s="56" t="b">
        <v>0</v>
      </c>
      <c r="N88" s="54">
        <v>1</v>
      </c>
      <c r="O88" s="54" t="s">
        <v>228</v>
      </c>
      <c r="P88" s="54">
        <v>22</v>
      </c>
      <c r="Q88" s="54">
        <v>12</v>
      </c>
      <c r="R88" s="54">
        <v>150</v>
      </c>
      <c r="S88" s="54" t="s">
        <v>2093</v>
      </c>
      <c r="T88" s="54" t="s">
        <v>1830</v>
      </c>
      <c r="U88" s="54" t="s">
        <v>446</v>
      </c>
      <c r="V88" s="54" t="s">
        <v>447</v>
      </c>
      <c r="W88" s="54" t="b">
        <v>0</v>
      </c>
      <c r="X88" s="54"/>
      <c r="Y88" s="57" t="s">
        <v>2094</v>
      </c>
      <c r="Z88" s="54" t="s">
        <v>2093</v>
      </c>
      <c r="AA88" s="54"/>
      <c r="AB88" s="54" t="s">
        <v>448</v>
      </c>
      <c r="AC88" s="56" t="b">
        <v>1</v>
      </c>
      <c r="AD88" s="56" t="b">
        <v>0</v>
      </c>
      <c r="AE88" s="54" t="s">
        <v>302</v>
      </c>
      <c r="AF88" s="58">
        <v>46249</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6.6587999999999994E-2</v>
      </c>
      <c r="BC88" s="60"/>
      <c r="BD88" s="61"/>
      <c r="BE88" s="62" t="s">
        <v>293</v>
      </c>
      <c r="BF88" s="35">
        <f t="shared" si="192"/>
        <v>4.9000000000000004</v>
      </c>
      <c r="BG88" s="35">
        <f t="shared" si="192"/>
        <v>4.9811000000000001E-2</v>
      </c>
      <c r="BH88" s="35" t="str">
        <f t="shared" si="181"/>
        <v>Low</v>
      </c>
      <c r="BI88" s="110">
        <f t="shared" si="182"/>
        <v>0</v>
      </c>
      <c r="BJ88" s="83">
        <f>VLOOKUP($F88,REP_Info!$D$6:$H$250,5,FALSE)</f>
        <v>1.8160000000000001</v>
      </c>
      <c r="BK88" s="30">
        <f t="shared" si="183"/>
        <v>12.619899999999998</v>
      </c>
      <c r="BL88" s="30">
        <f t="shared" si="183"/>
        <v>12.129900000000001</v>
      </c>
      <c r="BM88" s="30">
        <f t="shared" si="183"/>
        <v>11.8849</v>
      </c>
      <c r="BN88" s="29">
        <f t="shared" si="183"/>
        <v>11.803233333333333</v>
      </c>
      <c r="BO88" s="85" t="str">
        <f t="shared" si="198"/>
        <v>$$$</v>
      </c>
      <c r="BP88" s="88" t="str">
        <f t="shared" si="184"/>
        <v>$$$</v>
      </c>
      <c r="BQ88" s="88" t="str">
        <f t="shared" si="193"/>
        <v>$$$</v>
      </c>
      <c r="BR88" s="88" t="str">
        <f t="shared" si="194"/>
        <v>$$$</v>
      </c>
      <c r="BS88" s="29" t="e">
        <f t="shared" si="195"/>
        <v>#N/A</v>
      </c>
      <c r="BT88" s="29" t="e">
        <f t="shared" si="195"/>
        <v>#N/A</v>
      </c>
      <c r="BU88" s="29" t="e">
        <f t="shared" si="195"/>
        <v>#N/A</v>
      </c>
      <c r="BV88" s="29" t="e">
        <f t="shared" si="195"/>
        <v>#N/A</v>
      </c>
      <c r="BW88" s="29" t="e">
        <f t="shared" si="195"/>
        <v>#N/A</v>
      </c>
      <c r="BX88" s="29" t="e">
        <f t="shared" si="195"/>
        <v>#N/A</v>
      </c>
      <c r="BY88" s="29" t="e">
        <f t="shared" si="195"/>
        <v>#N/A</v>
      </c>
      <c r="BZ88" s="29" t="e">
        <f t="shared" si="195"/>
        <v>#N/A</v>
      </c>
      <c r="CA88" s="29" t="e">
        <f t="shared" si="195"/>
        <v>#N/A</v>
      </c>
      <c r="CB88" s="29" t="e">
        <f t="shared" si="195"/>
        <v>#N/A</v>
      </c>
      <c r="CC88" s="29" t="e">
        <f t="shared" si="195"/>
        <v>#N/A</v>
      </c>
      <c r="CD88" s="29" t="e">
        <f t="shared" si="195"/>
        <v>#N/A</v>
      </c>
      <c r="CE88" s="6" t="str">
        <f t="shared" si="196"/>
        <v/>
      </c>
      <c r="CF88" s="27" t="e">
        <f>IF(AND(CI88,NOT(AD88)),LOOKUP(CF$5,{0,750,1500},H88:J88),"")</f>
        <v>#N/A</v>
      </c>
      <c r="CG88" s="6" t="str">
        <f t="shared" si="197"/>
        <v/>
      </c>
      <c r="CH88" t="e">
        <f t="shared" si="186"/>
        <v>#N/A</v>
      </c>
      <c r="CI88" t="e">
        <f t="shared" si="187"/>
        <v>#N/A</v>
      </c>
      <c r="CJ88" s="6" t="e">
        <f t="shared" si="199"/>
        <v>#N/A</v>
      </c>
      <c r="CK88" s="6">
        <f t="shared" si="200"/>
        <v>1</v>
      </c>
      <c r="CL88" s="6">
        <f t="shared" si="201"/>
        <v>1</v>
      </c>
      <c r="CM88" s="6">
        <f t="shared" si="202"/>
        <v>1</v>
      </c>
      <c r="CN88" s="6">
        <f t="shared" si="203"/>
        <v>1</v>
      </c>
      <c r="CO88" s="6">
        <f t="shared" si="204"/>
        <v>1</v>
      </c>
      <c r="CP88" s="6">
        <f t="shared" si="205"/>
        <v>1</v>
      </c>
      <c r="CQ88" s="6">
        <f t="shared" si="188"/>
        <v>1</v>
      </c>
      <c r="CR88" s="81" t="str">
        <f t="shared" si="206"/>
        <v/>
      </c>
      <c r="CS88">
        <f t="shared" si="189"/>
        <v>0</v>
      </c>
      <c r="CT88">
        <f t="shared" si="19"/>
        <v>150</v>
      </c>
      <c r="CU88" t="str">
        <f t="shared" si="207"/>
        <v/>
      </c>
      <c r="CV88" s="81">
        <f t="shared" si="190"/>
        <v>150</v>
      </c>
      <c r="CW88" s="81">
        <f>(CV88/25)^1.5*(Calculator!$BU$4/10000)*CW$5</f>
        <v>37.949052970673385</v>
      </c>
      <c r="CX88" t="str">
        <f t="shared" si="191"/>
        <v>$150</v>
      </c>
    </row>
    <row r="89" spans="2:102" x14ac:dyDescent="0.25">
      <c r="B89" s="115" t="s">
        <v>233</v>
      </c>
      <c r="C89" s="13">
        <v>46251.443749999999</v>
      </c>
      <c r="D89">
        <v>17379</v>
      </c>
      <c r="E89" s="54" t="s">
        <v>235</v>
      </c>
      <c r="F89" s="54" t="s">
        <v>444</v>
      </c>
      <c r="G89" s="54" t="s">
        <v>1831</v>
      </c>
      <c r="H89" s="55">
        <v>13.200000000000001</v>
      </c>
      <c r="I89" s="55">
        <v>12.7</v>
      </c>
      <c r="J89" s="55">
        <v>12.5</v>
      </c>
      <c r="K89" s="54"/>
      <c r="L89" s="56" t="b">
        <v>0</v>
      </c>
      <c r="M89" s="56" t="b">
        <v>0</v>
      </c>
      <c r="N89" s="54">
        <v>1</v>
      </c>
      <c r="O89" s="54" t="s">
        <v>228</v>
      </c>
      <c r="P89" s="54">
        <v>22</v>
      </c>
      <c r="Q89" s="54">
        <v>18</v>
      </c>
      <c r="R89" s="54">
        <v>180</v>
      </c>
      <c r="S89" s="54" t="s">
        <v>445</v>
      </c>
      <c r="T89" s="54" t="s">
        <v>1830</v>
      </c>
      <c r="U89" s="54" t="s">
        <v>1822</v>
      </c>
      <c r="V89" s="54" t="s">
        <v>447</v>
      </c>
      <c r="W89" s="54" t="b">
        <v>0</v>
      </c>
      <c r="X89" s="54"/>
      <c r="Y89" s="57" t="s">
        <v>2095</v>
      </c>
      <c r="Z89" s="54" t="s">
        <v>2093</v>
      </c>
      <c r="AA89" s="54"/>
      <c r="AB89" s="54" t="s">
        <v>448</v>
      </c>
      <c r="AC89" s="56" t="b">
        <v>1</v>
      </c>
      <c r="AD89" s="56" t="b">
        <v>0</v>
      </c>
      <c r="AE89" s="54" t="s">
        <v>302</v>
      </c>
      <c r="AF89" s="58">
        <v>46249</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7.2588E-2</v>
      </c>
      <c r="BC89" s="60"/>
      <c r="BD89" s="61"/>
      <c r="BE89" s="62" t="s">
        <v>293</v>
      </c>
      <c r="BF89" s="35">
        <f t="shared" si="192"/>
        <v>4.9000000000000004</v>
      </c>
      <c r="BG89" s="35">
        <f t="shared" si="192"/>
        <v>4.9811000000000001E-2</v>
      </c>
      <c r="BH89" s="35" t="str">
        <f t="shared" si="181"/>
        <v>Low</v>
      </c>
      <c r="BI89" s="110">
        <f t="shared" si="182"/>
        <v>0</v>
      </c>
      <c r="BJ89" s="83">
        <f>VLOOKUP($F89,REP_Info!$D$6:$H$250,5,FALSE)</f>
        <v>1.8160000000000001</v>
      </c>
      <c r="BK89" s="30">
        <f t="shared" si="183"/>
        <v>13.219899999999997</v>
      </c>
      <c r="BL89" s="30">
        <f t="shared" si="183"/>
        <v>12.729900000000001</v>
      </c>
      <c r="BM89" s="30">
        <f t="shared" si="183"/>
        <v>12.4849</v>
      </c>
      <c r="BN89" s="29">
        <f t="shared" si="183"/>
        <v>12.403233333333333</v>
      </c>
      <c r="BO89" s="85" t="str">
        <f t="shared" si="198"/>
        <v>$$$</v>
      </c>
      <c r="BP89" s="88" t="str">
        <f t="shared" si="184"/>
        <v>$$$</v>
      </c>
      <c r="BQ89" s="88" t="str">
        <f t="shared" si="193"/>
        <v>$$$</v>
      </c>
      <c r="BR89" s="88" t="str">
        <f t="shared" si="194"/>
        <v>$$$</v>
      </c>
      <c r="BS89" s="29" t="e">
        <f t="shared" si="195"/>
        <v>#N/A</v>
      </c>
      <c r="BT89" s="29" t="e">
        <f t="shared" si="195"/>
        <v>#N/A</v>
      </c>
      <c r="BU89" s="29" t="e">
        <f t="shared" si="195"/>
        <v>#N/A</v>
      </c>
      <c r="BV89" s="29" t="e">
        <f t="shared" si="195"/>
        <v>#N/A</v>
      </c>
      <c r="BW89" s="29" t="e">
        <f t="shared" si="195"/>
        <v>#N/A</v>
      </c>
      <c r="BX89" s="29" t="e">
        <f t="shared" si="195"/>
        <v>#N/A</v>
      </c>
      <c r="BY89" s="29" t="e">
        <f t="shared" si="195"/>
        <v>#N/A</v>
      </c>
      <c r="BZ89" s="29" t="e">
        <f t="shared" si="195"/>
        <v>#N/A</v>
      </c>
      <c r="CA89" s="29" t="e">
        <f t="shared" si="195"/>
        <v>#N/A</v>
      </c>
      <c r="CB89" s="29" t="e">
        <f t="shared" si="195"/>
        <v>#N/A</v>
      </c>
      <c r="CC89" s="29" t="e">
        <f t="shared" si="195"/>
        <v>#N/A</v>
      </c>
      <c r="CD89" s="29" t="e">
        <f t="shared" si="195"/>
        <v>#N/A</v>
      </c>
      <c r="CE89" s="6" t="str">
        <f t="shared" si="196"/>
        <v/>
      </c>
      <c r="CF89" s="27" t="e">
        <f>IF(AND(CI89,NOT(AD89)),LOOKUP(CF$5,{0,750,1500},H89:J89),"")</f>
        <v>#N/A</v>
      </c>
      <c r="CG89" s="6" t="str">
        <f t="shared" si="197"/>
        <v/>
      </c>
      <c r="CH89" t="e">
        <f t="shared" si="186"/>
        <v>#N/A</v>
      </c>
      <c r="CI89" t="e">
        <f t="shared" si="187"/>
        <v>#N/A</v>
      </c>
      <c r="CJ89" s="6" t="e">
        <f t="shared" si="199"/>
        <v>#N/A</v>
      </c>
      <c r="CK89" s="6">
        <f t="shared" si="200"/>
        <v>1</v>
      </c>
      <c r="CL89" s="6">
        <f t="shared" si="201"/>
        <v>1</v>
      </c>
      <c r="CM89" s="6">
        <f t="shared" si="202"/>
        <v>1</v>
      </c>
      <c r="CN89" s="6">
        <f t="shared" si="203"/>
        <v>1</v>
      </c>
      <c r="CO89" s="6">
        <f t="shared" si="204"/>
        <v>0</v>
      </c>
      <c r="CP89" s="6">
        <f t="shared" si="205"/>
        <v>1</v>
      </c>
      <c r="CQ89" s="6">
        <f t="shared" si="188"/>
        <v>1</v>
      </c>
      <c r="CR89" s="81" t="str">
        <f t="shared" si="206"/>
        <v/>
      </c>
      <c r="CS89">
        <f t="shared" si="189"/>
        <v>0</v>
      </c>
      <c r="CT89">
        <f t="shared" si="19"/>
        <v>180</v>
      </c>
      <c r="CU89" t="str">
        <f t="shared" si="207"/>
        <v/>
      </c>
      <c r="CV89" s="81">
        <f t="shared" si="190"/>
        <v>180</v>
      </c>
      <c r="CW89" s="81">
        <f>(CV89/25)^1.5*(Calculator!$BU$4/10000)*CW$5</f>
        <v>49.885325635190988</v>
      </c>
      <c r="CX89" t="str">
        <f t="shared" si="191"/>
        <v>$180</v>
      </c>
    </row>
    <row r="90" spans="2:102" x14ac:dyDescent="0.25">
      <c r="B90" s="115" t="s">
        <v>233</v>
      </c>
      <c r="C90" s="13">
        <v>46237.767361111109</v>
      </c>
      <c r="D90">
        <v>17380</v>
      </c>
      <c r="E90" s="54" t="s">
        <v>237</v>
      </c>
      <c r="F90" s="54" t="s">
        <v>444</v>
      </c>
      <c r="G90" s="54" t="s">
        <v>1831</v>
      </c>
      <c r="H90" s="55">
        <v>14.7</v>
      </c>
      <c r="I90" s="55">
        <v>14.299999999999999</v>
      </c>
      <c r="J90" s="55">
        <v>14.000000000000002</v>
      </c>
      <c r="K90" s="54"/>
      <c r="L90" s="56" t="b">
        <v>0</v>
      </c>
      <c r="M90" s="56" t="b">
        <v>0</v>
      </c>
      <c r="N90" s="54">
        <v>1</v>
      </c>
      <c r="O90" s="54" t="s">
        <v>228</v>
      </c>
      <c r="P90" s="54">
        <v>22</v>
      </c>
      <c r="Q90" s="54">
        <v>18</v>
      </c>
      <c r="R90" s="54">
        <v>180</v>
      </c>
      <c r="S90" s="54" t="s">
        <v>445</v>
      </c>
      <c r="T90" s="54" t="s">
        <v>1830</v>
      </c>
      <c r="U90" s="54" t="s">
        <v>1822</v>
      </c>
      <c r="V90" s="54" t="s">
        <v>447</v>
      </c>
      <c r="W90" s="54" t="b">
        <v>0</v>
      </c>
      <c r="X90" s="54"/>
      <c r="Y90" s="57" t="s">
        <v>1832</v>
      </c>
      <c r="Z90" s="54" t="s">
        <v>1833</v>
      </c>
      <c r="AA90" s="54"/>
      <c r="AB90" s="54" t="s">
        <v>448</v>
      </c>
      <c r="AC90" s="56" t="b">
        <v>1</v>
      </c>
      <c r="AD90" s="56" t="b">
        <v>0</v>
      </c>
      <c r="AE90" s="54" t="s">
        <v>302</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7.8173999999999993E-2</v>
      </c>
      <c r="BC90" s="60"/>
      <c r="BD90" s="61"/>
      <c r="BE90" s="62" t="s">
        <v>293</v>
      </c>
      <c r="BF90" s="35">
        <f t="shared" si="192"/>
        <v>4.0600000000000005</v>
      </c>
      <c r="BG90" s="35">
        <f t="shared" si="192"/>
        <v>6.0295000000000001E-2</v>
      </c>
      <c r="BH90" s="35" t="str">
        <f t="shared" si="181"/>
        <v>Low</v>
      </c>
      <c r="BI90" s="110">
        <f t="shared" si="182"/>
        <v>0</v>
      </c>
      <c r="BJ90" s="83">
        <f>VLOOKUP($F90,REP_Info!$D$6:$H$250,5,FALSE)</f>
        <v>1.8160000000000001</v>
      </c>
      <c r="BK90" s="30">
        <f t="shared" si="183"/>
        <v>14.658899999999999</v>
      </c>
      <c r="BL90" s="30">
        <f t="shared" si="183"/>
        <v>14.2529</v>
      </c>
      <c r="BM90" s="30">
        <f t="shared" si="183"/>
        <v>14.049899999999999</v>
      </c>
      <c r="BN90" s="29">
        <f t="shared" si="183"/>
        <v>13.982233333333332</v>
      </c>
      <c r="BO90" s="85" t="str">
        <f t="shared" si="198"/>
        <v>$$$</v>
      </c>
      <c r="BP90" s="88" t="str">
        <f t="shared" si="184"/>
        <v>$$$</v>
      </c>
      <c r="BQ90" s="88" t="str">
        <f t="shared" si="193"/>
        <v>$$$</v>
      </c>
      <c r="BR90" s="88" t="str">
        <f t="shared" si="194"/>
        <v>$$$</v>
      </c>
      <c r="BS90" s="29" t="e">
        <f t="shared" si="195"/>
        <v>#N/A</v>
      </c>
      <c r="BT90" s="29" t="e">
        <f t="shared" si="195"/>
        <v>#N/A</v>
      </c>
      <c r="BU90" s="29" t="e">
        <f t="shared" si="195"/>
        <v>#N/A</v>
      </c>
      <c r="BV90" s="29" t="e">
        <f t="shared" si="195"/>
        <v>#N/A</v>
      </c>
      <c r="BW90" s="29" t="e">
        <f t="shared" si="195"/>
        <v>#N/A</v>
      </c>
      <c r="BX90" s="29" t="e">
        <f t="shared" si="195"/>
        <v>#N/A</v>
      </c>
      <c r="BY90" s="29" t="e">
        <f t="shared" si="195"/>
        <v>#N/A</v>
      </c>
      <c r="BZ90" s="29" t="e">
        <f t="shared" si="195"/>
        <v>#N/A</v>
      </c>
      <c r="CA90" s="29" t="e">
        <f t="shared" si="195"/>
        <v>#N/A</v>
      </c>
      <c r="CB90" s="29" t="e">
        <f t="shared" si="195"/>
        <v>#N/A</v>
      </c>
      <c r="CC90" s="29" t="e">
        <f t="shared" si="195"/>
        <v>#N/A</v>
      </c>
      <c r="CD90" s="29" t="e">
        <f t="shared" si="195"/>
        <v>#N/A</v>
      </c>
      <c r="CE90" s="6" t="str">
        <f t="shared" si="196"/>
        <v/>
      </c>
      <c r="CF90" s="27" t="e">
        <f>IF(AND(CI90,NOT(AD90)),LOOKUP(CF$5,{0,750,1500},H90:J90),"")</f>
        <v>#N/A</v>
      </c>
      <c r="CG90" s="6" t="str">
        <f t="shared" si="197"/>
        <v/>
      </c>
      <c r="CH90" t="e">
        <f t="shared" si="186"/>
        <v>#N/A</v>
      </c>
      <c r="CI90" t="e">
        <f t="shared" si="187"/>
        <v>#N/A</v>
      </c>
      <c r="CJ90" s="6" t="e">
        <f t="shared" si="199"/>
        <v>#N/A</v>
      </c>
      <c r="CK90" s="6">
        <f t="shared" si="200"/>
        <v>1</v>
      </c>
      <c r="CL90" s="6">
        <f t="shared" si="201"/>
        <v>1</v>
      </c>
      <c r="CM90" s="6">
        <f t="shared" si="202"/>
        <v>1</v>
      </c>
      <c r="CN90" s="6">
        <f t="shared" si="203"/>
        <v>1</v>
      </c>
      <c r="CO90" s="6">
        <f t="shared" si="204"/>
        <v>0</v>
      </c>
      <c r="CP90" s="6">
        <f t="shared" si="205"/>
        <v>1</v>
      </c>
      <c r="CQ90" s="6">
        <f t="shared" si="188"/>
        <v>1</v>
      </c>
      <c r="CR90" s="81" t="str">
        <f t="shared" si="206"/>
        <v/>
      </c>
      <c r="CS90">
        <f t="shared" si="189"/>
        <v>0</v>
      </c>
      <c r="CT90">
        <f t="shared" si="19"/>
        <v>180</v>
      </c>
      <c r="CU90" t="str">
        <f t="shared" si="207"/>
        <v/>
      </c>
      <c r="CV90" s="81">
        <f t="shared" si="190"/>
        <v>180</v>
      </c>
      <c r="CW90" s="81">
        <f>(CV90/25)^1.5*(Calculator!$BU$4/10000)*CW$5</f>
        <v>49.885325635190988</v>
      </c>
      <c r="CX90" t="str">
        <f t="shared" si="191"/>
        <v>$180</v>
      </c>
    </row>
    <row r="91" spans="2:102" x14ac:dyDescent="0.25">
      <c r="B91" s="115" t="s">
        <v>233</v>
      </c>
      <c r="C91" s="13">
        <v>46237.767361111109</v>
      </c>
      <c r="D91">
        <v>18366</v>
      </c>
      <c r="E91" s="54" t="s">
        <v>237</v>
      </c>
      <c r="F91" s="54" t="s">
        <v>444</v>
      </c>
      <c r="G91" s="54" t="s">
        <v>1834</v>
      </c>
      <c r="H91" s="55">
        <v>14.299999999999999</v>
      </c>
      <c r="I91" s="55">
        <v>13.900000000000002</v>
      </c>
      <c r="J91" s="55">
        <v>13.600000000000001</v>
      </c>
      <c r="K91" s="54"/>
      <c r="L91" s="56" t="b">
        <v>0</v>
      </c>
      <c r="M91" s="56" t="b">
        <v>0</v>
      </c>
      <c r="N91" s="54">
        <v>1</v>
      </c>
      <c r="O91" s="54" t="s">
        <v>228</v>
      </c>
      <c r="P91" s="54">
        <v>22</v>
      </c>
      <c r="Q91" s="54">
        <v>24</v>
      </c>
      <c r="R91" s="54">
        <v>295</v>
      </c>
      <c r="S91" s="54" t="s">
        <v>445</v>
      </c>
      <c r="T91" s="54" t="s">
        <v>1830</v>
      </c>
      <c r="U91" s="54" t="s">
        <v>446</v>
      </c>
      <c r="V91" s="54" t="s">
        <v>447</v>
      </c>
      <c r="W91" s="54" t="b">
        <v>0</v>
      </c>
      <c r="X91" s="54"/>
      <c r="Y91" s="57" t="s">
        <v>1835</v>
      </c>
      <c r="Z91" s="54" t="s">
        <v>1833</v>
      </c>
      <c r="AA91" s="54"/>
      <c r="AB91" s="54" t="s">
        <v>448</v>
      </c>
      <c r="AC91" s="56" t="b">
        <v>1</v>
      </c>
      <c r="AD91" s="56" t="b">
        <v>0</v>
      </c>
      <c r="AE91" s="54" t="s">
        <v>302</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7.4174000000000004E-2</v>
      </c>
      <c r="BC91" s="60"/>
      <c r="BD91" s="61"/>
      <c r="BE91" s="62" t="s">
        <v>293</v>
      </c>
      <c r="BF91" s="35">
        <f t="shared" si="192"/>
        <v>4.0600000000000005</v>
      </c>
      <c r="BG91" s="35">
        <f t="shared" si="192"/>
        <v>6.0295000000000001E-2</v>
      </c>
      <c r="BH91" s="35" t="str">
        <f t="shared" si="181"/>
        <v>Low</v>
      </c>
      <c r="BI91" s="110">
        <f t="shared" si="182"/>
        <v>0</v>
      </c>
      <c r="BJ91" s="83">
        <f>VLOOKUP($F91,REP_Info!$D$6:$H$250,5,FALSE)</f>
        <v>1.8160000000000001</v>
      </c>
      <c r="BK91" s="30">
        <f t="shared" si="183"/>
        <v>14.258899999999999</v>
      </c>
      <c r="BL91" s="30">
        <f t="shared" si="183"/>
        <v>13.8529</v>
      </c>
      <c r="BM91" s="30">
        <f t="shared" si="183"/>
        <v>13.649900000000001</v>
      </c>
      <c r="BN91" s="29">
        <f t="shared" si="183"/>
        <v>13.582233333333333</v>
      </c>
      <c r="BO91" s="85" t="str">
        <f t="shared" si="198"/>
        <v>$$$</v>
      </c>
      <c r="BP91" s="88" t="str">
        <f t="shared" si="184"/>
        <v>$$$</v>
      </c>
      <c r="BQ91" s="88" t="str">
        <f t="shared" si="193"/>
        <v>$$$</v>
      </c>
      <c r="BR91" s="88" t="str">
        <f t="shared" si="194"/>
        <v>$$$</v>
      </c>
      <c r="BS91" s="29" t="e">
        <f t="shared" si="195"/>
        <v>#N/A</v>
      </c>
      <c r="BT91" s="29" t="e">
        <f t="shared" si="195"/>
        <v>#N/A</v>
      </c>
      <c r="BU91" s="29" t="e">
        <f t="shared" si="195"/>
        <v>#N/A</v>
      </c>
      <c r="BV91" s="29" t="e">
        <f t="shared" si="195"/>
        <v>#N/A</v>
      </c>
      <c r="BW91" s="29" t="e">
        <f t="shared" si="195"/>
        <v>#N/A</v>
      </c>
      <c r="BX91" s="29" t="e">
        <f t="shared" si="195"/>
        <v>#N/A</v>
      </c>
      <c r="BY91" s="29" t="e">
        <f t="shared" si="195"/>
        <v>#N/A</v>
      </c>
      <c r="BZ91" s="29" t="e">
        <f t="shared" si="195"/>
        <v>#N/A</v>
      </c>
      <c r="CA91" s="29" t="e">
        <f t="shared" si="195"/>
        <v>#N/A</v>
      </c>
      <c r="CB91" s="29" t="e">
        <f t="shared" si="195"/>
        <v>#N/A</v>
      </c>
      <c r="CC91" s="29" t="e">
        <f t="shared" si="195"/>
        <v>#N/A</v>
      </c>
      <c r="CD91" s="29" t="e">
        <f t="shared" si="195"/>
        <v>#N/A</v>
      </c>
      <c r="CE91" s="6" t="str">
        <f t="shared" si="196"/>
        <v/>
      </c>
      <c r="CF91" s="27" t="e">
        <f>IF(AND(CI91,NOT(AD91)),LOOKUP(CF$5,{0,750,1500},H91:J91),"")</f>
        <v>#N/A</v>
      </c>
      <c r="CG91" s="6" t="str">
        <f t="shared" si="197"/>
        <v/>
      </c>
      <c r="CH91" t="e">
        <f t="shared" si="186"/>
        <v>#N/A</v>
      </c>
      <c r="CI91" t="e">
        <f t="shared" si="187"/>
        <v>#N/A</v>
      </c>
      <c r="CJ91" s="6" t="e">
        <f t="shared" si="199"/>
        <v>#N/A</v>
      </c>
      <c r="CK91" s="6">
        <f t="shared" si="200"/>
        <v>1</v>
      </c>
      <c r="CL91" s="6">
        <f t="shared" si="201"/>
        <v>1</v>
      </c>
      <c r="CM91" s="6">
        <f t="shared" si="202"/>
        <v>1</v>
      </c>
      <c r="CN91" s="6">
        <f t="shared" si="203"/>
        <v>1</v>
      </c>
      <c r="CO91" s="6">
        <f t="shared" si="204"/>
        <v>0</v>
      </c>
      <c r="CP91" s="6">
        <f t="shared" si="205"/>
        <v>1</v>
      </c>
      <c r="CQ91" s="6">
        <f t="shared" si="188"/>
        <v>1</v>
      </c>
      <c r="CR91" s="81" t="str">
        <f t="shared" si="206"/>
        <v/>
      </c>
      <c r="CS91">
        <f t="shared" si="189"/>
        <v>0</v>
      </c>
      <c r="CT91">
        <f t="shared" si="19"/>
        <v>295</v>
      </c>
      <c r="CU91" t="str">
        <f t="shared" si="207"/>
        <v/>
      </c>
      <c r="CV91" s="81">
        <f t="shared" si="190"/>
        <v>295</v>
      </c>
      <c r="CW91" s="81">
        <f>(CV91/25)^1.5*(Calculator!$BU$4/10000)*CW$5</f>
        <v>104.66393961177546</v>
      </c>
      <c r="CX91" t="str">
        <f t="shared" si="191"/>
        <v>$295</v>
      </c>
    </row>
    <row r="92" spans="2:102" x14ac:dyDescent="0.25">
      <c r="B92" s="115" t="s">
        <v>233</v>
      </c>
      <c r="C92" s="13">
        <v>46237.767361111109</v>
      </c>
      <c r="D92">
        <v>18367</v>
      </c>
      <c r="E92" s="54" t="s">
        <v>237</v>
      </c>
      <c r="F92" s="54" t="s">
        <v>444</v>
      </c>
      <c r="G92" s="54" t="s">
        <v>1829</v>
      </c>
      <c r="H92" s="55">
        <v>13.700000000000001</v>
      </c>
      <c r="I92" s="55">
        <v>13.3</v>
      </c>
      <c r="J92" s="55">
        <v>13</v>
      </c>
      <c r="K92" s="54"/>
      <c r="L92" s="56" t="b">
        <v>0</v>
      </c>
      <c r="M92" s="56" t="b">
        <v>0</v>
      </c>
      <c r="N92" s="54">
        <v>1</v>
      </c>
      <c r="O92" s="54" t="s">
        <v>228</v>
      </c>
      <c r="P92" s="54">
        <v>22</v>
      </c>
      <c r="Q92" s="54">
        <v>12</v>
      </c>
      <c r="R92" s="54">
        <v>150</v>
      </c>
      <c r="S92" s="54" t="s">
        <v>445</v>
      </c>
      <c r="T92" s="54" t="s">
        <v>1830</v>
      </c>
      <c r="U92" s="54" t="s">
        <v>446</v>
      </c>
      <c r="V92" s="54" t="s">
        <v>447</v>
      </c>
      <c r="W92" s="54" t="b">
        <v>0</v>
      </c>
      <c r="X92" s="54"/>
      <c r="Y92" s="57" t="s">
        <v>1836</v>
      </c>
      <c r="Z92" s="54" t="s">
        <v>1833</v>
      </c>
      <c r="AA92" s="54"/>
      <c r="AB92" s="54" t="s">
        <v>448</v>
      </c>
      <c r="AC92" s="56" t="b">
        <v>1</v>
      </c>
      <c r="AD92" s="56" t="b">
        <v>0</v>
      </c>
      <c r="AE92" s="54" t="s">
        <v>302</v>
      </c>
      <c r="AF92" s="58">
        <v>46235</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6.8173999999999998E-2</v>
      </c>
      <c r="BC92" s="60"/>
      <c r="BD92" s="61"/>
      <c r="BE92" s="62" t="s">
        <v>293</v>
      </c>
      <c r="BF92" s="35">
        <f t="shared" si="192"/>
        <v>4.0600000000000005</v>
      </c>
      <c r="BG92" s="35">
        <f t="shared" si="192"/>
        <v>6.0295000000000001E-2</v>
      </c>
      <c r="BH92" s="35" t="str">
        <f t="shared" si="181"/>
        <v>Low</v>
      </c>
      <c r="BI92" s="110">
        <f t="shared" si="182"/>
        <v>0</v>
      </c>
      <c r="BJ92" s="83">
        <f>VLOOKUP($F92,REP_Info!$D$6:$H$250,5,FALSE)</f>
        <v>1.8160000000000001</v>
      </c>
      <c r="BK92" s="30">
        <f t="shared" si="183"/>
        <v>13.658899999999999</v>
      </c>
      <c r="BL92" s="30">
        <f t="shared" si="183"/>
        <v>13.2529</v>
      </c>
      <c r="BM92" s="30">
        <f t="shared" si="183"/>
        <v>13.049899999999999</v>
      </c>
      <c r="BN92" s="29">
        <f t="shared" si="183"/>
        <v>12.982233333333332</v>
      </c>
      <c r="BO92" s="85" t="str">
        <f t="shared" si="198"/>
        <v>$$$</v>
      </c>
      <c r="BP92" s="88" t="str">
        <f t="shared" si="184"/>
        <v>$$$</v>
      </c>
      <c r="BQ92" s="88" t="str">
        <f t="shared" si="193"/>
        <v>$$$</v>
      </c>
      <c r="BR92" s="88" t="str">
        <f t="shared" si="194"/>
        <v>$$$</v>
      </c>
      <c r="BS92" s="29" t="e">
        <f t="shared" si="195"/>
        <v>#N/A</v>
      </c>
      <c r="BT92" s="29" t="e">
        <f t="shared" si="195"/>
        <v>#N/A</v>
      </c>
      <c r="BU92" s="29" t="e">
        <f t="shared" si="195"/>
        <v>#N/A</v>
      </c>
      <c r="BV92" s="29" t="e">
        <f t="shared" si="195"/>
        <v>#N/A</v>
      </c>
      <c r="BW92" s="29" t="e">
        <f t="shared" si="195"/>
        <v>#N/A</v>
      </c>
      <c r="BX92" s="29" t="e">
        <f t="shared" si="195"/>
        <v>#N/A</v>
      </c>
      <c r="BY92" s="29" t="e">
        <f t="shared" si="195"/>
        <v>#N/A</v>
      </c>
      <c r="BZ92" s="29" t="e">
        <f t="shared" si="195"/>
        <v>#N/A</v>
      </c>
      <c r="CA92" s="29" t="e">
        <f t="shared" si="195"/>
        <v>#N/A</v>
      </c>
      <c r="CB92" s="29" t="e">
        <f t="shared" si="195"/>
        <v>#N/A</v>
      </c>
      <c r="CC92" s="29" t="e">
        <f t="shared" si="195"/>
        <v>#N/A</v>
      </c>
      <c r="CD92" s="29" t="e">
        <f t="shared" si="195"/>
        <v>#N/A</v>
      </c>
      <c r="CE92" s="6" t="str">
        <f t="shared" si="196"/>
        <v/>
      </c>
      <c r="CF92" s="27" t="e">
        <f>IF(AND(CI92,NOT(AD92)),LOOKUP(CF$5,{0,750,1500},H92:J92),"")</f>
        <v>#N/A</v>
      </c>
      <c r="CG92" s="6" t="str">
        <f t="shared" si="197"/>
        <v/>
      </c>
      <c r="CH92" t="e">
        <f t="shared" si="186"/>
        <v>#N/A</v>
      </c>
      <c r="CI92" t="e">
        <f t="shared" si="187"/>
        <v>#N/A</v>
      </c>
      <c r="CJ92" s="6" t="e">
        <f t="shared" si="199"/>
        <v>#N/A</v>
      </c>
      <c r="CK92" s="6">
        <f t="shared" si="200"/>
        <v>1</v>
      </c>
      <c r="CL92" s="6">
        <f t="shared" si="201"/>
        <v>1</v>
      </c>
      <c r="CM92" s="6">
        <f t="shared" si="202"/>
        <v>1</v>
      </c>
      <c r="CN92" s="6">
        <f t="shared" si="203"/>
        <v>1</v>
      </c>
      <c r="CO92" s="6">
        <f t="shared" si="204"/>
        <v>1</v>
      </c>
      <c r="CP92" s="6">
        <f t="shared" si="205"/>
        <v>1</v>
      </c>
      <c r="CQ92" s="6">
        <f t="shared" si="188"/>
        <v>1</v>
      </c>
      <c r="CR92" s="81" t="str">
        <f t="shared" si="206"/>
        <v/>
      </c>
      <c r="CS92">
        <f t="shared" si="189"/>
        <v>0</v>
      </c>
      <c r="CT92">
        <f t="shared" si="19"/>
        <v>150</v>
      </c>
      <c r="CU92" t="str">
        <f t="shared" si="207"/>
        <v/>
      </c>
      <c r="CV92" s="81">
        <f t="shared" si="190"/>
        <v>150</v>
      </c>
      <c r="CW92" s="81">
        <f>(CV92/25)^1.5*(Calculator!$BU$4/10000)*CW$5</f>
        <v>37.949052970673385</v>
      </c>
      <c r="CX92" t="str">
        <f t="shared" si="191"/>
        <v>$150</v>
      </c>
    </row>
    <row r="93" spans="2:102" x14ac:dyDescent="0.25">
      <c r="B93" s="115" t="s">
        <v>233</v>
      </c>
      <c r="C93" s="13">
        <v>46251.443749999999</v>
      </c>
      <c r="D93">
        <v>18368</v>
      </c>
      <c r="E93" s="54" t="s">
        <v>235</v>
      </c>
      <c r="F93" s="54" t="s">
        <v>444</v>
      </c>
      <c r="G93" s="54" t="s">
        <v>1834</v>
      </c>
      <c r="H93" s="55">
        <v>13.200000000000001</v>
      </c>
      <c r="I93" s="55">
        <v>12.7</v>
      </c>
      <c r="J93" s="55">
        <v>12.5</v>
      </c>
      <c r="K93" s="54"/>
      <c r="L93" s="56" t="b">
        <v>0</v>
      </c>
      <c r="M93" s="56" t="b">
        <v>0</v>
      </c>
      <c r="N93" s="54">
        <v>1</v>
      </c>
      <c r="O93" s="54" t="s">
        <v>228</v>
      </c>
      <c r="P93" s="54">
        <v>22</v>
      </c>
      <c r="Q93" s="54">
        <v>24</v>
      </c>
      <c r="R93" s="54">
        <v>295</v>
      </c>
      <c r="S93" s="54" t="s">
        <v>445</v>
      </c>
      <c r="T93" s="54" t="s">
        <v>1830</v>
      </c>
      <c r="U93" s="54" t="s">
        <v>446</v>
      </c>
      <c r="V93" s="54" t="s">
        <v>447</v>
      </c>
      <c r="W93" s="54" t="b">
        <v>0</v>
      </c>
      <c r="X93" s="54"/>
      <c r="Y93" s="57" t="s">
        <v>2096</v>
      </c>
      <c r="Z93" s="54" t="s">
        <v>2093</v>
      </c>
      <c r="AA93" s="54"/>
      <c r="AB93" s="54" t="s">
        <v>448</v>
      </c>
      <c r="AC93" s="56" t="b">
        <v>1</v>
      </c>
      <c r="AD93" s="56" t="b">
        <v>0</v>
      </c>
      <c r="AE93" s="54" t="s">
        <v>302</v>
      </c>
      <c r="AF93" s="58">
        <v>46249</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7.2588E-2</v>
      </c>
      <c r="BC93" s="60"/>
      <c r="BD93" s="61"/>
      <c r="BE93" s="62" t="s">
        <v>293</v>
      </c>
      <c r="BF93" s="35">
        <f t="shared" si="192"/>
        <v>4.9000000000000004</v>
      </c>
      <c r="BG93" s="35">
        <f t="shared" si="192"/>
        <v>4.9811000000000001E-2</v>
      </c>
      <c r="BH93" s="35" t="str">
        <f t="shared" si="181"/>
        <v>Low</v>
      </c>
      <c r="BI93" s="110">
        <f t="shared" si="182"/>
        <v>0</v>
      </c>
      <c r="BJ93" s="83">
        <f>VLOOKUP($F93,REP_Info!$D$6:$H$250,5,FALSE)</f>
        <v>1.8160000000000001</v>
      </c>
      <c r="BK93" s="30">
        <f t="shared" si="183"/>
        <v>13.219899999999997</v>
      </c>
      <c r="BL93" s="30">
        <f t="shared" si="183"/>
        <v>12.729900000000001</v>
      </c>
      <c r="BM93" s="30">
        <f t="shared" si="183"/>
        <v>12.4849</v>
      </c>
      <c r="BN93" s="29">
        <f t="shared" si="183"/>
        <v>12.403233333333333</v>
      </c>
      <c r="BO93" s="85" t="str">
        <f t="shared" si="198"/>
        <v>$$$</v>
      </c>
      <c r="BP93" s="88" t="str">
        <f t="shared" si="184"/>
        <v>$$$</v>
      </c>
      <c r="BQ93" s="88" t="str">
        <f t="shared" si="193"/>
        <v>$$$</v>
      </c>
      <c r="BR93" s="88" t="str">
        <f t="shared" si="194"/>
        <v>$$$</v>
      </c>
      <c r="BS93" s="29" t="e">
        <f t="shared" si="195"/>
        <v>#N/A</v>
      </c>
      <c r="BT93" s="29" t="e">
        <f t="shared" si="195"/>
        <v>#N/A</v>
      </c>
      <c r="BU93" s="29" t="e">
        <f t="shared" si="195"/>
        <v>#N/A</v>
      </c>
      <c r="BV93" s="29" t="e">
        <f t="shared" si="195"/>
        <v>#N/A</v>
      </c>
      <c r="BW93" s="29" t="e">
        <f t="shared" si="195"/>
        <v>#N/A</v>
      </c>
      <c r="BX93" s="29" t="e">
        <f t="shared" si="195"/>
        <v>#N/A</v>
      </c>
      <c r="BY93" s="29" t="e">
        <f t="shared" si="195"/>
        <v>#N/A</v>
      </c>
      <c r="BZ93" s="29" t="e">
        <f t="shared" si="195"/>
        <v>#N/A</v>
      </c>
      <c r="CA93" s="29" t="e">
        <f t="shared" si="195"/>
        <v>#N/A</v>
      </c>
      <c r="CB93" s="29" t="e">
        <f t="shared" si="195"/>
        <v>#N/A</v>
      </c>
      <c r="CC93" s="29" t="e">
        <f t="shared" si="195"/>
        <v>#N/A</v>
      </c>
      <c r="CD93" s="29" t="e">
        <f t="shared" si="195"/>
        <v>#N/A</v>
      </c>
      <c r="CE93" s="6" t="str">
        <f t="shared" si="196"/>
        <v/>
      </c>
      <c r="CF93" s="27" t="e">
        <f>IF(AND(CI93,NOT(AD93)),LOOKUP(CF$5,{0,750,1500},H93:J93),"")</f>
        <v>#N/A</v>
      </c>
      <c r="CG93" s="6" t="str">
        <f t="shared" si="197"/>
        <v/>
      </c>
      <c r="CH93" t="e">
        <f t="shared" si="186"/>
        <v>#N/A</v>
      </c>
      <c r="CI93" t="e">
        <f t="shared" si="187"/>
        <v>#N/A</v>
      </c>
      <c r="CJ93" s="6" t="e">
        <f t="shared" si="199"/>
        <v>#N/A</v>
      </c>
      <c r="CK93" s="6">
        <f t="shared" si="200"/>
        <v>1</v>
      </c>
      <c r="CL93" s="6">
        <f t="shared" si="201"/>
        <v>1</v>
      </c>
      <c r="CM93" s="6">
        <f t="shared" si="202"/>
        <v>1</v>
      </c>
      <c r="CN93" s="6">
        <f t="shared" si="203"/>
        <v>1</v>
      </c>
      <c r="CO93" s="6">
        <f t="shared" si="204"/>
        <v>0</v>
      </c>
      <c r="CP93" s="6">
        <f t="shared" si="205"/>
        <v>1</v>
      </c>
      <c r="CQ93" s="6">
        <f t="shared" si="188"/>
        <v>1</v>
      </c>
      <c r="CR93" s="81" t="str">
        <f t="shared" si="206"/>
        <v/>
      </c>
      <c r="CS93">
        <f t="shared" si="189"/>
        <v>0</v>
      </c>
      <c r="CT93">
        <f t="shared" si="19"/>
        <v>295</v>
      </c>
      <c r="CU93" t="str">
        <f t="shared" si="207"/>
        <v/>
      </c>
      <c r="CV93" s="81">
        <f t="shared" si="190"/>
        <v>295</v>
      </c>
      <c r="CW93" s="81">
        <f>(CV93/25)^1.5*(Calculator!$BU$4/10000)*CW$5</f>
        <v>104.66393961177546</v>
      </c>
      <c r="CX93" t="str">
        <f t="shared" si="191"/>
        <v>$295</v>
      </c>
    </row>
    <row r="94" spans="2:102" x14ac:dyDescent="0.25">
      <c r="B94" s="115" t="s">
        <v>233</v>
      </c>
      <c r="C94" s="13">
        <v>46251.443749999999</v>
      </c>
      <c r="D94">
        <v>34521</v>
      </c>
      <c r="E94" s="54" t="s">
        <v>235</v>
      </c>
      <c r="F94" s="54" t="s">
        <v>444</v>
      </c>
      <c r="G94" s="54" t="s">
        <v>1837</v>
      </c>
      <c r="H94" s="55">
        <v>12.6</v>
      </c>
      <c r="I94" s="55">
        <v>12.1</v>
      </c>
      <c r="J94" s="55">
        <v>11.899999999999999</v>
      </c>
      <c r="K94" s="54"/>
      <c r="L94" s="56" t="b">
        <v>0</v>
      </c>
      <c r="M94" s="56" t="b">
        <v>0</v>
      </c>
      <c r="N94" s="54">
        <v>1</v>
      </c>
      <c r="O94" s="54" t="s">
        <v>228</v>
      </c>
      <c r="P94" s="54">
        <v>22</v>
      </c>
      <c r="Q94" s="54">
        <v>10</v>
      </c>
      <c r="R94" s="54">
        <v>95</v>
      </c>
      <c r="S94" s="54" t="s">
        <v>445</v>
      </c>
      <c r="T94" s="54"/>
      <c r="U94" s="54" t="s">
        <v>446</v>
      </c>
      <c r="V94" s="54" t="s">
        <v>447</v>
      </c>
      <c r="W94" s="54" t="b">
        <v>0</v>
      </c>
      <c r="X94" s="54"/>
      <c r="Y94" s="57" t="s">
        <v>2097</v>
      </c>
      <c r="Z94" s="54" t="s">
        <v>1838</v>
      </c>
      <c r="AA94" s="54"/>
      <c r="AB94" s="54" t="s">
        <v>448</v>
      </c>
      <c r="AC94" s="56" t="b">
        <v>1</v>
      </c>
      <c r="AD94" s="56" t="b">
        <v>0</v>
      </c>
      <c r="AE94" s="54" t="s">
        <v>302</v>
      </c>
      <c r="AF94" s="58">
        <v>46249</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6.6587999999999994E-2</v>
      </c>
      <c r="BC94" s="60"/>
      <c r="BD94" s="61"/>
      <c r="BE94" s="62" t="s">
        <v>293</v>
      </c>
      <c r="BF94" s="35">
        <f t="shared" si="192"/>
        <v>4.9000000000000004</v>
      </c>
      <c r="BG94" s="35">
        <f t="shared" si="192"/>
        <v>4.9811000000000001E-2</v>
      </c>
      <c r="BH94" s="35" t="str">
        <f t="shared" si="181"/>
        <v>Low</v>
      </c>
      <c r="BI94" s="110">
        <f t="shared" si="182"/>
        <v>0</v>
      </c>
      <c r="BJ94" s="83">
        <f>VLOOKUP($F94,REP_Info!$D$6:$H$250,5,FALSE)</f>
        <v>1.8160000000000001</v>
      </c>
      <c r="BK94" s="30">
        <f t="shared" si="183"/>
        <v>12.619899999999998</v>
      </c>
      <c r="BL94" s="30">
        <f t="shared" si="183"/>
        <v>12.129900000000001</v>
      </c>
      <c r="BM94" s="30">
        <f t="shared" si="183"/>
        <v>11.8849</v>
      </c>
      <c r="BN94" s="29">
        <f t="shared" si="183"/>
        <v>11.803233333333333</v>
      </c>
      <c r="BO94" s="85" t="str">
        <f t="shared" si="198"/>
        <v>$$$</v>
      </c>
      <c r="BP94" s="88" t="str">
        <f t="shared" si="184"/>
        <v>$$$</v>
      </c>
      <c r="BQ94" s="88" t="str">
        <f t="shared" si="193"/>
        <v>$$$</v>
      </c>
      <c r="BR94" s="88" t="str">
        <f t="shared" si="194"/>
        <v>$$$</v>
      </c>
      <c r="BS94" s="29" t="e">
        <f t="shared" si="195"/>
        <v>#N/A</v>
      </c>
      <c r="BT94" s="29" t="e">
        <f t="shared" si="195"/>
        <v>#N/A</v>
      </c>
      <c r="BU94" s="29" t="e">
        <f t="shared" si="195"/>
        <v>#N/A</v>
      </c>
      <c r="BV94" s="29" t="e">
        <f t="shared" si="195"/>
        <v>#N/A</v>
      </c>
      <c r="BW94" s="29" t="e">
        <f t="shared" si="195"/>
        <v>#N/A</v>
      </c>
      <c r="BX94" s="29" t="e">
        <f t="shared" si="195"/>
        <v>#N/A</v>
      </c>
      <c r="BY94" s="29" t="e">
        <f t="shared" si="195"/>
        <v>#N/A</v>
      </c>
      <c r="BZ94" s="29" t="e">
        <f t="shared" si="195"/>
        <v>#N/A</v>
      </c>
      <c r="CA94" s="29" t="e">
        <f t="shared" si="195"/>
        <v>#N/A</v>
      </c>
      <c r="CB94" s="29" t="e">
        <f t="shared" si="195"/>
        <v>#N/A</v>
      </c>
      <c r="CC94" s="29" t="e">
        <f t="shared" si="195"/>
        <v>#N/A</v>
      </c>
      <c r="CD94" s="29" t="e">
        <f t="shared" si="195"/>
        <v>#N/A</v>
      </c>
      <c r="CE94" s="6" t="str">
        <f t="shared" si="196"/>
        <v/>
      </c>
      <c r="CF94" s="27" t="e">
        <f>IF(AND(CI94,NOT(AD94)),LOOKUP(CF$5,{0,750,1500},H94:J94),"")</f>
        <v>#N/A</v>
      </c>
      <c r="CG94" s="6" t="str">
        <f t="shared" si="197"/>
        <v/>
      </c>
      <c r="CH94" t="e">
        <f t="shared" si="186"/>
        <v>#N/A</v>
      </c>
      <c r="CI94" t="e">
        <f t="shared" si="187"/>
        <v>#N/A</v>
      </c>
      <c r="CJ94" s="6" t="e">
        <f t="shared" si="199"/>
        <v>#N/A</v>
      </c>
      <c r="CK94" s="6">
        <f t="shared" si="200"/>
        <v>1</v>
      </c>
      <c r="CL94" s="6">
        <f t="shared" si="201"/>
        <v>1</v>
      </c>
      <c r="CM94" s="6">
        <f t="shared" si="202"/>
        <v>1</v>
      </c>
      <c r="CN94" s="6">
        <f t="shared" si="203"/>
        <v>0</v>
      </c>
      <c r="CO94" s="6">
        <f t="shared" si="204"/>
        <v>1</v>
      </c>
      <c r="CP94" s="6">
        <f t="shared" si="205"/>
        <v>1</v>
      </c>
      <c r="CQ94" s="6">
        <f t="shared" si="188"/>
        <v>1</v>
      </c>
      <c r="CR94" s="81" t="str">
        <f t="shared" si="206"/>
        <v/>
      </c>
      <c r="CS94">
        <f t="shared" si="189"/>
        <v>3.5999999999999992</v>
      </c>
      <c r="CT94">
        <f t="shared" si="19"/>
        <v>95</v>
      </c>
      <c r="CU94" t="str">
        <f t="shared" si="207"/>
        <v/>
      </c>
      <c r="CV94" s="81">
        <f t="shared" si="190"/>
        <v>95</v>
      </c>
      <c r="CW94" s="81">
        <f>(CV94/25)^1.5*(Calculator!$BU$4/10000)*CW$5</f>
        <v>19.127114680457929</v>
      </c>
      <c r="CX94" t="str">
        <f t="shared" si="191"/>
        <v>$95</v>
      </c>
    </row>
    <row r="95" spans="2:102" x14ac:dyDescent="0.25">
      <c r="B95" s="115" t="s">
        <v>233</v>
      </c>
      <c r="C95" s="13">
        <v>46237.767361111109</v>
      </c>
      <c r="D95">
        <v>34523</v>
      </c>
      <c r="E95" s="54" t="s">
        <v>237</v>
      </c>
      <c r="F95" s="54" t="s">
        <v>444</v>
      </c>
      <c r="G95" s="54" t="s">
        <v>1837</v>
      </c>
      <c r="H95" s="55">
        <v>13.700000000000001</v>
      </c>
      <c r="I95" s="55">
        <v>13.3</v>
      </c>
      <c r="J95" s="55">
        <v>13</v>
      </c>
      <c r="K95" s="54"/>
      <c r="L95" s="56" t="b">
        <v>0</v>
      </c>
      <c r="M95" s="56" t="b">
        <v>0</v>
      </c>
      <c r="N95" s="54">
        <v>1</v>
      </c>
      <c r="O95" s="54" t="s">
        <v>228</v>
      </c>
      <c r="P95" s="54">
        <v>22</v>
      </c>
      <c r="Q95" s="54">
        <v>10</v>
      </c>
      <c r="R95" s="54">
        <v>95</v>
      </c>
      <c r="S95" s="54" t="s">
        <v>445</v>
      </c>
      <c r="T95" s="54"/>
      <c r="U95" s="54" t="s">
        <v>446</v>
      </c>
      <c r="V95" s="54" t="s">
        <v>447</v>
      </c>
      <c r="W95" s="54" t="b">
        <v>0</v>
      </c>
      <c r="X95" s="54"/>
      <c r="Y95" s="57" t="s">
        <v>1839</v>
      </c>
      <c r="Z95" s="54" t="s">
        <v>1838</v>
      </c>
      <c r="AA95" s="54"/>
      <c r="AB95" s="54" t="s">
        <v>448</v>
      </c>
      <c r="AC95" s="56" t="b">
        <v>1</v>
      </c>
      <c r="AD95" s="56" t="b">
        <v>0</v>
      </c>
      <c r="AE95" s="54" t="s">
        <v>302</v>
      </c>
      <c r="AF95" s="58">
        <v>46235</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6.8173999999999998E-2</v>
      </c>
      <c r="BC95" s="60"/>
      <c r="BD95" s="61"/>
      <c r="BE95" s="62" t="s">
        <v>293</v>
      </c>
      <c r="BF95" s="35">
        <f t="shared" si="192"/>
        <v>4.0600000000000005</v>
      </c>
      <c r="BG95" s="35">
        <f t="shared" si="192"/>
        <v>6.0295000000000001E-2</v>
      </c>
      <c r="BH95" s="35" t="str">
        <f t="shared" si="181"/>
        <v>Low</v>
      </c>
      <c r="BI95" s="110">
        <f t="shared" si="182"/>
        <v>0</v>
      </c>
      <c r="BJ95" s="83">
        <f>VLOOKUP($F95,REP_Info!$D$6:$H$250,5,FALSE)</f>
        <v>1.8160000000000001</v>
      </c>
      <c r="BK95" s="30">
        <f t="shared" si="183"/>
        <v>13.658899999999999</v>
      </c>
      <c r="BL95" s="30">
        <f t="shared" si="183"/>
        <v>13.2529</v>
      </c>
      <c r="BM95" s="30">
        <f t="shared" si="183"/>
        <v>13.049899999999999</v>
      </c>
      <c r="BN95" s="29">
        <f t="shared" si="183"/>
        <v>12.982233333333332</v>
      </c>
      <c r="BO95" s="85" t="str">
        <f t="shared" si="198"/>
        <v>$$$</v>
      </c>
      <c r="BP95" s="88" t="str">
        <f t="shared" si="184"/>
        <v>$$$</v>
      </c>
      <c r="BQ95" s="88" t="str">
        <f t="shared" si="193"/>
        <v>$$$</v>
      </c>
      <c r="BR95" s="88" t="str">
        <f t="shared" si="194"/>
        <v>$$$</v>
      </c>
      <c r="BS95" s="29" t="e">
        <f t="shared" si="195"/>
        <v>#N/A</v>
      </c>
      <c r="BT95" s="29" t="e">
        <f t="shared" si="195"/>
        <v>#N/A</v>
      </c>
      <c r="BU95" s="29" t="e">
        <f t="shared" si="195"/>
        <v>#N/A</v>
      </c>
      <c r="BV95" s="29" t="e">
        <f t="shared" si="195"/>
        <v>#N/A</v>
      </c>
      <c r="BW95" s="29" t="e">
        <f t="shared" si="195"/>
        <v>#N/A</v>
      </c>
      <c r="BX95" s="29" t="e">
        <f t="shared" si="195"/>
        <v>#N/A</v>
      </c>
      <c r="BY95" s="29" t="e">
        <f t="shared" si="195"/>
        <v>#N/A</v>
      </c>
      <c r="BZ95" s="29" t="e">
        <f t="shared" si="195"/>
        <v>#N/A</v>
      </c>
      <c r="CA95" s="29" t="e">
        <f t="shared" si="195"/>
        <v>#N/A</v>
      </c>
      <c r="CB95" s="29" t="e">
        <f t="shared" si="195"/>
        <v>#N/A</v>
      </c>
      <c r="CC95" s="29" t="e">
        <f t="shared" si="195"/>
        <v>#N/A</v>
      </c>
      <c r="CD95" s="29" t="e">
        <f t="shared" si="195"/>
        <v>#N/A</v>
      </c>
      <c r="CE95" s="6" t="str">
        <f t="shared" si="196"/>
        <v/>
      </c>
      <c r="CF95" s="27" t="e">
        <f>IF(AND(CI95,NOT(AD95)),LOOKUP(CF$5,{0,750,1500},H95:J95),"")</f>
        <v>#N/A</v>
      </c>
      <c r="CG95" s="6" t="str">
        <f t="shared" si="197"/>
        <v/>
      </c>
      <c r="CH95" t="e">
        <f t="shared" si="186"/>
        <v>#N/A</v>
      </c>
      <c r="CI95" t="e">
        <f t="shared" si="187"/>
        <v>#N/A</v>
      </c>
      <c r="CJ95" s="6" t="e">
        <f t="shared" si="199"/>
        <v>#N/A</v>
      </c>
      <c r="CK95" s="6">
        <f t="shared" si="200"/>
        <v>1</v>
      </c>
      <c r="CL95" s="6">
        <f t="shared" si="201"/>
        <v>1</v>
      </c>
      <c r="CM95" s="6">
        <f t="shared" si="202"/>
        <v>1</v>
      </c>
      <c r="CN95" s="6">
        <f t="shared" si="203"/>
        <v>0</v>
      </c>
      <c r="CO95" s="6">
        <f t="shared" si="204"/>
        <v>1</v>
      </c>
      <c r="CP95" s="6">
        <f t="shared" si="205"/>
        <v>1</v>
      </c>
      <c r="CQ95" s="6">
        <f t="shared" si="188"/>
        <v>1</v>
      </c>
      <c r="CR95" s="81" t="str">
        <f t="shared" si="206"/>
        <v/>
      </c>
      <c r="CS95">
        <f t="shared" si="189"/>
        <v>3.5999999999999992</v>
      </c>
      <c r="CT95">
        <f t="shared" si="19"/>
        <v>95</v>
      </c>
      <c r="CU95" t="str">
        <f t="shared" si="207"/>
        <v/>
      </c>
      <c r="CV95" s="81">
        <f t="shared" si="190"/>
        <v>95</v>
      </c>
      <c r="CW95" s="81">
        <f>(CV95/25)^1.5*(Calculator!$BU$4/10000)*CW$5</f>
        <v>19.127114680457929</v>
      </c>
      <c r="CX95" t="str">
        <f t="shared" si="191"/>
        <v>$95</v>
      </c>
    </row>
    <row r="96" spans="2:102" x14ac:dyDescent="0.25">
      <c r="B96" s="115" t="s">
        <v>233</v>
      </c>
      <c r="C96" s="13">
        <v>46251.443749999999</v>
      </c>
      <c r="D96">
        <v>37188</v>
      </c>
      <c r="E96" s="54" t="s">
        <v>235</v>
      </c>
      <c r="F96" s="54" t="s">
        <v>444</v>
      </c>
      <c r="G96" s="54" t="s">
        <v>1840</v>
      </c>
      <c r="H96" s="55">
        <v>12.6</v>
      </c>
      <c r="I96" s="55">
        <v>12.1</v>
      </c>
      <c r="J96" s="55">
        <v>11.899999999999999</v>
      </c>
      <c r="K96" s="54"/>
      <c r="L96" s="56" t="b">
        <v>0</v>
      </c>
      <c r="M96" s="56" t="b">
        <v>0</v>
      </c>
      <c r="N96" s="54">
        <v>1</v>
      </c>
      <c r="O96" s="54" t="s">
        <v>228</v>
      </c>
      <c r="P96" s="54">
        <v>22</v>
      </c>
      <c r="Q96" s="54">
        <v>11</v>
      </c>
      <c r="R96" s="54">
        <v>95</v>
      </c>
      <c r="S96" s="54" t="s">
        <v>445</v>
      </c>
      <c r="T96" s="54"/>
      <c r="U96" s="54" t="s">
        <v>446</v>
      </c>
      <c r="V96" s="54" t="s">
        <v>447</v>
      </c>
      <c r="W96" s="54" t="b">
        <v>0</v>
      </c>
      <c r="X96" s="54"/>
      <c r="Y96" s="57" t="s">
        <v>2098</v>
      </c>
      <c r="Z96" s="54" t="s">
        <v>2093</v>
      </c>
      <c r="AA96" s="54"/>
      <c r="AB96" s="54" t="s">
        <v>448</v>
      </c>
      <c r="AC96" s="56" t="b">
        <v>1</v>
      </c>
      <c r="AD96" s="56" t="b">
        <v>0</v>
      </c>
      <c r="AE96" s="54" t="s">
        <v>302</v>
      </c>
      <c r="AF96" s="58">
        <v>46249</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6.6587999999999994E-2</v>
      </c>
      <c r="BC96" s="60"/>
      <c r="BD96" s="61"/>
      <c r="BE96" s="62" t="s">
        <v>293</v>
      </c>
      <c r="BF96" s="35">
        <f t="shared" si="192"/>
        <v>4.9000000000000004</v>
      </c>
      <c r="BG96" s="35">
        <f t="shared" si="192"/>
        <v>4.9811000000000001E-2</v>
      </c>
      <c r="BH96" s="35" t="str">
        <f t="shared" si="181"/>
        <v>Low</v>
      </c>
      <c r="BI96" s="110">
        <f t="shared" si="182"/>
        <v>0</v>
      </c>
      <c r="BJ96" s="83">
        <f>VLOOKUP($F96,REP_Info!$D$6:$H$250,5,FALSE)</f>
        <v>1.8160000000000001</v>
      </c>
      <c r="BK96" s="30">
        <f t="shared" si="183"/>
        <v>12.619899999999998</v>
      </c>
      <c r="BL96" s="30">
        <f t="shared" si="183"/>
        <v>12.129900000000001</v>
      </c>
      <c r="BM96" s="30">
        <f t="shared" si="183"/>
        <v>11.8849</v>
      </c>
      <c r="BN96" s="29">
        <f t="shared" si="183"/>
        <v>11.803233333333333</v>
      </c>
      <c r="BO96" s="85" t="str">
        <f t="shared" si="198"/>
        <v>$$$</v>
      </c>
      <c r="BP96" s="88" t="str">
        <f t="shared" si="184"/>
        <v>$$$</v>
      </c>
      <c r="BQ96" s="88" t="str">
        <f t="shared" si="193"/>
        <v>$$$</v>
      </c>
      <c r="BR96" s="88" t="str">
        <f t="shared" si="194"/>
        <v>$$$</v>
      </c>
      <c r="BS96" s="29" t="e">
        <f t="shared" si="195"/>
        <v>#N/A</v>
      </c>
      <c r="BT96" s="29" t="e">
        <f t="shared" si="195"/>
        <v>#N/A</v>
      </c>
      <c r="BU96" s="29" t="e">
        <f t="shared" si="195"/>
        <v>#N/A</v>
      </c>
      <c r="BV96" s="29" t="e">
        <f t="shared" si="195"/>
        <v>#N/A</v>
      </c>
      <c r="BW96" s="29" t="e">
        <f t="shared" si="195"/>
        <v>#N/A</v>
      </c>
      <c r="BX96" s="29" t="e">
        <f t="shared" si="195"/>
        <v>#N/A</v>
      </c>
      <c r="BY96" s="29" t="e">
        <f t="shared" si="195"/>
        <v>#N/A</v>
      </c>
      <c r="BZ96" s="29" t="e">
        <f t="shared" si="195"/>
        <v>#N/A</v>
      </c>
      <c r="CA96" s="29" t="e">
        <f t="shared" si="195"/>
        <v>#N/A</v>
      </c>
      <c r="CB96" s="29" t="e">
        <f t="shared" si="195"/>
        <v>#N/A</v>
      </c>
      <c r="CC96" s="29" t="e">
        <f t="shared" si="195"/>
        <v>#N/A</v>
      </c>
      <c r="CD96" s="29" t="e">
        <f t="shared" si="195"/>
        <v>#N/A</v>
      </c>
      <c r="CE96" s="6" t="str">
        <f t="shared" si="196"/>
        <v/>
      </c>
      <c r="CF96" s="27" t="e">
        <f>IF(AND(CI96,NOT(AD96)),LOOKUP(CF$5,{0,750,1500},H96:J96),"")</f>
        <v>#N/A</v>
      </c>
      <c r="CG96" s="6" t="str">
        <f t="shared" si="197"/>
        <v/>
      </c>
      <c r="CH96" t="e">
        <f t="shared" si="186"/>
        <v>#N/A</v>
      </c>
      <c r="CI96" t="e">
        <f t="shared" si="187"/>
        <v>#N/A</v>
      </c>
      <c r="CJ96" s="6" t="e">
        <f t="shared" si="199"/>
        <v>#N/A</v>
      </c>
      <c r="CK96" s="6">
        <f t="shared" si="200"/>
        <v>1</v>
      </c>
      <c r="CL96" s="6">
        <f t="shared" si="201"/>
        <v>1</v>
      </c>
      <c r="CM96" s="6">
        <f t="shared" si="202"/>
        <v>1</v>
      </c>
      <c r="CN96" s="6">
        <f t="shared" si="203"/>
        <v>0</v>
      </c>
      <c r="CO96" s="6">
        <f t="shared" si="204"/>
        <v>1</v>
      </c>
      <c r="CP96" s="6">
        <f t="shared" si="205"/>
        <v>1</v>
      </c>
      <c r="CQ96" s="6">
        <f t="shared" si="188"/>
        <v>1</v>
      </c>
      <c r="CR96" s="81" t="str">
        <f t="shared" si="206"/>
        <v/>
      </c>
      <c r="CS96">
        <f t="shared" si="189"/>
        <v>1.6363636363636349</v>
      </c>
      <c r="CT96">
        <f t="shared" si="19"/>
        <v>95</v>
      </c>
      <c r="CU96" t="str">
        <f t="shared" si="207"/>
        <v/>
      </c>
      <c r="CV96" s="81">
        <f t="shared" si="190"/>
        <v>95</v>
      </c>
      <c r="CW96" s="81">
        <f>(CV96/25)^1.5*(Calculator!$BU$4/10000)*CW$5</f>
        <v>19.127114680457929</v>
      </c>
      <c r="CX96" t="str">
        <f t="shared" si="191"/>
        <v>$95</v>
      </c>
    </row>
    <row r="97" spans="2:102" x14ac:dyDescent="0.25">
      <c r="B97" s="115" t="s">
        <v>233</v>
      </c>
      <c r="C97" s="13">
        <v>46237.767361111109</v>
      </c>
      <c r="D97">
        <v>37190</v>
      </c>
      <c r="E97" s="54" t="s">
        <v>237</v>
      </c>
      <c r="F97" s="54" t="s">
        <v>444</v>
      </c>
      <c r="G97" s="54" t="s">
        <v>1840</v>
      </c>
      <c r="H97" s="55">
        <v>13.700000000000001</v>
      </c>
      <c r="I97" s="55">
        <v>13.3</v>
      </c>
      <c r="J97" s="55">
        <v>13</v>
      </c>
      <c r="K97" s="54"/>
      <c r="L97" s="56" t="b">
        <v>0</v>
      </c>
      <c r="M97" s="56" t="b">
        <v>0</v>
      </c>
      <c r="N97" s="54">
        <v>1</v>
      </c>
      <c r="O97" s="54" t="s">
        <v>228</v>
      </c>
      <c r="P97" s="54">
        <v>22</v>
      </c>
      <c r="Q97" s="54">
        <v>11</v>
      </c>
      <c r="R97" s="54">
        <v>95</v>
      </c>
      <c r="S97" s="54" t="s">
        <v>445</v>
      </c>
      <c r="T97" s="54"/>
      <c r="U97" s="54" t="s">
        <v>446</v>
      </c>
      <c r="V97" s="54" t="s">
        <v>447</v>
      </c>
      <c r="W97" s="54" t="b">
        <v>0</v>
      </c>
      <c r="X97" s="54"/>
      <c r="Y97" s="57" t="s">
        <v>1841</v>
      </c>
      <c r="Z97" s="54" t="s">
        <v>1833</v>
      </c>
      <c r="AA97" s="54"/>
      <c r="AB97" s="54" t="s">
        <v>448</v>
      </c>
      <c r="AC97" s="56" t="b">
        <v>1</v>
      </c>
      <c r="AD97" s="56" t="b">
        <v>0</v>
      </c>
      <c r="AE97" s="54" t="s">
        <v>302</v>
      </c>
      <c r="AF97" s="58">
        <v>46235</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6.8173999999999998E-2</v>
      </c>
      <c r="BC97" s="60"/>
      <c r="BD97" s="61"/>
      <c r="BE97" s="62" t="s">
        <v>293</v>
      </c>
      <c r="BF97" s="35">
        <f t="shared" si="192"/>
        <v>4.0600000000000005</v>
      </c>
      <c r="BG97" s="35">
        <f t="shared" si="192"/>
        <v>6.0295000000000001E-2</v>
      </c>
      <c r="BH97" s="35" t="str">
        <f t="shared" si="181"/>
        <v>Low</v>
      </c>
      <c r="BI97" s="110">
        <f t="shared" si="182"/>
        <v>0</v>
      </c>
      <c r="BJ97" s="83">
        <f>VLOOKUP($F97,REP_Info!$D$6:$H$250,5,FALSE)</f>
        <v>1.8160000000000001</v>
      </c>
      <c r="BK97" s="30">
        <f t="shared" si="183"/>
        <v>13.658899999999999</v>
      </c>
      <c r="BL97" s="30">
        <f t="shared" si="183"/>
        <v>13.2529</v>
      </c>
      <c r="BM97" s="30">
        <f t="shared" si="183"/>
        <v>13.049899999999999</v>
      </c>
      <c r="BN97" s="29">
        <f t="shared" si="183"/>
        <v>12.982233333333332</v>
      </c>
      <c r="BO97" s="85" t="str">
        <f t="shared" si="198"/>
        <v>$$$</v>
      </c>
      <c r="BP97" s="88" t="str">
        <f t="shared" si="184"/>
        <v>$$$</v>
      </c>
      <c r="BQ97" s="88" t="str">
        <f t="shared" si="193"/>
        <v>$$$</v>
      </c>
      <c r="BR97" s="88" t="str">
        <f t="shared" si="194"/>
        <v>$$$</v>
      </c>
      <c r="BS97" s="29" t="e">
        <f t="shared" si="195"/>
        <v>#N/A</v>
      </c>
      <c r="BT97" s="29" t="e">
        <f t="shared" si="195"/>
        <v>#N/A</v>
      </c>
      <c r="BU97" s="29" t="e">
        <f t="shared" si="195"/>
        <v>#N/A</v>
      </c>
      <c r="BV97" s="29" t="e">
        <f t="shared" si="195"/>
        <v>#N/A</v>
      </c>
      <c r="BW97" s="29" t="e">
        <f t="shared" si="195"/>
        <v>#N/A</v>
      </c>
      <c r="BX97" s="29" t="e">
        <f t="shared" si="195"/>
        <v>#N/A</v>
      </c>
      <c r="BY97" s="29" t="e">
        <f t="shared" si="195"/>
        <v>#N/A</v>
      </c>
      <c r="BZ97" s="29" t="e">
        <f t="shared" si="195"/>
        <v>#N/A</v>
      </c>
      <c r="CA97" s="29" t="e">
        <f t="shared" si="195"/>
        <v>#N/A</v>
      </c>
      <c r="CB97" s="29" t="e">
        <f t="shared" si="195"/>
        <v>#N/A</v>
      </c>
      <c r="CC97" s="29" t="e">
        <f t="shared" si="195"/>
        <v>#N/A</v>
      </c>
      <c r="CD97" s="29" t="e">
        <f t="shared" si="195"/>
        <v>#N/A</v>
      </c>
      <c r="CE97" s="6" t="str">
        <f t="shared" si="196"/>
        <v/>
      </c>
      <c r="CF97" s="27" t="e">
        <f>IF(AND(CI97,NOT(AD97)),LOOKUP(CF$5,{0,750,1500},H97:J97),"")</f>
        <v>#N/A</v>
      </c>
      <c r="CG97" s="6" t="str">
        <f t="shared" si="197"/>
        <v/>
      </c>
      <c r="CH97" t="e">
        <f t="shared" si="186"/>
        <v>#N/A</v>
      </c>
      <c r="CI97" t="e">
        <f t="shared" si="187"/>
        <v>#N/A</v>
      </c>
      <c r="CJ97" s="6" t="e">
        <f t="shared" si="199"/>
        <v>#N/A</v>
      </c>
      <c r="CK97" s="6">
        <f t="shared" si="200"/>
        <v>1</v>
      </c>
      <c r="CL97" s="6">
        <f t="shared" si="201"/>
        <v>1</v>
      </c>
      <c r="CM97" s="6">
        <f t="shared" si="202"/>
        <v>1</v>
      </c>
      <c r="CN97" s="6">
        <f t="shared" si="203"/>
        <v>0</v>
      </c>
      <c r="CO97" s="6">
        <f t="shared" si="204"/>
        <v>1</v>
      </c>
      <c r="CP97" s="6">
        <f t="shared" si="205"/>
        <v>1</v>
      </c>
      <c r="CQ97" s="6">
        <f t="shared" si="188"/>
        <v>1</v>
      </c>
      <c r="CR97" s="81" t="str">
        <f t="shared" si="206"/>
        <v/>
      </c>
      <c r="CS97">
        <f t="shared" si="189"/>
        <v>1.6363636363636349</v>
      </c>
      <c r="CT97">
        <f t="shared" si="19"/>
        <v>95</v>
      </c>
      <c r="CU97" t="str">
        <f t="shared" si="207"/>
        <v/>
      </c>
      <c r="CV97" s="81">
        <f t="shared" si="190"/>
        <v>95</v>
      </c>
      <c r="CW97" s="81">
        <f>(CV97/25)^1.5*(Calculator!$BU$4/10000)*CW$5</f>
        <v>19.127114680457929</v>
      </c>
      <c r="CX97" t="str">
        <f t="shared" si="191"/>
        <v>$95</v>
      </c>
    </row>
    <row r="98" spans="2:102" x14ac:dyDescent="0.25">
      <c r="B98" s="115" t="s">
        <v>233</v>
      </c>
      <c r="C98" s="13">
        <v>46242.178472222222</v>
      </c>
      <c r="D98">
        <v>27821</v>
      </c>
      <c r="E98" s="54" t="s">
        <v>235</v>
      </c>
      <c r="F98" s="54" t="s">
        <v>449</v>
      </c>
      <c r="G98" s="54" t="s">
        <v>450</v>
      </c>
      <c r="H98" s="55">
        <v>12.9</v>
      </c>
      <c r="I98" s="55">
        <v>12.4</v>
      </c>
      <c r="J98" s="55">
        <v>12.2</v>
      </c>
      <c r="K98" s="54"/>
      <c r="L98" s="56" t="b">
        <v>0</v>
      </c>
      <c r="M98" s="56" t="b">
        <v>0</v>
      </c>
      <c r="N98" s="54">
        <v>1</v>
      </c>
      <c r="O98" s="54" t="s">
        <v>228</v>
      </c>
      <c r="P98" s="54">
        <v>100</v>
      </c>
      <c r="Q98" s="54">
        <v>12</v>
      </c>
      <c r="R98" s="54">
        <v>150</v>
      </c>
      <c r="S98" s="54" t="s">
        <v>451</v>
      </c>
      <c r="T98" s="54" t="s">
        <v>452</v>
      </c>
      <c r="U98" s="54" t="s">
        <v>1884</v>
      </c>
      <c r="V98" s="54" t="s">
        <v>1903</v>
      </c>
      <c r="W98" s="54" t="b">
        <v>1</v>
      </c>
      <c r="X98" s="54"/>
      <c r="Y98" s="57" t="s">
        <v>1904</v>
      </c>
      <c r="Z98" s="54" t="s">
        <v>1905</v>
      </c>
      <c r="AA98" s="54"/>
      <c r="AB98" s="54" t="s">
        <v>453</v>
      </c>
      <c r="AC98" s="56" t="b">
        <v>1</v>
      </c>
      <c r="AD98" s="56" t="b">
        <v>0</v>
      </c>
      <c r="AE98" s="54" t="s">
        <v>302</v>
      </c>
      <c r="AF98" s="58">
        <v>46237</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6.8000000000000005E-2</v>
      </c>
      <c r="BC98" s="60">
        <v>4.9000000000000004</v>
      </c>
      <c r="BD98" s="61">
        <v>5.1461E-2</v>
      </c>
      <c r="BE98" s="62" t="s">
        <v>293</v>
      </c>
      <c r="BF98" s="35">
        <f t="shared" si="192"/>
        <v>4.9000000000000004</v>
      </c>
      <c r="BG98" s="35">
        <f t="shared" si="192"/>
        <v>4.9811000000000001E-2</v>
      </c>
      <c r="BH98" s="35" t="str">
        <f t="shared" si="181"/>
        <v>Low</v>
      </c>
      <c r="BI98" s="110">
        <f t="shared" si="182"/>
        <v>0</v>
      </c>
      <c r="BJ98" s="83">
        <f>VLOOKUP($F98,REP_Info!$D$6:$H$250,5,FALSE)</f>
        <v>0.73699999999999999</v>
      </c>
      <c r="BK98" s="30">
        <f t="shared" si="183"/>
        <v>12.761099999999999</v>
      </c>
      <c r="BL98" s="30">
        <f t="shared" si="183"/>
        <v>12.271100000000002</v>
      </c>
      <c r="BM98" s="30">
        <f t="shared" si="183"/>
        <v>12.0261</v>
      </c>
      <c r="BN98" s="29">
        <f t="shared" si="183"/>
        <v>11.944433333333334</v>
      </c>
      <c r="BO98" s="85" t="str">
        <f t="shared" si="198"/>
        <v>$$$</v>
      </c>
      <c r="BP98" s="88" t="str">
        <f t="shared" si="184"/>
        <v>$$$</v>
      </c>
      <c r="BQ98" s="88" t="str">
        <f t="shared" si="193"/>
        <v>$$$</v>
      </c>
      <c r="BR98" s="88" t="str">
        <f t="shared" si="194"/>
        <v>$$$</v>
      </c>
      <c r="BS98" s="29" t="e">
        <f t="shared" si="195"/>
        <v>#N/A</v>
      </c>
      <c r="BT98" s="29" t="e">
        <f t="shared" si="195"/>
        <v>#N/A</v>
      </c>
      <c r="BU98" s="29" t="e">
        <f t="shared" si="195"/>
        <v>#N/A</v>
      </c>
      <c r="BV98" s="29" t="e">
        <f t="shared" si="195"/>
        <v>#N/A</v>
      </c>
      <c r="BW98" s="29" t="e">
        <f t="shared" si="195"/>
        <v>#N/A</v>
      </c>
      <c r="BX98" s="29" t="e">
        <f t="shared" si="195"/>
        <v>#N/A</v>
      </c>
      <c r="BY98" s="29" t="e">
        <f t="shared" ref="BS98:CD99" si="208">IF($CI98,IF(BY$7&gt;0,IF(BY$4&gt;$Q98,$BF98+BY$7*(BY$5+$BG98+$BI98),LOOKUP(BY$7,$AH98:$AL98,$AM98:$AQ98)+IF($AG98="Y",SUMPRODUCT($AX98:$BB98-$AW98:$BA98,BY$7-$AR98:$AV98,N(BY$7&gt;$AR98:$AV98)),BY$7*LOOKUP(BY$7,$AR98:$AV98,$AX98:$BB98))+IF($BE98="Y",$BF98,$BC98)+BY$7*IF($BE98="Y",$BG98,$BD98))*100/BY$7,""),NA())</f>
        <v>#N/A</v>
      </c>
      <c r="BZ98" s="29" t="e">
        <f t="shared" si="208"/>
        <v>#N/A</v>
      </c>
      <c r="CA98" s="29" t="e">
        <f t="shared" si="208"/>
        <v>#N/A</v>
      </c>
      <c r="CB98" s="29" t="e">
        <f t="shared" si="208"/>
        <v>#N/A</v>
      </c>
      <c r="CC98" s="29" t="e">
        <f t="shared" si="208"/>
        <v>#N/A</v>
      </c>
      <c r="CD98" s="29" t="e">
        <f t="shared" si="208"/>
        <v>#N/A</v>
      </c>
      <c r="CE98" s="6" t="str">
        <f t="shared" si="196"/>
        <v/>
      </c>
      <c r="CF98" s="27" t="e">
        <f>IF(AND(CI98,NOT(AD98)),LOOKUP(CF$5,{0,750,1500},H98:J98),"")</f>
        <v>#N/A</v>
      </c>
      <c r="CG98" s="6" t="str">
        <f t="shared" si="197"/>
        <v/>
      </c>
      <c r="CH98" t="e">
        <f t="shared" si="186"/>
        <v>#N/A</v>
      </c>
      <c r="CI98" t="e">
        <f t="shared" si="187"/>
        <v>#N/A</v>
      </c>
      <c r="CJ98" s="6" t="e">
        <f t="shared" si="199"/>
        <v>#N/A</v>
      </c>
      <c r="CK98" s="6">
        <f t="shared" si="200"/>
        <v>1</v>
      </c>
      <c r="CL98" s="6">
        <f t="shared" si="201"/>
        <v>1</v>
      </c>
      <c r="CM98" s="6">
        <f t="shared" si="202"/>
        <v>1</v>
      </c>
      <c r="CN98" s="6">
        <f t="shared" si="203"/>
        <v>1</v>
      </c>
      <c r="CO98" s="6">
        <f t="shared" si="204"/>
        <v>1</v>
      </c>
      <c r="CP98" s="6">
        <f t="shared" si="205"/>
        <v>1</v>
      </c>
      <c r="CQ98" s="6">
        <f t="shared" si="188"/>
        <v>1</v>
      </c>
      <c r="CR98" s="81" t="str">
        <f t="shared" si="206"/>
        <v/>
      </c>
      <c r="CS98">
        <f t="shared" si="189"/>
        <v>0</v>
      </c>
      <c r="CT98">
        <f t="shared" si="19"/>
        <v>150</v>
      </c>
      <c r="CU98" t="str">
        <f t="shared" si="207"/>
        <v/>
      </c>
      <c r="CV98" s="81">
        <f t="shared" si="190"/>
        <v>150</v>
      </c>
      <c r="CW98" s="81">
        <f>(CV98/25)^1.5*(Calculator!$BU$4/10000)*CW$5</f>
        <v>37.949052970673385</v>
      </c>
      <c r="CX98" t="str">
        <f t="shared" si="191"/>
        <v>$150</v>
      </c>
    </row>
    <row r="99" spans="2:102" x14ac:dyDescent="0.25">
      <c r="B99" s="115" t="s">
        <v>233</v>
      </c>
      <c r="C99" s="13">
        <v>46242.178472222222</v>
      </c>
      <c r="D99">
        <v>27823</v>
      </c>
      <c r="E99" s="54" t="s">
        <v>235</v>
      </c>
      <c r="F99" s="54" t="s">
        <v>449</v>
      </c>
      <c r="G99" s="54" t="s">
        <v>454</v>
      </c>
      <c r="H99" s="55">
        <v>13.200000000000001</v>
      </c>
      <c r="I99" s="55">
        <v>12.7</v>
      </c>
      <c r="J99" s="55">
        <v>12.5</v>
      </c>
      <c r="K99" s="54"/>
      <c r="L99" s="56" t="b">
        <v>0</v>
      </c>
      <c r="M99" s="56" t="b">
        <v>0</v>
      </c>
      <c r="N99" s="54">
        <v>1</v>
      </c>
      <c r="O99" s="54" t="s">
        <v>228</v>
      </c>
      <c r="P99" s="54">
        <v>100</v>
      </c>
      <c r="Q99" s="54">
        <v>24</v>
      </c>
      <c r="R99" s="54">
        <v>225</v>
      </c>
      <c r="S99" s="54" t="s">
        <v>451</v>
      </c>
      <c r="T99" s="54" t="s">
        <v>452</v>
      </c>
      <c r="U99" s="54" t="s">
        <v>1884</v>
      </c>
      <c r="V99" s="54" t="s">
        <v>1906</v>
      </c>
      <c r="W99" s="54" t="b">
        <v>1</v>
      </c>
      <c r="X99" s="54"/>
      <c r="Y99" s="57" t="s">
        <v>1907</v>
      </c>
      <c r="Z99" s="54" t="s">
        <v>1908</v>
      </c>
      <c r="AA99" s="54"/>
      <c r="AB99" s="54" t="s">
        <v>453</v>
      </c>
      <c r="AC99" s="56" t="b">
        <v>1</v>
      </c>
      <c r="AD99" s="56" t="b">
        <v>0</v>
      </c>
      <c r="AE99" s="54" t="s">
        <v>302</v>
      </c>
      <c r="AF99" s="58">
        <v>46237</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7.0999999999999994E-2</v>
      </c>
      <c r="BC99" s="60">
        <v>4.9000000000000004</v>
      </c>
      <c r="BD99" s="61">
        <v>5.1461E-2</v>
      </c>
      <c r="BE99" s="62" t="s">
        <v>293</v>
      </c>
      <c r="BF99" s="35">
        <f t="shared" si="192"/>
        <v>4.9000000000000004</v>
      </c>
      <c r="BG99" s="35">
        <f t="shared" si="192"/>
        <v>4.9811000000000001E-2</v>
      </c>
      <c r="BH99" s="35" t="str">
        <f t="shared" si="181"/>
        <v>Low</v>
      </c>
      <c r="BI99" s="110">
        <f t="shared" si="182"/>
        <v>0</v>
      </c>
      <c r="BJ99" s="83">
        <f>VLOOKUP($F99,REP_Info!$D$6:$H$250,5,FALSE)</f>
        <v>0.73699999999999999</v>
      </c>
      <c r="BK99" s="30">
        <f t="shared" si="183"/>
        <v>13.061099999999998</v>
      </c>
      <c r="BL99" s="30">
        <f t="shared" si="183"/>
        <v>12.571100000000003</v>
      </c>
      <c r="BM99" s="30">
        <f t="shared" si="183"/>
        <v>12.3261</v>
      </c>
      <c r="BN99" s="29">
        <f t="shared" si="183"/>
        <v>12.244433333333332</v>
      </c>
      <c r="BO99" s="85" t="str">
        <f t="shared" si="198"/>
        <v>$$$</v>
      </c>
      <c r="BP99" s="88" t="str">
        <f t="shared" si="184"/>
        <v>$$$</v>
      </c>
      <c r="BQ99" s="88" t="str">
        <f t="shared" si="193"/>
        <v>$$$</v>
      </c>
      <c r="BR99" s="88" t="str">
        <f t="shared" si="194"/>
        <v>$$$</v>
      </c>
      <c r="BS99" s="29" t="e">
        <f t="shared" si="208"/>
        <v>#N/A</v>
      </c>
      <c r="BT99" s="29" t="e">
        <f t="shared" si="208"/>
        <v>#N/A</v>
      </c>
      <c r="BU99" s="29" t="e">
        <f t="shared" si="208"/>
        <v>#N/A</v>
      </c>
      <c r="BV99" s="29" t="e">
        <f t="shared" si="208"/>
        <v>#N/A</v>
      </c>
      <c r="BW99" s="29" t="e">
        <f t="shared" si="208"/>
        <v>#N/A</v>
      </c>
      <c r="BX99" s="29" t="e">
        <f t="shared" si="208"/>
        <v>#N/A</v>
      </c>
      <c r="BY99" s="29" t="e">
        <f t="shared" si="208"/>
        <v>#N/A</v>
      </c>
      <c r="BZ99" s="29" t="e">
        <f t="shared" si="208"/>
        <v>#N/A</v>
      </c>
      <c r="CA99" s="29" t="e">
        <f t="shared" si="208"/>
        <v>#N/A</v>
      </c>
      <c r="CB99" s="29" t="e">
        <f t="shared" si="208"/>
        <v>#N/A</v>
      </c>
      <c r="CC99" s="29" t="e">
        <f t="shared" si="208"/>
        <v>#N/A</v>
      </c>
      <c r="CD99" s="29" t="e">
        <f t="shared" si="208"/>
        <v>#N/A</v>
      </c>
      <c r="CE99" s="6" t="str">
        <f t="shared" si="196"/>
        <v/>
      </c>
      <c r="CF99" s="27" t="e">
        <f>IF(AND(CI99,NOT(AD99)),LOOKUP(CF$5,{0,750,1500},H99:J99),"")</f>
        <v>#N/A</v>
      </c>
      <c r="CG99" s="6" t="str">
        <f t="shared" si="197"/>
        <v/>
      </c>
      <c r="CH99" t="e">
        <f t="shared" si="186"/>
        <v>#N/A</v>
      </c>
      <c r="CI99" t="e">
        <f t="shared" si="187"/>
        <v>#N/A</v>
      </c>
      <c r="CJ99" s="6" t="e">
        <f t="shared" si="199"/>
        <v>#N/A</v>
      </c>
      <c r="CK99" s="6">
        <f t="shared" si="200"/>
        <v>1</v>
      </c>
      <c r="CL99" s="6">
        <f t="shared" si="201"/>
        <v>1</v>
      </c>
      <c r="CM99" s="6">
        <f t="shared" si="202"/>
        <v>1</v>
      </c>
      <c r="CN99" s="6">
        <f t="shared" si="203"/>
        <v>1</v>
      </c>
      <c r="CO99" s="6">
        <f t="shared" si="204"/>
        <v>0</v>
      </c>
      <c r="CP99" s="6">
        <f t="shared" si="205"/>
        <v>1</v>
      </c>
      <c r="CQ99" s="6">
        <f t="shared" si="188"/>
        <v>1</v>
      </c>
      <c r="CR99" s="81" t="str">
        <f t="shared" si="206"/>
        <v/>
      </c>
      <c r="CS99">
        <f t="shared" si="189"/>
        <v>0</v>
      </c>
      <c r="CT99">
        <f t="shared" si="19"/>
        <v>225</v>
      </c>
      <c r="CU99" t="str">
        <f t="shared" si="207"/>
        <v/>
      </c>
      <c r="CV99" s="81">
        <f t="shared" si="190"/>
        <v>225</v>
      </c>
      <c r="CW99" s="81">
        <f>(CV99/25)^1.5*(Calculator!$BU$4/10000)*CW$5</f>
        <v>69.716861999999935</v>
      </c>
      <c r="CX99" t="str">
        <f t="shared" si="191"/>
        <v>$225</v>
      </c>
    </row>
    <row r="100" spans="2:102" x14ac:dyDescent="0.25">
      <c r="B100" s="115" t="s">
        <v>233</v>
      </c>
      <c r="C100" s="13">
        <v>46242.178472222222</v>
      </c>
      <c r="D100">
        <v>27829</v>
      </c>
      <c r="E100" s="54" t="s">
        <v>237</v>
      </c>
      <c r="F100" s="54" t="s">
        <v>449</v>
      </c>
      <c r="G100" s="54" t="s">
        <v>450</v>
      </c>
      <c r="H100" s="55">
        <v>13.600000000000001</v>
      </c>
      <c r="I100" s="55">
        <v>13.200000000000001</v>
      </c>
      <c r="J100" s="55">
        <v>13</v>
      </c>
      <c r="K100" s="54"/>
      <c r="L100" s="56" t="b">
        <v>0</v>
      </c>
      <c r="M100" s="56" t="b">
        <v>0</v>
      </c>
      <c r="N100" s="54">
        <v>1</v>
      </c>
      <c r="O100" s="54" t="s">
        <v>228</v>
      </c>
      <c r="P100" s="54">
        <v>100</v>
      </c>
      <c r="Q100" s="54">
        <v>12</v>
      </c>
      <c r="R100" s="54">
        <v>150</v>
      </c>
      <c r="S100" s="54" t="s">
        <v>451</v>
      </c>
      <c r="T100" s="54" t="s">
        <v>452</v>
      </c>
      <c r="U100" s="54" t="s">
        <v>1884</v>
      </c>
      <c r="V100" s="54" t="s">
        <v>1909</v>
      </c>
      <c r="W100" s="54" t="b">
        <v>1</v>
      </c>
      <c r="X100" s="54"/>
      <c r="Y100" s="57" t="s">
        <v>1910</v>
      </c>
      <c r="Z100" s="54" t="s">
        <v>1911</v>
      </c>
      <c r="AA100" s="54"/>
      <c r="AB100" s="54" t="s">
        <v>453</v>
      </c>
      <c r="AC100" s="56" t="b">
        <v>1</v>
      </c>
      <c r="AD100" s="56" t="b">
        <v>0</v>
      </c>
      <c r="AE100" s="54" t="s">
        <v>302</v>
      </c>
      <c r="AF100" s="58">
        <v>46237</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6.8000000000000005E-2</v>
      </c>
      <c r="BC100" s="60">
        <v>4.0599999999999996</v>
      </c>
      <c r="BD100" s="61">
        <v>6.0295000000000001E-2</v>
      </c>
      <c r="BE100" s="62" t="s">
        <v>293</v>
      </c>
      <c r="BF100" s="35">
        <f t="shared" si="0"/>
        <v>4.0600000000000005</v>
      </c>
      <c r="BG100" s="35">
        <f t="shared" si="0"/>
        <v>6.0295000000000001E-2</v>
      </c>
      <c r="BH100" s="35" t="str">
        <f t="shared" ref="BH100:BH159" si="209">IF(ISTEXT(BE100),IF(AND(AV100=0,SUM(AN100:AQ100)=0),IF(AM100&lt;=0,IF(BE100="Y","Low","Flat"),"Med"),"High"),"?")</f>
        <v>Low</v>
      </c>
      <c r="BI100" s="110">
        <f t="shared" ref="BI100:BI159" si="210">IF(ISNUMBER(AH100),0*BI$5*SIN((EDATE($A$3,$Q100)-DATE(YEAR(EDATE($A$3,$Q100)),1,0)-BI$4)*2*PI()/365),"")</f>
        <v>0</v>
      </c>
      <c r="BJ100" s="83">
        <f>VLOOKUP($F100,REP_Info!$D$6:$H$250,5,FALSE)</f>
        <v>0.73699999999999999</v>
      </c>
      <c r="BK100" s="30">
        <f t="shared" si="1"/>
        <v>13.641500000000002</v>
      </c>
      <c r="BL100" s="30">
        <f t="shared" si="1"/>
        <v>13.235500000000002</v>
      </c>
      <c r="BM100" s="30">
        <f t="shared" si="1"/>
        <v>13.032499999999999</v>
      </c>
      <c r="BN100" s="29">
        <f t="shared" si="1"/>
        <v>12.964833333333337</v>
      </c>
      <c r="BO100" s="85" t="str">
        <f t="shared" si="2"/>
        <v>$$$</v>
      </c>
      <c r="BP100" s="88" t="str">
        <f t="shared" ref="BP100:BP159" si="211">IFERROR(BO100*100/BO$5,"$$$")</f>
        <v>$$$</v>
      </c>
      <c r="BQ100" s="88" t="str">
        <f t="shared" si="4"/>
        <v>$$$</v>
      </c>
      <c r="BR100" s="88" t="str">
        <f t="shared" si="5"/>
        <v>$$$</v>
      </c>
      <c r="BS100" s="29" t="e">
        <f t="shared" si="6"/>
        <v>#N/A</v>
      </c>
      <c r="BT100" s="29" t="e">
        <f t="shared" si="6"/>
        <v>#N/A</v>
      </c>
      <c r="BU100" s="29" t="e">
        <f t="shared" si="6"/>
        <v>#N/A</v>
      </c>
      <c r="BV100" s="29" t="e">
        <f t="shared" si="6"/>
        <v>#N/A</v>
      </c>
      <c r="BW100" s="29" t="e">
        <f t="shared" si="6"/>
        <v>#N/A</v>
      </c>
      <c r="BX100" s="29" t="e">
        <f t="shared" si="6"/>
        <v>#N/A</v>
      </c>
      <c r="BY100" s="29" t="e">
        <f t="shared" si="6"/>
        <v>#N/A</v>
      </c>
      <c r="BZ100" s="29" t="e">
        <f t="shared" si="6"/>
        <v>#N/A</v>
      </c>
      <c r="CA100" s="29" t="e">
        <f t="shared" si="6"/>
        <v>#N/A</v>
      </c>
      <c r="CB100" s="29" t="e">
        <f t="shared" si="6"/>
        <v>#N/A</v>
      </c>
      <c r="CC100" s="29" t="e">
        <f t="shared" si="6"/>
        <v>#N/A</v>
      </c>
      <c r="CD100" s="29" t="e">
        <f t="shared" si="6"/>
        <v>#N/A</v>
      </c>
      <c r="CE100" s="6" t="str">
        <f t="shared" si="196"/>
        <v/>
      </c>
      <c r="CF100" s="27" t="e">
        <f>IF(AND(CI100,NOT(AD100)),LOOKUP(CF$5,{0,750,1500},H100:J100),"")</f>
        <v>#N/A</v>
      </c>
      <c r="CG100" s="6" t="str">
        <f t="shared" si="197"/>
        <v/>
      </c>
      <c r="CH100" t="e">
        <f t="shared" ref="CH100:CH159" si="212">IF(CI100,IF(ISNUMBER(BO100),BO100,100000)+CV100/10000+IF(ISNUMBER(BJ100),BJ100,2)/10000-P100/100000+ROW()/10000000,"")</f>
        <v>#N/A</v>
      </c>
      <c r="CI100" t="e">
        <f t="shared" ref="CI100:CI159" si="213">PRODUCT(CJ100:CQ100)</f>
        <v>#N/A</v>
      </c>
      <c r="CJ100" s="6" t="e">
        <f t="shared" si="11"/>
        <v>#N/A</v>
      </c>
      <c r="CK100" s="6">
        <f t="shared" si="12"/>
        <v>1</v>
      </c>
      <c r="CL100" s="6">
        <f t="shared" si="26"/>
        <v>1</v>
      </c>
      <c r="CM100" s="6">
        <f t="shared" si="13"/>
        <v>1</v>
      </c>
      <c r="CN100" s="6">
        <f t="shared" si="14"/>
        <v>1</v>
      </c>
      <c r="CO100" s="6">
        <f t="shared" si="15"/>
        <v>1</v>
      </c>
      <c r="CP100" s="6">
        <f t="shared" si="16"/>
        <v>1</v>
      </c>
      <c r="CQ100" s="6">
        <f t="shared" ref="CQ100:CQ159" si="214">IF(CQ$5="Any",1,IF(AND(CQ$5="Med",AV100=0,SUM(AN100:AQ100)=0),1,IF(AND(CQ$5="Low",AV100=0,SUM(AN100:AQ100)=0,AM100=0),1,IF(AND(CQ$5="Flat",AV100=0,SUM(AN100:AQ100)=0,AM100=0,IFERROR(NOT(BE100="Y"),0)),1,0))))</f>
        <v>1</v>
      </c>
      <c r="CR100" s="81" t="str">
        <f t="shared" si="17"/>
        <v/>
      </c>
      <c r="CS100">
        <f t="shared" ref="CS100:CS159" si="215">CS$5*(12/(MIN(12,Q100))-1)</f>
        <v>0</v>
      </c>
      <c r="CT100">
        <f t="shared" si="19"/>
        <v>150</v>
      </c>
      <c r="CU100" t="str">
        <f t="shared" si="29"/>
        <v/>
      </c>
      <c r="CV100" s="81">
        <f t="shared" ref="CV100:CV159" si="216">CT100*IF(CU100="",1,Q100)</f>
        <v>150</v>
      </c>
      <c r="CW100" s="81">
        <f>(CV100/25)^1.5*(Calculator!$BU$4/10000)*CW$5</f>
        <v>37.949052970673385</v>
      </c>
      <c r="CX100" t="str">
        <f t="shared" ref="CX100:CX159" si="217">"$"&amp;IF(LEFT(CU100,1)="r",CT100&amp;"/"&amp;CU100,CV100)</f>
        <v>$150</v>
      </c>
    </row>
    <row r="101" spans="2:102" x14ac:dyDescent="0.25">
      <c r="B101" s="115" t="s">
        <v>233</v>
      </c>
      <c r="C101" s="13">
        <v>46242.178472222222</v>
      </c>
      <c r="D101">
        <v>27831</v>
      </c>
      <c r="E101" s="54" t="s">
        <v>237</v>
      </c>
      <c r="F101" s="54" t="s">
        <v>449</v>
      </c>
      <c r="G101" s="54" t="s">
        <v>454</v>
      </c>
      <c r="H101" s="55">
        <v>13.900000000000002</v>
      </c>
      <c r="I101" s="55">
        <v>13.5</v>
      </c>
      <c r="J101" s="55">
        <v>13.3</v>
      </c>
      <c r="K101" s="54"/>
      <c r="L101" s="56" t="b">
        <v>0</v>
      </c>
      <c r="M101" s="56" t="b">
        <v>0</v>
      </c>
      <c r="N101" s="54">
        <v>1</v>
      </c>
      <c r="O101" s="54" t="s">
        <v>228</v>
      </c>
      <c r="P101" s="54">
        <v>100</v>
      </c>
      <c r="Q101" s="54">
        <v>24</v>
      </c>
      <c r="R101" s="54">
        <v>225</v>
      </c>
      <c r="S101" s="54" t="s">
        <v>451</v>
      </c>
      <c r="T101" s="54" t="s">
        <v>452</v>
      </c>
      <c r="U101" s="54" t="s">
        <v>1884</v>
      </c>
      <c r="V101" s="54" t="s">
        <v>1912</v>
      </c>
      <c r="W101" s="54" t="b">
        <v>1</v>
      </c>
      <c r="X101" s="54"/>
      <c r="Y101" s="57" t="s">
        <v>1913</v>
      </c>
      <c r="Z101" s="54" t="s">
        <v>1914</v>
      </c>
      <c r="AA101" s="54"/>
      <c r="AB101" s="54" t="s">
        <v>453</v>
      </c>
      <c r="AC101" s="56" t="b">
        <v>1</v>
      </c>
      <c r="AD101" s="56" t="b">
        <v>0</v>
      </c>
      <c r="AE101" s="54" t="s">
        <v>302</v>
      </c>
      <c r="AF101" s="58">
        <v>46237</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7.0999999999999994E-2</v>
      </c>
      <c r="BC101" s="60">
        <v>4.0599999999999996</v>
      </c>
      <c r="BD101" s="61">
        <v>6.0295000000000001E-2</v>
      </c>
      <c r="BE101" s="62" t="s">
        <v>293</v>
      </c>
      <c r="BF101" s="35">
        <f t="shared" si="0"/>
        <v>4.0600000000000005</v>
      </c>
      <c r="BG101" s="35">
        <f t="shared" si="0"/>
        <v>6.0295000000000001E-2</v>
      </c>
      <c r="BH101" s="35" t="str">
        <f t="shared" si="209"/>
        <v>Low</v>
      </c>
      <c r="BI101" s="110">
        <f t="shared" si="210"/>
        <v>0</v>
      </c>
      <c r="BJ101" s="83">
        <f>VLOOKUP($F101,REP_Info!$D$6:$H$250,5,FALSE)</f>
        <v>0.73699999999999999</v>
      </c>
      <c r="BK101" s="30">
        <f t="shared" si="1"/>
        <v>13.941500000000001</v>
      </c>
      <c r="BL101" s="30">
        <f t="shared" si="1"/>
        <v>13.535500000000003</v>
      </c>
      <c r="BM101" s="30">
        <f t="shared" si="1"/>
        <v>13.332499999999998</v>
      </c>
      <c r="BN101" s="29">
        <f t="shared" si="1"/>
        <v>13.26483333333333</v>
      </c>
      <c r="BO101" s="85" t="str">
        <f t="shared" si="2"/>
        <v>$$$</v>
      </c>
      <c r="BP101" s="88" t="str">
        <f t="shared" si="211"/>
        <v>$$$</v>
      </c>
      <c r="BQ101" s="88" t="str">
        <f t="shared" si="4"/>
        <v>$$$</v>
      </c>
      <c r="BR101" s="88" t="str">
        <f t="shared" si="5"/>
        <v>$$$</v>
      </c>
      <c r="BS101" s="29" t="e">
        <f t="shared" si="6"/>
        <v>#N/A</v>
      </c>
      <c r="BT101" s="29" t="e">
        <f t="shared" si="6"/>
        <v>#N/A</v>
      </c>
      <c r="BU101" s="29" t="e">
        <f t="shared" si="6"/>
        <v>#N/A</v>
      </c>
      <c r="BV101" s="29" t="e">
        <f t="shared" si="6"/>
        <v>#N/A</v>
      </c>
      <c r="BW101" s="29" t="e">
        <f t="shared" si="6"/>
        <v>#N/A</v>
      </c>
      <c r="BX101" s="29" t="e">
        <f t="shared" si="6"/>
        <v>#N/A</v>
      </c>
      <c r="BY101" s="29" t="e">
        <f t="shared" si="6"/>
        <v>#N/A</v>
      </c>
      <c r="BZ101" s="29" t="e">
        <f t="shared" si="6"/>
        <v>#N/A</v>
      </c>
      <c r="CA101" s="29" t="e">
        <f t="shared" si="6"/>
        <v>#N/A</v>
      </c>
      <c r="CB101" s="29" t="e">
        <f t="shared" si="6"/>
        <v>#N/A</v>
      </c>
      <c r="CC101" s="29" t="e">
        <f t="shared" si="6"/>
        <v>#N/A</v>
      </c>
      <c r="CD101" s="29" t="e">
        <f t="shared" si="6"/>
        <v>#N/A</v>
      </c>
      <c r="CE101" s="6" t="str">
        <f t="shared" si="196"/>
        <v/>
      </c>
      <c r="CF101" s="27" t="e">
        <f>IF(AND(CI101,NOT(AD101)),LOOKUP(CF$5,{0,750,1500},H101:J101),"")</f>
        <v>#N/A</v>
      </c>
      <c r="CG101" s="6" t="str">
        <f t="shared" si="197"/>
        <v/>
      </c>
      <c r="CH101" t="e">
        <f t="shared" si="212"/>
        <v>#N/A</v>
      </c>
      <c r="CI101" t="e">
        <f t="shared" si="213"/>
        <v>#N/A</v>
      </c>
      <c r="CJ101" s="6" t="e">
        <f t="shared" si="11"/>
        <v>#N/A</v>
      </c>
      <c r="CK101" s="6">
        <f t="shared" si="12"/>
        <v>1</v>
      </c>
      <c r="CL101" s="6">
        <f t="shared" si="26"/>
        <v>1</v>
      </c>
      <c r="CM101" s="6">
        <f t="shared" si="13"/>
        <v>1</v>
      </c>
      <c r="CN101" s="6">
        <f t="shared" si="14"/>
        <v>1</v>
      </c>
      <c r="CO101" s="6">
        <f t="shared" si="15"/>
        <v>0</v>
      </c>
      <c r="CP101" s="6">
        <f t="shared" si="16"/>
        <v>1</v>
      </c>
      <c r="CQ101" s="6">
        <f t="shared" si="214"/>
        <v>1</v>
      </c>
      <c r="CR101" s="81" t="str">
        <f t="shared" si="17"/>
        <v/>
      </c>
      <c r="CS101">
        <f t="shared" si="215"/>
        <v>0</v>
      </c>
      <c r="CT101">
        <f t="shared" si="19"/>
        <v>225</v>
      </c>
      <c r="CU101" t="str">
        <f t="shared" si="29"/>
        <v/>
      </c>
      <c r="CV101" s="81">
        <f t="shared" si="216"/>
        <v>225</v>
      </c>
      <c r="CW101" s="81">
        <f>(CV101/25)^1.5*(Calculator!$BU$4/10000)*CW$5</f>
        <v>69.716861999999935</v>
      </c>
      <c r="CX101" t="str">
        <f t="shared" si="217"/>
        <v>$225</v>
      </c>
    </row>
    <row r="102" spans="2:102" x14ac:dyDescent="0.25">
      <c r="B102" s="115" t="s">
        <v>233</v>
      </c>
      <c r="C102" s="13">
        <v>46242.178472222222</v>
      </c>
      <c r="D102">
        <v>27888</v>
      </c>
      <c r="E102" s="54" t="s">
        <v>235</v>
      </c>
      <c r="F102" s="54" t="s">
        <v>449</v>
      </c>
      <c r="G102" s="54" t="s">
        <v>455</v>
      </c>
      <c r="H102" s="55">
        <v>13.5</v>
      </c>
      <c r="I102" s="55">
        <v>13</v>
      </c>
      <c r="J102" s="55">
        <v>12.8</v>
      </c>
      <c r="K102" s="54"/>
      <c r="L102" s="56" t="b">
        <v>0</v>
      </c>
      <c r="M102" s="56" t="b">
        <v>0</v>
      </c>
      <c r="N102" s="54">
        <v>1</v>
      </c>
      <c r="O102" s="54" t="s">
        <v>228</v>
      </c>
      <c r="P102" s="54">
        <v>100</v>
      </c>
      <c r="Q102" s="54">
        <v>36</v>
      </c>
      <c r="R102" s="54">
        <v>275</v>
      </c>
      <c r="S102" s="54" t="s">
        <v>451</v>
      </c>
      <c r="T102" s="54" t="s">
        <v>452</v>
      </c>
      <c r="U102" s="54" t="s">
        <v>1884</v>
      </c>
      <c r="V102" s="54" t="s">
        <v>1915</v>
      </c>
      <c r="W102" s="54" t="b">
        <v>1</v>
      </c>
      <c r="X102" s="54"/>
      <c r="Y102" s="57" t="s">
        <v>1916</v>
      </c>
      <c r="Z102" s="54" t="s">
        <v>1917</v>
      </c>
      <c r="AA102" s="54"/>
      <c r="AB102" s="54" t="s">
        <v>453</v>
      </c>
      <c r="AC102" s="56" t="b">
        <v>1</v>
      </c>
      <c r="AD102" s="56" t="b">
        <v>0</v>
      </c>
      <c r="AE102" s="54" t="s">
        <v>302</v>
      </c>
      <c r="AF102" s="58">
        <v>46237</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7.3999999999999996E-2</v>
      </c>
      <c r="BC102" s="60">
        <v>4.9000000000000004</v>
      </c>
      <c r="BD102" s="61">
        <v>5.1461E-2</v>
      </c>
      <c r="BE102" s="62" t="s">
        <v>293</v>
      </c>
      <c r="BF102" s="35">
        <f t="shared" si="0"/>
        <v>4.9000000000000004</v>
      </c>
      <c r="BG102" s="35">
        <f t="shared" si="0"/>
        <v>4.9811000000000001E-2</v>
      </c>
      <c r="BH102" s="35" t="str">
        <f t="shared" si="209"/>
        <v>Low</v>
      </c>
      <c r="BI102" s="110">
        <f t="shared" si="210"/>
        <v>0</v>
      </c>
      <c r="BJ102" s="83">
        <f>VLOOKUP($F102,REP_Info!$D$6:$H$250,5,FALSE)</f>
        <v>0.73699999999999999</v>
      </c>
      <c r="BK102" s="30">
        <f t="shared" si="1"/>
        <v>13.361099999999999</v>
      </c>
      <c r="BL102" s="30">
        <f t="shared" si="1"/>
        <v>12.871100000000002</v>
      </c>
      <c r="BM102" s="30">
        <f t="shared" si="1"/>
        <v>12.626100000000001</v>
      </c>
      <c r="BN102" s="29">
        <f t="shared" si="1"/>
        <v>12.544433333333332</v>
      </c>
      <c r="BO102" s="85" t="str">
        <f t="shared" si="2"/>
        <v>$$$</v>
      </c>
      <c r="BP102" s="88" t="str">
        <f t="shared" si="211"/>
        <v>$$$</v>
      </c>
      <c r="BQ102" s="88" t="str">
        <f t="shared" si="4"/>
        <v>$$$</v>
      </c>
      <c r="BR102" s="88" t="str">
        <f t="shared" si="5"/>
        <v>$$$</v>
      </c>
      <c r="BS102" s="29" t="e">
        <f t="shared" si="6"/>
        <v>#N/A</v>
      </c>
      <c r="BT102" s="29" t="e">
        <f t="shared" si="6"/>
        <v>#N/A</v>
      </c>
      <c r="BU102" s="29" t="e">
        <f t="shared" si="6"/>
        <v>#N/A</v>
      </c>
      <c r="BV102" s="29" t="e">
        <f t="shared" si="6"/>
        <v>#N/A</v>
      </c>
      <c r="BW102" s="29" t="e">
        <f t="shared" si="6"/>
        <v>#N/A</v>
      </c>
      <c r="BX102" s="29" t="e">
        <f t="shared" si="6"/>
        <v>#N/A</v>
      </c>
      <c r="BY102" s="29" t="e">
        <f t="shared" si="6"/>
        <v>#N/A</v>
      </c>
      <c r="BZ102" s="29" t="e">
        <f t="shared" si="6"/>
        <v>#N/A</v>
      </c>
      <c r="CA102" s="29" t="e">
        <f t="shared" si="6"/>
        <v>#N/A</v>
      </c>
      <c r="CB102" s="29" t="e">
        <f t="shared" si="6"/>
        <v>#N/A</v>
      </c>
      <c r="CC102" s="29" t="e">
        <f t="shared" si="6"/>
        <v>#N/A</v>
      </c>
      <c r="CD102" s="29" t="e">
        <f t="shared" si="6"/>
        <v>#N/A</v>
      </c>
      <c r="CE102" s="6" t="str">
        <f t="shared" si="196"/>
        <v/>
      </c>
      <c r="CF102" s="27" t="e">
        <f>IF(AND(CI102,NOT(AD102)),LOOKUP(CF$5,{0,750,1500},H102:J102),"")</f>
        <v>#N/A</v>
      </c>
      <c r="CG102" s="6" t="str">
        <f t="shared" si="197"/>
        <v/>
      </c>
      <c r="CH102" t="e">
        <f t="shared" si="212"/>
        <v>#N/A</v>
      </c>
      <c r="CI102" t="e">
        <f t="shared" si="213"/>
        <v>#N/A</v>
      </c>
      <c r="CJ102" s="6" t="e">
        <f t="shared" si="11"/>
        <v>#N/A</v>
      </c>
      <c r="CK102" s="6">
        <f t="shared" si="12"/>
        <v>1</v>
      </c>
      <c r="CL102" s="6">
        <f t="shared" si="26"/>
        <v>1</v>
      </c>
      <c r="CM102" s="6">
        <f t="shared" si="13"/>
        <v>1</v>
      </c>
      <c r="CN102" s="6">
        <f t="shared" si="14"/>
        <v>1</v>
      </c>
      <c r="CO102" s="6">
        <f t="shared" si="15"/>
        <v>0</v>
      </c>
      <c r="CP102" s="6">
        <f t="shared" si="16"/>
        <v>1</v>
      </c>
      <c r="CQ102" s="6">
        <f t="shared" si="214"/>
        <v>1</v>
      </c>
      <c r="CR102" s="81" t="str">
        <f t="shared" si="17"/>
        <v/>
      </c>
      <c r="CS102">
        <f t="shared" si="215"/>
        <v>0</v>
      </c>
      <c r="CT102">
        <f t="shared" si="19"/>
        <v>275</v>
      </c>
      <c r="CU102" t="str">
        <f t="shared" si="29"/>
        <v/>
      </c>
      <c r="CV102" s="81">
        <f t="shared" si="216"/>
        <v>275</v>
      </c>
      <c r="CW102" s="81">
        <f>(CV102/25)^1.5*(Calculator!$BU$4/10000)*CW$5</f>
        <v>94.202644480179572</v>
      </c>
      <c r="CX102" t="str">
        <f t="shared" si="217"/>
        <v>$275</v>
      </c>
    </row>
    <row r="103" spans="2:102" x14ac:dyDescent="0.25">
      <c r="B103" s="115" t="s">
        <v>233</v>
      </c>
      <c r="C103" s="13">
        <v>46242.178472222222</v>
      </c>
      <c r="D103">
        <v>27890</v>
      </c>
      <c r="E103" s="54" t="s">
        <v>237</v>
      </c>
      <c r="F103" s="54" t="s">
        <v>449</v>
      </c>
      <c r="G103" s="54" t="s">
        <v>455</v>
      </c>
      <c r="H103" s="55">
        <v>14.2</v>
      </c>
      <c r="I103" s="55">
        <v>13.8</v>
      </c>
      <c r="J103" s="55">
        <v>13.600000000000001</v>
      </c>
      <c r="K103" s="54"/>
      <c r="L103" s="56" t="b">
        <v>0</v>
      </c>
      <c r="M103" s="56" t="b">
        <v>0</v>
      </c>
      <c r="N103" s="54">
        <v>1</v>
      </c>
      <c r="O103" s="54" t="s">
        <v>228</v>
      </c>
      <c r="P103" s="54">
        <v>100</v>
      </c>
      <c r="Q103" s="54">
        <v>36</v>
      </c>
      <c r="R103" s="54">
        <v>275</v>
      </c>
      <c r="S103" s="54" t="s">
        <v>451</v>
      </c>
      <c r="T103" s="54" t="s">
        <v>452</v>
      </c>
      <c r="U103" s="54" t="s">
        <v>1884</v>
      </c>
      <c r="V103" s="54" t="s">
        <v>1918</v>
      </c>
      <c r="W103" s="54" t="b">
        <v>1</v>
      </c>
      <c r="X103" s="54"/>
      <c r="Y103" s="57" t="s">
        <v>1919</v>
      </c>
      <c r="Z103" s="54" t="s">
        <v>1920</v>
      </c>
      <c r="AA103" s="54"/>
      <c r="AB103" s="54" t="s">
        <v>453</v>
      </c>
      <c r="AC103" s="56" t="b">
        <v>1</v>
      </c>
      <c r="AD103" s="56" t="b">
        <v>0</v>
      </c>
      <c r="AE103" s="54" t="s">
        <v>302</v>
      </c>
      <c r="AF103" s="58">
        <v>46237</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7.3999999999999996E-2</v>
      </c>
      <c r="BC103" s="60">
        <v>4.0599999999999996</v>
      </c>
      <c r="BD103" s="61">
        <v>6.0295000000000001E-2</v>
      </c>
      <c r="BE103" s="62" t="s">
        <v>293</v>
      </c>
      <c r="BF103" s="35">
        <f t="shared" si="0"/>
        <v>4.0600000000000005</v>
      </c>
      <c r="BG103" s="35">
        <f t="shared" si="0"/>
        <v>6.0295000000000001E-2</v>
      </c>
      <c r="BH103" s="35" t="str">
        <f t="shared" si="209"/>
        <v>Low</v>
      </c>
      <c r="BI103" s="110">
        <f t="shared" si="210"/>
        <v>0</v>
      </c>
      <c r="BJ103" s="83">
        <f>VLOOKUP($F103,REP_Info!$D$6:$H$250,5,FALSE)</f>
        <v>0.73699999999999999</v>
      </c>
      <c r="BK103" s="30">
        <f t="shared" si="1"/>
        <v>14.241500000000002</v>
      </c>
      <c r="BL103" s="30">
        <f t="shared" si="1"/>
        <v>13.835500000000001</v>
      </c>
      <c r="BM103" s="30">
        <f t="shared" si="1"/>
        <v>13.632499999999999</v>
      </c>
      <c r="BN103" s="29">
        <f t="shared" si="1"/>
        <v>13.564833333333333</v>
      </c>
      <c r="BO103" s="85" t="str">
        <f t="shared" si="2"/>
        <v>$$$</v>
      </c>
      <c r="BP103" s="88" t="str">
        <f t="shared" si="211"/>
        <v>$$$</v>
      </c>
      <c r="BQ103" s="88" t="str">
        <f t="shared" si="4"/>
        <v>$$$</v>
      </c>
      <c r="BR103" s="88" t="str">
        <f t="shared" si="5"/>
        <v>$$$</v>
      </c>
      <c r="BS103" s="29" t="e">
        <f t="shared" si="6"/>
        <v>#N/A</v>
      </c>
      <c r="BT103" s="29" t="e">
        <f t="shared" si="6"/>
        <v>#N/A</v>
      </c>
      <c r="BU103" s="29" t="e">
        <f t="shared" si="6"/>
        <v>#N/A</v>
      </c>
      <c r="BV103" s="29" t="e">
        <f t="shared" si="6"/>
        <v>#N/A</v>
      </c>
      <c r="BW103" s="29" t="e">
        <f t="shared" si="6"/>
        <v>#N/A</v>
      </c>
      <c r="BX103" s="29" t="e">
        <f t="shared" si="6"/>
        <v>#N/A</v>
      </c>
      <c r="BY103" s="29" t="e">
        <f t="shared" si="6"/>
        <v>#N/A</v>
      </c>
      <c r="BZ103" s="29" t="e">
        <f t="shared" si="6"/>
        <v>#N/A</v>
      </c>
      <c r="CA103" s="29" t="e">
        <f t="shared" si="6"/>
        <v>#N/A</v>
      </c>
      <c r="CB103" s="29" t="e">
        <f t="shared" si="6"/>
        <v>#N/A</v>
      </c>
      <c r="CC103" s="29" t="e">
        <f t="shared" si="6"/>
        <v>#N/A</v>
      </c>
      <c r="CD103" s="29" t="e">
        <f t="shared" si="6"/>
        <v>#N/A</v>
      </c>
      <c r="CE103" s="6" t="str">
        <f t="shared" si="196"/>
        <v/>
      </c>
      <c r="CF103" s="27" t="e">
        <f>IF(AND(CI103,NOT(AD103)),LOOKUP(CF$5,{0,750,1500},H103:J103),"")</f>
        <v>#N/A</v>
      </c>
      <c r="CG103" s="6" t="str">
        <f t="shared" si="197"/>
        <v/>
      </c>
      <c r="CH103" t="e">
        <f t="shared" si="212"/>
        <v>#N/A</v>
      </c>
      <c r="CI103" t="e">
        <f t="shared" si="213"/>
        <v>#N/A</v>
      </c>
      <c r="CJ103" s="6" t="e">
        <f t="shared" si="11"/>
        <v>#N/A</v>
      </c>
      <c r="CK103" s="6">
        <f t="shared" si="12"/>
        <v>1</v>
      </c>
      <c r="CL103" s="6">
        <f t="shared" si="26"/>
        <v>1</v>
      </c>
      <c r="CM103" s="6">
        <f t="shared" si="13"/>
        <v>1</v>
      </c>
      <c r="CN103" s="6">
        <f t="shared" si="14"/>
        <v>1</v>
      </c>
      <c r="CO103" s="6">
        <f t="shared" si="15"/>
        <v>0</v>
      </c>
      <c r="CP103" s="6">
        <f t="shared" si="16"/>
        <v>1</v>
      </c>
      <c r="CQ103" s="6">
        <f t="shared" si="214"/>
        <v>1</v>
      </c>
      <c r="CR103" s="81" t="str">
        <f t="shared" si="17"/>
        <v/>
      </c>
      <c r="CS103">
        <f t="shared" si="215"/>
        <v>0</v>
      </c>
      <c r="CT103">
        <f t="shared" si="19"/>
        <v>275</v>
      </c>
      <c r="CU103" t="str">
        <f t="shared" si="29"/>
        <v/>
      </c>
      <c r="CV103" s="81">
        <f t="shared" si="216"/>
        <v>275</v>
      </c>
      <c r="CW103" s="81">
        <f>(CV103/25)^1.5*(Calculator!$BU$4/10000)*CW$5</f>
        <v>94.202644480179572</v>
      </c>
      <c r="CX103" t="str">
        <f t="shared" si="217"/>
        <v>$275</v>
      </c>
    </row>
    <row r="104" spans="2:102" x14ac:dyDescent="0.25">
      <c r="B104" s="115" t="s">
        <v>233</v>
      </c>
      <c r="C104" s="13">
        <v>46248.413194444445</v>
      </c>
      <c r="D104">
        <v>35775</v>
      </c>
      <c r="E104" s="54" t="s">
        <v>237</v>
      </c>
      <c r="F104" s="54" t="s">
        <v>456</v>
      </c>
      <c r="G104" s="54" t="s">
        <v>457</v>
      </c>
      <c r="H104" s="55">
        <v>12.4</v>
      </c>
      <c r="I104" s="55">
        <v>11.899999999999999</v>
      </c>
      <c r="J104" s="55">
        <v>11.700000000000001</v>
      </c>
      <c r="K104" s="54"/>
      <c r="L104" s="56" t="b">
        <v>0</v>
      </c>
      <c r="M104" s="56" t="b">
        <v>0</v>
      </c>
      <c r="N104" s="54">
        <v>1</v>
      </c>
      <c r="O104" s="54" t="s">
        <v>228</v>
      </c>
      <c r="P104" s="54">
        <v>30</v>
      </c>
      <c r="Q104" s="54">
        <v>12</v>
      </c>
      <c r="R104" s="54">
        <v>150</v>
      </c>
      <c r="S104" s="54" t="s">
        <v>458</v>
      </c>
      <c r="T104" s="54" t="s">
        <v>459</v>
      </c>
      <c r="U104" s="54" t="s">
        <v>460</v>
      </c>
      <c r="V104" s="54" t="s">
        <v>461</v>
      </c>
      <c r="W104" s="54" t="b">
        <v>0</v>
      </c>
      <c r="X104" s="54"/>
      <c r="Y104" s="57" t="s">
        <v>2059</v>
      </c>
      <c r="Z104" s="54" t="s">
        <v>462</v>
      </c>
      <c r="AA104" s="54"/>
      <c r="AB104" s="54" t="s">
        <v>463</v>
      </c>
      <c r="AC104" s="56" t="b">
        <v>1</v>
      </c>
      <c r="AD104" s="56" t="b">
        <v>0</v>
      </c>
      <c r="AE104" s="54" t="s">
        <v>302</v>
      </c>
      <c r="AF104" s="58">
        <v>46248</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5.5100000000000003E-2</v>
      </c>
      <c r="BC104" s="60">
        <v>4.0599999999999996</v>
      </c>
      <c r="BD104" s="61">
        <v>6.0295000000000001E-2</v>
      </c>
      <c r="BE104" s="62" t="s">
        <v>293</v>
      </c>
      <c r="BF104" s="35">
        <f t="shared" si="0"/>
        <v>4.0600000000000005</v>
      </c>
      <c r="BG104" s="35">
        <f t="shared" si="0"/>
        <v>6.0295000000000001E-2</v>
      </c>
      <c r="BH104" s="35" t="str">
        <f t="shared" si="209"/>
        <v>Low</v>
      </c>
      <c r="BI104" s="110">
        <f t="shared" si="210"/>
        <v>0</v>
      </c>
      <c r="BJ104" s="83" t="str">
        <f>VLOOKUP($F104,REP_Info!$D$6:$H$250,5,FALSE)</f>
        <v/>
      </c>
      <c r="BK104" s="30">
        <f t="shared" si="1"/>
        <v>12.3515</v>
      </c>
      <c r="BL104" s="30">
        <f t="shared" si="1"/>
        <v>11.945500000000003</v>
      </c>
      <c r="BM104" s="30">
        <f t="shared" si="1"/>
        <v>11.742500000000001</v>
      </c>
      <c r="BN104" s="29">
        <f t="shared" si="1"/>
        <v>11.674833333333334</v>
      </c>
      <c r="BO104" s="85" t="str">
        <f t="shared" si="2"/>
        <v>$$$</v>
      </c>
      <c r="BP104" s="88" t="str">
        <f t="shared" si="211"/>
        <v>$$$</v>
      </c>
      <c r="BQ104" s="88" t="str">
        <f t="shared" si="4"/>
        <v>$$$</v>
      </c>
      <c r="BR104" s="88" t="str">
        <f t="shared" si="5"/>
        <v>$$$</v>
      </c>
      <c r="BS104" s="29" t="e">
        <f t="shared" si="6"/>
        <v>#N/A</v>
      </c>
      <c r="BT104" s="29" t="e">
        <f t="shared" si="6"/>
        <v>#N/A</v>
      </c>
      <c r="BU104" s="29" t="e">
        <f t="shared" si="6"/>
        <v>#N/A</v>
      </c>
      <c r="BV104" s="29" t="e">
        <f t="shared" si="6"/>
        <v>#N/A</v>
      </c>
      <c r="BW104" s="29" t="e">
        <f t="shared" si="6"/>
        <v>#N/A</v>
      </c>
      <c r="BX104" s="29" t="e">
        <f t="shared" si="6"/>
        <v>#N/A</v>
      </c>
      <c r="BY104" s="29" t="e">
        <f t="shared" si="6"/>
        <v>#N/A</v>
      </c>
      <c r="BZ104" s="29" t="e">
        <f t="shared" si="6"/>
        <v>#N/A</v>
      </c>
      <c r="CA104" s="29" t="e">
        <f t="shared" si="6"/>
        <v>#N/A</v>
      </c>
      <c r="CB104" s="29" t="e">
        <f t="shared" si="6"/>
        <v>#N/A</v>
      </c>
      <c r="CC104" s="29" t="e">
        <f t="shared" si="6"/>
        <v>#N/A</v>
      </c>
      <c r="CD104" s="29" t="e">
        <f t="shared" si="6"/>
        <v>#N/A</v>
      </c>
      <c r="CE104" s="6" t="str">
        <f t="shared" si="196"/>
        <v/>
      </c>
      <c r="CF104" s="27" t="e">
        <f>IF(AND(CI104,NOT(AD104)),LOOKUP(CF$5,{0,750,1500},H104:J104),"")</f>
        <v>#N/A</v>
      </c>
      <c r="CG104" s="6" t="str">
        <f t="shared" si="197"/>
        <v/>
      </c>
      <c r="CH104" t="e">
        <f t="shared" si="212"/>
        <v>#N/A</v>
      </c>
      <c r="CI104" t="e">
        <f t="shared" si="213"/>
        <v>#N/A</v>
      </c>
      <c r="CJ104" s="6" t="e">
        <f t="shared" si="11"/>
        <v>#N/A</v>
      </c>
      <c r="CK104" s="6">
        <f t="shared" si="12"/>
        <v>1</v>
      </c>
      <c r="CL104" s="6">
        <f t="shared" si="26"/>
        <v>1</v>
      </c>
      <c r="CM104" s="6">
        <f t="shared" si="13"/>
        <v>1</v>
      </c>
      <c r="CN104" s="6">
        <f t="shared" si="14"/>
        <v>1</v>
      </c>
      <c r="CO104" s="6">
        <f t="shared" si="15"/>
        <v>1</v>
      </c>
      <c r="CP104" s="6">
        <f t="shared" si="16"/>
        <v>1</v>
      </c>
      <c r="CQ104" s="6">
        <f t="shared" si="214"/>
        <v>1</v>
      </c>
      <c r="CR104" s="81" t="str">
        <f t="shared" si="17"/>
        <v/>
      </c>
      <c r="CS104">
        <f t="shared" si="215"/>
        <v>0</v>
      </c>
      <c r="CT104">
        <f t="shared" si="19"/>
        <v>150</v>
      </c>
      <c r="CU104" t="str">
        <f t="shared" si="29"/>
        <v/>
      </c>
      <c r="CV104" s="81">
        <f t="shared" si="216"/>
        <v>150</v>
      </c>
      <c r="CW104" s="81">
        <f>(CV104/25)^1.5*(Calculator!$BU$4/10000)*CW$5</f>
        <v>37.949052970673385</v>
      </c>
      <c r="CX104" t="str">
        <f t="shared" si="217"/>
        <v>$150</v>
      </c>
    </row>
    <row r="105" spans="2:102" x14ac:dyDescent="0.25">
      <c r="B105" s="115" t="s">
        <v>233</v>
      </c>
      <c r="C105" s="13">
        <v>46249.28125</v>
      </c>
      <c r="D105">
        <v>35777</v>
      </c>
      <c r="E105" s="54" t="s">
        <v>235</v>
      </c>
      <c r="F105" s="54" t="s">
        <v>456</v>
      </c>
      <c r="G105" s="54" t="s">
        <v>457</v>
      </c>
      <c r="H105" s="55">
        <v>11.700000000000001</v>
      </c>
      <c r="I105" s="55">
        <v>11.200000000000001</v>
      </c>
      <c r="J105" s="55">
        <v>10.9</v>
      </c>
      <c r="K105" s="54"/>
      <c r="L105" s="56" t="b">
        <v>0</v>
      </c>
      <c r="M105" s="56" t="b">
        <v>0</v>
      </c>
      <c r="N105" s="54">
        <v>1</v>
      </c>
      <c r="O105" s="54" t="s">
        <v>228</v>
      </c>
      <c r="P105" s="54">
        <v>30</v>
      </c>
      <c r="Q105" s="54">
        <v>12</v>
      </c>
      <c r="R105" s="54">
        <v>150</v>
      </c>
      <c r="S105" s="54" t="s">
        <v>464</v>
      </c>
      <c r="T105" s="54" t="s">
        <v>459</v>
      </c>
      <c r="U105" s="54" t="s">
        <v>460</v>
      </c>
      <c r="V105" s="54" t="s">
        <v>461</v>
      </c>
      <c r="W105" s="54" t="b">
        <v>0</v>
      </c>
      <c r="X105" s="54"/>
      <c r="Y105" s="57" t="s">
        <v>2087</v>
      </c>
      <c r="Z105" s="54" t="s">
        <v>465</v>
      </c>
      <c r="AA105" s="54"/>
      <c r="AB105" s="54" t="s">
        <v>463</v>
      </c>
      <c r="AC105" s="56" t="b">
        <v>1</v>
      </c>
      <c r="AD105" s="56" t="b">
        <v>0</v>
      </c>
      <c r="AE105" s="54" t="s">
        <v>302</v>
      </c>
      <c r="AF105" s="58">
        <v>46249</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5.7000000000000002E-2</v>
      </c>
      <c r="BC105" s="60">
        <v>4.9000000000000004</v>
      </c>
      <c r="BD105" s="61">
        <v>4.9811000000000001E-2</v>
      </c>
      <c r="BE105" s="62" t="s">
        <v>293</v>
      </c>
      <c r="BF105" s="35">
        <f t="shared" si="0"/>
        <v>4.9000000000000004</v>
      </c>
      <c r="BG105" s="35">
        <f t="shared" si="0"/>
        <v>4.9811000000000001E-2</v>
      </c>
      <c r="BH105" s="35" t="str">
        <f t="shared" si="209"/>
        <v>Low</v>
      </c>
      <c r="BI105" s="110">
        <f t="shared" si="210"/>
        <v>0</v>
      </c>
      <c r="BJ105" s="83" t="str">
        <f>VLOOKUP($F105,REP_Info!$D$6:$H$250,5,FALSE)</f>
        <v/>
      </c>
      <c r="BK105" s="30">
        <f t="shared" si="1"/>
        <v>11.661099999999999</v>
      </c>
      <c r="BL105" s="30">
        <f t="shared" si="1"/>
        <v>11.171100000000001</v>
      </c>
      <c r="BM105" s="30">
        <f t="shared" si="1"/>
        <v>10.9261</v>
      </c>
      <c r="BN105" s="29">
        <f t="shared" si="1"/>
        <v>10.844433333333331</v>
      </c>
      <c r="BO105" s="85" t="str">
        <f t="shared" si="2"/>
        <v>$$$</v>
      </c>
      <c r="BP105" s="88" t="str">
        <f t="shared" si="211"/>
        <v>$$$</v>
      </c>
      <c r="BQ105" s="88" t="str">
        <f t="shared" si="4"/>
        <v>$$$</v>
      </c>
      <c r="BR105" s="88" t="str">
        <f t="shared" si="5"/>
        <v>$$$</v>
      </c>
      <c r="BS105" s="29" t="e">
        <f t="shared" si="6"/>
        <v>#N/A</v>
      </c>
      <c r="BT105" s="29" t="e">
        <f t="shared" si="6"/>
        <v>#N/A</v>
      </c>
      <c r="BU105" s="29" t="e">
        <f t="shared" si="6"/>
        <v>#N/A</v>
      </c>
      <c r="BV105" s="29" t="e">
        <f t="shared" si="6"/>
        <v>#N/A</v>
      </c>
      <c r="BW105" s="29" t="e">
        <f t="shared" si="6"/>
        <v>#N/A</v>
      </c>
      <c r="BX105" s="29" t="e">
        <f t="shared" si="6"/>
        <v>#N/A</v>
      </c>
      <c r="BY105" s="29" t="e">
        <f t="shared" si="6"/>
        <v>#N/A</v>
      </c>
      <c r="BZ105" s="29" t="e">
        <f t="shared" si="6"/>
        <v>#N/A</v>
      </c>
      <c r="CA105" s="29" t="e">
        <f t="shared" si="6"/>
        <v>#N/A</v>
      </c>
      <c r="CB105" s="29" t="e">
        <f t="shared" si="6"/>
        <v>#N/A</v>
      </c>
      <c r="CC105" s="29" t="e">
        <f t="shared" si="6"/>
        <v>#N/A</v>
      </c>
      <c r="CD105" s="29" t="e">
        <f t="shared" si="6"/>
        <v>#N/A</v>
      </c>
      <c r="CE105" s="6" t="str">
        <f t="shared" si="196"/>
        <v/>
      </c>
      <c r="CF105" s="27" t="e">
        <f>IF(AND(CI105,NOT(AD105)),LOOKUP(CF$5,{0,750,1500},H105:J105),"")</f>
        <v>#N/A</v>
      </c>
      <c r="CG105" s="6" t="str">
        <f t="shared" si="197"/>
        <v/>
      </c>
      <c r="CH105" t="e">
        <f t="shared" si="212"/>
        <v>#N/A</v>
      </c>
      <c r="CI105" t="e">
        <f t="shared" si="213"/>
        <v>#N/A</v>
      </c>
      <c r="CJ105" s="6" t="e">
        <f t="shared" si="11"/>
        <v>#N/A</v>
      </c>
      <c r="CK105" s="6">
        <f t="shared" si="12"/>
        <v>1</v>
      </c>
      <c r="CL105" s="6">
        <f t="shared" si="26"/>
        <v>1</v>
      </c>
      <c r="CM105" s="6">
        <f t="shared" si="13"/>
        <v>1</v>
      </c>
      <c r="CN105" s="6">
        <f t="shared" si="14"/>
        <v>1</v>
      </c>
      <c r="CO105" s="6">
        <f t="shared" si="15"/>
        <v>1</v>
      </c>
      <c r="CP105" s="6">
        <f t="shared" si="16"/>
        <v>1</v>
      </c>
      <c r="CQ105" s="6">
        <f t="shared" si="214"/>
        <v>1</v>
      </c>
      <c r="CR105" s="81" t="str">
        <f t="shared" si="17"/>
        <v/>
      </c>
      <c r="CS105">
        <f t="shared" si="215"/>
        <v>0</v>
      </c>
      <c r="CT105">
        <f t="shared" si="19"/>
        <v>150</v>
      </c>
      <c r="CU105" t="str">
        <f t="shared" si="29"/>
        <v/>
      </c>
      <c r="CV105" s="81">
        <f t="shared" si="216"/>
        <v>150</v>
      </c>
      <c r="CW105" s="81">
        <f>(CV105/25)^1.5*(Calculator!$BU$4/10000)*CW$5</f>
        <v>37.949052970673385</v>
      </c>
      <c r="CX105" t="str">
        <f t="shared" si="217"/>
        <v>$150</v>
      </c>
    </row>
    <row r="106" spans="2:102" x14ac:dyDescent="0.25">
      <c r="B106" s="115" t="s">
        <v>233</v>
      </c>
      <c r="C106" s="13">
        <v>46248.413194444445</v>
      </c>
      <c r="D106">
        <v>35942</v>
      </c>
      <c r="E106" s="54" t="s">
        <v>237</v>
      </c>
      <c r="F106" s="54" t="s">
        <v>456</v>
      </c>
      <c r="G106" s="54" t="s">
        <v>2060</v>
      </c>
      <c r="H106" s="55">
        <v>11.4</v>
      </c>
      <c r="I106" s="55">
        <v>10.9</v>
      </c>
      <c r="J106" s="55">
        <v>10.7</v>
      </c>
      <c r="K106" s="54"/>
      <c r="L106" s="56" t="b">
        <v>0</v>
      </c>
      <c r="M106" s="56" t="b">
        <v>0</v>
      </c>
      <c r="N106" s="54">
        <v>1</v>
      </c>
      <c r="O106" s="54" t="s">
        <v>228</v>
      </c>
      <c r="P106" s="54">
        <v>30</v>
      </c>
      <c r="Q106" s="54">
        <v>9</v>
      </c>
      <c r="R106" s="54">
        <v>150</v>
      </c>
      <c r="S106" s="54" t="s">
        <v>2061</v>
      </c>
      <c r="T106" s="54" t="s">
        <v>459</v>
      </c>
      <c r="U106" s="54" t="s">
        <v>460</v>
      </c>
      <c r="V106" s="54" t="s">
        <v>461</v>
      </c>
      <c r="W106" s="54" t="b">
        <v>0</v>
      </c>
      <c r="X106" s="54"/>
      <c r="Y106" s="57" t="s">
        <v>2062</v>
      </c>
      <c r="Z106" s="54" t="s">
        <v>2063</v>
      </c>
      <c r="AA106" s="54"/>
      <c r="AB106" s="54" t="s">
        <v>463</v>
      </c>
      <c r="AC106" s="56" t="b">
        <v>1</v>
      </c>
      <c r="AD106" s="56" t="b">
        <v>0</v>
      </c>
      <c r="AE106" s="54" t="s">
        <v>302</v>
      </c>
      <c r="AF106" s="58">
        <v>46248</v>
      </c>
      <c r="AG106" s="62" t="s">
        <v>293</v>
      </c>
      <c r="AH106" s="54">
        <v>0</v>
      </c>
      <c r="AI106" s="54"/>
      <c r="AJ106" s="54"/>
      <c r="AK106" s="54"/>
      <c r="AL106" s="54"/>
      <c r="AM106" s="54">
        <v>0</v>
      </c>
      <c r="AN106" s="54"/>
      <c r="AO106" s="54"/>
      <c r="AP106" s="54"/>
      <c r="AQ106" s="54"/>
      <c r="AR106" s="54"/>
      <c r="AS106" s="54"/>
      <c r="AT106" s="54"/>
      <c r="AU106" s="54"/>
      <c r="AV106" s="54"/>
      <c r="AW106" s="54"/>
      <c r="AX106" s="59"/>
      <c r="AY106" s="59"/>
      <c r="AZ106" s="59"/>
      <c r="BA106" s="59"/>
      <c r="BB106" s="59">
        <v>4.5100000000000001E-2</v>
      </c>
      <c r="BC106" s="60">
        <v>4.0599999999999996</v>
      </c>
      <c r="BD106" s="61">
        <v>6.0295000000000001E-2</v>
      </c>
      <c r="BE106" s="62" t="s">
        <v>293</v>
      </c>
      <c r="BF106" s="35">
        <f t="shared" si="0"/>
        <v>4.0600000000000005</v>
      </c>
      <c r="BG106" s="35">
        <f t="shared" si="0"/>
        <v>6.0295000000000001E-2</v>
      </c>
      <c r="BH106" s="35" t="str">
        <f t="shared" si="209"/>
        <v>Low</v>
      </c>
      <c r="BI106" s="110">
        <f t="shared" si="210"/>
        <v>0</v>
      </c>
      <c r="BJ106" s="83" t="str">
        <f>VLOOKUP($F106,REP_Info!$D$6:$H$250,5,FALSE)</f>
        <v/>
      </c>
      <c r="BK106" s="30">
        <f t="shared" si="1"/>
        <v>11.3515</v>
      </c>
      <c r="BL106" s="30">
        <f t="shared" si="1"/>
        <v>10.945500000000003</v>
      </c>
      <c r="BM106" s="30">
        <f t="shared" si="1"/>
        <v>10.742500000000001</v>
      </c>
      <c r="BN106" s="29">
        <f t="shared" si="1"/>
        <v>10.674833333333334</v>
      </c>
      <c r="BO106" s="85" t="str">
        <f t="shared" si="2"/>
        <v>$$$</v>
      </c>
      <c r="BP106" s="88" t="str">
        <f t="shared" si="211"/>
        <v>$$$</v>
      </c>
      <c r="BQ106" s="88" t="str">
        <f t="shared" si="4"/>
        <v>$$$</v>
      </c>
      <c r="BR106" s="88" t="str">
        <f t="shared" si="5"/>
        <v>$$$</v>
      </c>
      <c r="BS106" s="29" t="e">
        <f t="shared" si="6"/>
        <v>#N/A</v>
      </c>
      <c r="BT106" s="29" t="e">
        <f t="shared" si="6"/>
        <v>#N/A</v>
      </c>
      <c r="BU106" s="29" t="e">
        <f t="shared" si="6"/>
        <v>#N/A</v>
      </c>
      <c r="BV106" s="29" t="e">
        <f t="shared" si="6"/>
        <v>#N/A</v>
      </c>
      <c r="BW106" s="29" t="e">
        <f t="shared" si="6"/>
        <v>#N/A</v>
      </c>
      <c r="BX106" s="29" t="e">
        <f t="shared" si="6"/>
        <v>#N/A</v>
      </c>
      <c r="BY106" s="29" t="e">
        <f t="shared" si="6"/>
        <v>#N/A</v>
      </c>
      <c r="BZ106" s="29" t="e">
        <f t="shared" si="6"/>
        <v>#N/A</v>
      </c>
      <c r="CA106" s="29" t="e">
        <f t="shared" si="6"/>
        <v>#N/A</v>
      </c>
      <c r="CB106" s="29" t="e">
        <f t="shared" si="6"/>
        <v>#N/A</v>
      </c>
      <c r="CC106" s="29" t="e">
        <f t="shared" si="6"/>
        <v>#N/A</v>
      </c>
      <c r="CD106" s="29" t="e">
        <f t="shared" si="6"/>
        <v>#N/A</v>
      </c>
      <c r="CE106" s="6" t="str">
        <f t="shared" si="196"/>
        <v/>
      </c>
      <c r="CF106" s="27" t="e">
        <f>IF(AND(CI106,NOT(AD106)),LOOKUP(CF$5,{0,750,1500},H106:J106),"")</f>
        <v>#N/A</v>
      </c>
      <c r="CG106" s="6" t="str">
        <f t="shared" si="197"/>
        <v/>
      </c>
      <c r="CH106" t="e">
        <f t="shared" si="212"/>
        <v>#N/A</v>
      </c>
      <c r="CI106" t="e">
        <f t="shared" si="213"/>
        <v>#N/A</v>
      </c>
      <c r="CJ106" s="6" t="e">
        <f t="shared" si="11"/>
        <v>#N/A</v>
      </c>
      <c r="CK106" s="6">
        <f t="shared" si="12"/>
        <v>1</v>
      </c>
      <c r="CL106" s="6">
        <f t="shared" si="26"/>
        <v>1</v>
      </c>
      <c r="CM106" s="6">
        <f t="shared" si="13"/>
        <v>1</v>
      </c>
      <c r="CN106" s="6">
        <f t="shared" si="14"/>
        <v>0</v>
      </c>
      <c r="CO106" s="6">
        <f t="shared" si="15"/>
        <v>1</v>
      </c>
      <c r="CP106" s="6">
        <f t="shared" si="16"/>
        <v>1</v>
      </c>
      <c r="CQ106" s="6">
        <f t="shared" si="214"/>
        <v>1</v>
      </c>
      <c r="CR106" s="81" t="str">
        <f t="shared" si="17"/>
        <v/>
      </c>
      <c r="CS106">
        <f t="shared" si="215"/>
        <v>5.9999999999999982</v>
      </c>
      <c r="CT106">
        <f t="shared" si="19"/>
        <v>150</v>
      </c>
      <c r="CU106" t="str">
        <f t="shared" si="29"/>
        <v/>
      </c>
      <c r="CV106" s="81">
        <f t="shared" si="216"/>
        <v>150</v>
      </c>
      <c r="CW106" s="81">
        <f>(CV106/25)^1.5*(Calculator!$BU$4/10000)*CW$5</f>
        <v>37.949052970673385</v>
      </c>
      <c r="CX106" t="str">
        <f t="shared" si="217"/>
        <v>$150</v>
      </c>
    </row>
    <row r="107" spans="2:102" x14ac:dyDescent="0.25">
      <c r="B107" s="115" t="s">
        <v>233</v>
      </c>
      <c r="C107" s="13">
        <v>46249.28125</v>
      </c>
      <c r="D107">
        <v>35944</v>
      </c>
      <c r="E107" s="54" t="s">
        <v>235</v>
      </c>
      <c r="F107" s="54" t="s">
        <v>456</v>
      </c>
      <c r="G107" s="54" t="s">
        <v>2060</v>
      </c>
      <c r="H107" s="55">
        <v>10.5</v>
      </c>
      <c r="I107" s="55">
        <v>10</v>
      </c>
      <c r="J107" s="55">
        <v>9.7000000000000011</v>
      </c>
      <c r="K107" s="54"/>
      <c r="L107" s="56" t="b">
        <v>0</v>
      </c>
      <c r="M107" s="56" t="b">
        <v>0</v>
      </c>
      <c r="N107" s="54">
        <v>1</v>
      </c>
      <c r="O107" s="54" t="s">
        <v>228</v>
      </c>
      <c r="P107" s="54">
        <v>30</v>
      </c>
      <c r="Q107" s="54">
        <v>9</v>
      </c>
      <c r="R107" s="54">
        <v>150</v>
      </c>
      <c r="S107" s="54" t="s">
        <v>2064</v>
      </c>
      <c r="T107" s="54" t="s">
        <v>459</v>
      </c>
      <c r="U107" s="54" t="s">
        <v>460</v>
      </c>
      <c r="V107" s="54" t="s">
        <v>461</v>
      </c>
      <c r="W107" s="54" t="b">
        <v>0</v>
      </c>
      <c r="X107" s="54"/>
      <c r="Y107" s="57" t="s">
        <v>2088</v>
      </c>
      <c r="Z107" s="54" t="s">
        <v>2065</v>
      </c>
      <c r="AA107" s="54"/>
      <c r="AB107" s="54" t="s">
        <v>463</v>
      </c>
      <c r="AC107" s="56" t="b">
        <v>1</v>
      </c>
      <c r="AD107" s="56" t="b">
        <v>0</v>
      </c>
      <c r="AE107" s="54" t="s">
        <v>302</v>
      </c>
      <c r="AF107" s="58">
        <v>46249</v>
      </c>
      <c r="AG107" s="62" t="s">
        <v>293</v>
      </c>
      <c r="AH107" s="54">
        <v>0</v>
      </c>
      <c r="AI107" s="54"/>
      <c r="AJ107" s="54"/>
      <c r="AK107" s="54"/>
      <c r="AL107" s="54"/>
      <c r="AM107" s="54">
        <v>0</v>
      </c>
      <c r="AN107" s="54"/>
      <c r="AO107" s="54"/>
      <c r="AP107" s="54"/>
      <c r="AQ107" s="54"/>
      <c r="AR107" s="54"/>
      <c r="AS107" s="54"/>
      <c r="AT107" s="54"/>
      <c r="AU107" s="54"/>
      <c r="AV107" s="54"/>
      <c r="AW107" s="54"/>
      <c r="AX107" s="59"/>
      <c r="AY107" s="59"/>
      <c r="AZ107" s="59"/>
      <c r="BA107" s="59"/>
      <c r="BB107" s="59">
        <v>4.4999999999999998E-2</v>
      </c>
      <c r="BC107" s="60">
        <v>4.9000000000000004</v>
      </c>
      <c r="BD107" s="61">
        <v>4.9811000000000001E-2</v>
      </c>
      <c r="BE107" s="62" t="s">
        <v>293</v>
      </c>
      <c r="BF107" s="35">
        <f t="shared" si="0"/>
        <v>4.9000000000000004</v>
      </c>
      <c r="BG107" s="35">
        <f t="shared" si="0"/>
        <v>4.9811000000000001E-2</v>
      </c>
      <c r="BH107" s="35" t="str">
        <f t="shared" si="209"/>
        <v>Low</v>
      </c>
      <c r="BI107" s="110">
        <f t="shared" si="210"/>
        <v>0</v>
      </c>
      <c r="BJ107" s="83" t="str">
        <f>VLOOKUP($F107,REP_Info!$D$6:$H$250,5,FALSE)</f>
        <v/>
      </c>
      <c r="BK107" s="30">
        <f t="shared" si="1"/>
        <v>10.461099999999998</v>
      </c>
      <c r="BL107" s="30">
        <f t="shared" si="1"/>
        <v>9.9710999999999999</v>
      </c>
      <c r="BM107" s="30">
        <f t="shared" si="1"/>
        <v>9.7261000000000006</v>
      </c>
      <c r="BN107" s="29">
        <f t="shared" si="1"/>
        <v>9.6444333333333319</v>
      </c>
      <c r="BO107" s="85" t="str">
        <f t="shared" si="2"/>
        <v>$$$</v>
      </c>
      <c r="BP107" s="88" t="str">
        <f t="shared" si="211"/>
        <v>$$$</v>
      </c>
      <c r="BQ107" s="88" t="str">
        <f t="shared" si="4"/>
        <v>$$$</v>
      </c>
      <c r="BR107" s="88" t="str">
        <f t="shared" si="5"/>
        <v>$$$</v>
      </c>
      <c r="BS107" s="29" t="e">
        <f t="shared" si="6"/>
        <v>#N/A</v>
      </c>
      <c r="BT107" s="29" t="e">
        <f t="shared" si="6"/>
        <v>#N/A</v>
      </c>
      <c r="BU107" s="29" t="e">
        <f t="shared" si="6"/>
        <v>#N/A</v>
      </c>
      <c r="BV107" s="29" t="e">
        <f t="shared" si="6"/>
        <v>#N/A</v>
      </c>
      <c r="BW107" s="29" t="e">
        <f t="shared" si="6"/>
        <v>#N/A</v>
      </c>
      <c r="BX107" s="29" t="e">
        <f t="shared" si="6"/>
        <v>#N/A</v>
      </c>
      <c r="BY107" s="29" t="e">
        <f t="shared" si="6"/>
        <v>#N/A</v>
      </c>
      <c r="BZ107" s="29" t="e">
        <f t="shared" si="6"/>
        <v>#N/A</v>
      </c>
      <c r="CA107" s="29" t="e">
        <f t="shared" si="6"/>
        <v>#N/A</v>
      </c>
      <c r="CB107" s="29" t="e">
        <f t="shared" si="6"/>
        <v>#N/A</v>
      </c>
      <c r="CC107" s="29" t="e">
        <f t="shared" si="6"/>
        <v>#N/A</v>
      </c>
      <c r="CD107" s="29" t="e">
        <f t="shared" si="6"/>
        <v>#N/A</v>
      </c>
      <c r="CE107" s="6" t="str">
        <f t="shared" si="196"/>
        <v/>
      </c>
      <c r="CF107" s="27" t="e">
        <f>IF(AND(CI107,NOT(AD107)),LOOKUP(CF$5,{0,750,1500},H107:J107),"")</f>
        <v>#N/A</v>
      </c>
      <c r="CG107" s="6" t="str">
        <f t="shared" si="197"/>
        <v/>
      </c>
      <c r="CH107" t="e">
        <f t="shared" si="212"/>
        <v>#N/A</v>
      </c>
      <c r="CI107" t="e">
        <f t="shared" si="213"/>
        <v>#N/A</v>
      </c>
      <c r="CJ107" s="6" t="e">
        <f t="shared" si="11"/>
        <v>#N/A</v>
      </c>
      <c r="CK107" s="6">
        <f t="shared" si="12"/>
        <v>1</v>
      </c>
      <c r="CL107" s="6">
        <f t="shared" si="26"/>
        <v>1</v>
      </c>
      <c r="CM107" s="6">
        <f t="shared" si="13"/>
        <v>1</v>
      </c>
      <c r="CN107" s="6">
        <f t="shared" si="14"/>
        <v>0</v>
      </c>
      <c r="CO107" s="6">
        <f t="shared" si="15"/>
        <v>1</v>
      </c>
      <c r="CP107" s="6">
        <f t="shared" si="16"/>
        <v>1</v>
      </c>
      <c r="CQ107" s="6">
        <f t="shared" si="214"/>
        <v>1</v>
      </c>
      <c r="CR107" s="81" t="str">
        <f t="shared" si="17"/>
        <v/>
      </c>
      <c r="CS107">
        <f t="shared" si="215"/>
        <v>5.9999999999999982</v>
      </c>
      <c r="CT107">
        <f t="shared" si="19"/>
        <v>150</v>
      </c>
      <c r="CU107" t="str">
        <f t="shared" si="29"/>
        <v/>
      </c>
      <c r="CV107" s="81">
        <f t="shared" si="216"/>
        <v>150</v>
      </c>
      <c r="CW107" s="81">
        <f>(CV107/25)^1.5*(Calculator!$BU$4/10000)*CW$5</f>
        <v>37.949052970673385</v>
      </c>
      <c r="CX107" t="str">
        <f t="shared" si="217"/>
        <v>$150</v>
      </c>
    </row>
    <row r="108" spans="2:102" x14ac:dyDescent="0.25">
      <c r="B108" s="115" t="s">
        <v>233</v>
      </c>
      <c r="C108" s="13">
        <v>46253.410416666666</v>
      </c>
      <c r="D108">
        <v>13536</v>
      </c>
      <c r="E108" s="54" t="s">
        <v>237</v>
      </c>
      <c r="F108" s="54" t="s">
        <v>466</v>
      </c>
      <c r="G108" s="54" t="s">
        <v>2223</v>
      </c>
      <c r="H108" s="55">
        <v>11.200000000000001</v>
      </c>
      <c r="I108" s="55">
        <v>10.8</v>
      </c>
      <c r="J108" s="55">
        <v>10.6</v>
      </c>
      <c r="K108" s="54"/>
      <c r="L108" s="56" t="b">
        <v>0</v>
      </c>
      <c r="M108" s="56" t="b">
        <v>0</v>
      </c>
      <c r="N108" s="54">
        <v>1</v>
      </c>
      <c r="O108" s="54" t="s">
        <v>228</v>
      </c>
      <c r="P108" s="54">
        <v>24</v>
      </c>
      <c r="Q108" s="54">
        <v>3</v>
      </c>
      <c r="R108" s="54">
        <v>50</v>
      </c>
      <c r="S108" s="54" t="s">
        <v>1795</v>
      </c>
      <c r="T108" s="54" t="s">
        <v>1800</v>
      </c>
      <c r="U108" s="54" t="s">
        <v>2211</v>
      </c>
      <c r="V108" s="54" t="s">
        <v>1796</v>
      </c>
      <c r="W108" s="54" t="b">
        <v>0</v>
      </c>
      <c r="X108" s="54"/>
      <c r="Y108" s="57" t="s">
        <v>2224</v>
      </c>
      <c r="Z108" s="54" t="s">
        <v>1797</v>
      </c>
      <c r="AA108" s="54"/>
      <c r="AB108" s="54" t="s">
        <v>1798</v>
      </c>
      <c r="AC108" s="56" t="b">
        <v>1</v>
      </c>
      <c r="AD108" s="56" t="b">
        <v>0</v>
      </c>
      <c r="AE108" s="54" t="s">
        <v>302</v>
      </c>
      <c r="AF108" s="58">
        <v>46253</v>
      </c>
      <c r="AG108" s="62" t="s">
        <v>293</v>
      </c>
      <c r="AH108" s="54">
        <v>0</v>
      </c>
      <c r="AI108" s="54"/>
      <c r="AJ108" s="54"/>
      <c r="AK108" s="54"/>
      <c r="AL108" s="54"/>
      <c r="AM108" s="54">
        <v>0</v>
      </c>
      <c r="AN108" s="54"/>
      <c r="AO108" s="54"/>
      <c r="AP108" s="54"/>
      <c r="AQ108" s="54"/>
      <c r="AR108" s="54"/>
      <c r="AS108" s="54"/>
      <c r="AT108" s="54"/>
      <c r="AU108" s="54"/>
      <c r="AV108" s="54"/>
      <c r="AW108" s="54"/>
      <c r="AX108" s="59"/>
      <c r="AY108" s="59"/>
      <c r="AZ108" s="59"/>
      <c r="BA108" s="59"/>
      <c r="BB108" s="59">
        <v>4.36E-2</v>
      </c>
      <c r="BC108" s="60"/>
      <c r="BD108" s="61"/>
      <c r="BE108" s="62" t="s">
        <v>293</v>
      </c>
      <c r="BF108" s="35">
        <f t="shared" si="0"/>
        <v>4.0600000000000005</v>
      </c>
      <c r="BG108" s="35">
        <f t="shared" si="0"/>
        <v>6.0295000000000001E-2</v>
      </c>
      <c r="BH108" s="35" t="str">
        <f t="shared" si="209"/>
        <v>Low</v>
      </c>
      <c r="BI108" s="110">
        <f t="shared" si="210"/>
        <v>0</v>
      </c>
      <c r="BJ108" s="83">
        <f>VLOOKUP($F108,REP_Info!$D$6:$H$250,5,FALSE)</f>
        <v>0.7</v>
      </c>
      <c r="BK108" s="30">
        <f t="shared" si="1"/>
        <v>11.201499999999999</v>
      </c>
      <c r="BL108" s="30">
        <f t="shared" si="1"/>
        <v>10.795500000000002</v>
      </c>
      <c r="BM108" s="30">
        <f t="shared" si="1"/>
        <v>10.592500000000001</v>
      </c>
      <c r="BN108" s="29">
        <f t="shared" si="1"/>
        <v>10.524833333333333</v>
      </c>
      <c r="BO108" s="85" t="str">
        <f t="shared" si="2"/>
        <v>$$$</v>
      </c>
      <c r="BP108" s="88" t="str">
        <f t="shared" si="211"/>
        <v>$$$</v>
      </c>
      <c r="BQ108" s="88" t="str">
        <f t="shared" si="4"/>
        <v>$$$</v>
      </c>
      <c r="BR108" s="88" t="str">
        <f t="shared" si="5"/>
        <v>$$$</v>
      </c>
      <c r="BS108" s="29" t="e">
        <f t="shared" si="6"/>
        <v>#N/A</v>
      </c>
      <c r="BT108" s="29" t="e">
        <f t="shared" si="6"/>
        <v>#N/A</v>
      </c>
      <c r="BU108" s="29" t="e">
        <f t="shared" si="6"/>
        <v>#N/A</v>
      </c>
      <c r="BV108" s="29" t="e">
        <f t="shared" si="6"/>
        <v>#N/A</v>
      </c>
      <c r="BW108" s="29" t="e">
        <f t="shared" si="6"/>
        <v>#N/A</v>
      </c>
      <c r="BX108" s="29" t="e">
        <f t="shared" si="6"/>
        <v>#N/A</v>
      </c>
      <c r="BY108" s="29" t="e">
        <f t="shared" si="6"/>
        <v>#N/A</v>
      </c>
      <c r="BZ108" s="29" t="e">
        <f t="shared" si="6"/>
        <v>#N/A</v>
      </c>
      <c r="CA108" s="29" t="e">
        <f t="shared" si="6"/>
        <v>#N/A</v>
      </c>
      <c r="CB108" s="29" t="e">
        <f t="shared" si="6"/>
        <v>#N/A</v>
      </c>
      <c r="CC108" s="29" t="e">
        <f t="shared" si="6"/>
        <v>#N/A</v>
      </c>
      <c r="CD108" s="29" t="e">
        <f t="shared" si="6"/>
        <v>#N/A</v>
      </c>
      <c r="CE108" s="6" t="str">
        <f t="shared" si="196"/>
        <v/>
      </c>
      <c r="CF108" s="27" t="e">
        <f>IF(AND(CI108,NOT(AD108)),LOOKUP(CF$5,{0,750,1500},H108:J108),"")</f>
        <v>#N/A</v>
      </c>
      <c r="CG108" s="6" t="str">
        <f t="shared" si="197"/>
        <v/>
      </c>
      <c r="CH108" t="e">
        <f t="shared" si="212"/>
        <v>#N/A</v>
      </c>
      <c r="CI108" t="e">
        <f t="shared" si="213"/>
        <v>#N/A</v>
      </c>
      <c r="CJ108" s="6" t="e">
        <f t="shared" si="11"/>
        <v>#N/A</v>
      </c>
      <c r="CK108" s="6">
        <f t="shared" si="12"/>
        <v>1</v>
      </c>
      <c r="CL108" s="6">
        <f t="shared" si="26"/>
        <v>1</v>
      </c>
      <c r="CM108" s="6">
        <f t="shared" si="13"/>
        <v>1</v>
      </c>
      <c r="CN108" s="6">
        <f t="shared" si="14"/>
        <v>0</v>
      </c>
      <c r="CO108" s="6">
        <f t="shared" si="15"/>
        <v>1</v>
      </c>
      <c r="CP108" s="6">
        <f t="shared" si="16"/>
        <v>1</v>
      </c>
      <c r="CQ108" s="6">
        <f t="shared" si="214"/>
        <v>1</v>
      </c>
      <c r="CR108" s="81" t="str">
        <f t="shared" si="17"/>
        <v/>
      </c>
      <c r="CS108">
        <f t="shared" si="215"/>
        <v>54</v>
      </c>
      <c r="CT108">
        <f t="shared" si="19"/>
        <v>50</v>
      </c>
      <c r="CU108" t="str">
        <f t="shared" si="29"/>
        <v/>
      </c>
      <c r="CV108" s="81">
        <f t="shared" si="216"/>
        <v>50</v>
      </c>
      <c r="CW108" s="81">
        <f>(CV108/25)^1.5*(Calculator!$BU$4/10000)*CW$5</f>
        <v>7.3032986493698795</v>
      </c>
      <c r="CX108" t="str">
        <f t="shared" si="217"/>
        <v>$50</v>
      </c>
    </row>
    <row r="109" spans="2:102" x14ac:dyDescent="0.25">
      <c r="B109" s="115" t="s">
        <v>233</v>
      </c>
      <c r="C109" s="13">
        <v>46253.410416666666</v>
      </c>
      <c r="D109">
        <v>18418</v>
      </c>
      <c r="E109" s="54" t="s">
        <v>237</v>
      </c>
      <c r="F109" s="54" t="s">
        <v>466</v>
      </c>
      <c r="G109" s="54" t="s">
        <v>1793</v>
      </c>
      <c r="H109" s="55">
        <v>19.100000000000001</v>
      </c>
      <c r="I109" s="55">
        <v>15.2</v>
      </c>
      <c r="J109" s="55">
        <v>16</v>
      </c>
      <c r="K109" s="54" t="s">
        <v>1794</v>
      </c>
      <c r="L109" s="56" t="b">
        <v>0</v>
      </c>
      <c r="M109" s="56" t="b">
        <v>0</v>
      </c>
      <c r="N109" s="54">
        <v>1</v>
      </c>
      <c r="O109" s="54" t="s">
        <v>228</v>
      </c>
      <c r="P109" s="54">
        <v>24</v>
      </c>
      <c r="Q109" s="54">
        <v>12</v>
      </c>
      <c r="R109" s="54">
        <v>150</v>
      </c>
      <c r="S109" s="54" t="s">
        <v>1795</v>
      </c>
      <c r="T109" s="54"/>
      <c r="U109" s="54" t="s">
        <v>1787</v>
      </c>
      <c r="V109" s="54" t="s">
        <v>1796</v>
      </c>
      <c r="W109" s="54" t="b">
        <v>0</v>
      </c>
      <c r="X109" s="54"/>
      <c r="Y109" s="57" t="s">
        <v>2225</v>
      </c>
      <c r="Z109" s="54" t="s">
        <v>1797</v>
      </c>
      <c r="AA109" s="54"/>
      <c r="AB109" s="54" t="s">
        <v>1798</v>
      </c>
      <c r="AC109" s="56" t="b">
        <v>0</v>
      </c>
      <c r="AD109" s="56" t="b">
        <v>1</v>
      </c>
      <c r="AE109" s="54" t="s">
        <v>302</v>
      </c>
      <c r="AF109" s="58">
        <v>46253</v>
      </c>
      <c r="AG109" s="62" t="s">
        <v>293</v>
      </c>
      <c r="AH109" s="54">
        <v>0</v>
      </c>
      <c r="AI109" s="54">
        <v>1000</v>
      </c>
      <c r="AJ109" s="54">
        <v>2000</v>
      </c>
      <c r="AK109" s="54"/>
      <c r="AL109" s="54"/>
      <c r="AM109" s="54">
        <v>0</v>
      </c>
      <c r="AN109" s="54">
        <v>-35</v>
      </c>
      <c r="AO109" s="54">
        <v>-50</v>
      </c>
      <c r="AP109" s="54"/>
      <c r="AQ109" s="54"/>
      <c r="AR109" s="54"/>
      <c r="AS109" s="54"/>
      <c r="AT109" s="54"/>
      <c r="AU109" s="54"/>
      <c r="AV109" s="54"/>
      <c r="AW109" s="54"/>
      <c r="AX109" s="59"/>
      <c r="AY109" s="59"/>
      <c r="AZ109" s="59"/>
      <c r="BA109" s="59"/>
      <c r="BB109" s="59">
        <v>0.1226</v>
      </c>
      <c r="BC109" s="60">
        <v>4.0599999999999996</v>
      </c>
      <c r="BD109" s="61">
        <v>6.0295000000000001E-2</v>
      </c>
      <c r="BE109" s="62" t="s">
        <v>293</v>
      </c>
      <c r="BF109" s="35">
        <f t="shared" si="0"/>
        <v>4.0600000000000005</v>
      </c>
      <c r="BG109" s="35">
        <f t="shared" si="0"/>
        <v>6.0295000000000001E-2</v>
      </c>
      <c r="BH109" s="35" t="str">
        <f t="shared" si="209"/>
        <v>High</v>
      </c>
      <c r="BI109" s="110">
        <f t="shared" si="210"/>
        <v>0</v>
      </c>
      <c r="BJ109" s="83">
        <f>VLOOKUP($F109,REP_Info!$D$6:$H$250,5,FALSE)</f>
        <v>0.7</v>
      </c>
      <c r="BK109" s="30">
        <f t="shared" si="1"/>
        <v>19.101500000000001</v>
      </c>
      <c r="BL109" s="30">
        <f t="shared" si="1"/>
        <v>15.195499999999997</v>
      </c>
      <c r="BM109" s="30">
        <f t="shared" si="1"/>
        <v>15.992500000000001</v>
      </c>
      <c r="BN109" s="29">
        <f t="shared" si="1"/>
        <v>16.758166666666668</v>
      </c>
      <c r="BO109" s="85" t="str">
        <f t="shared" si="2"/>
        <v>$$$</v>
      </c>
      <c r="BP109" s="88" t="str">
        <f t="shared" si="211"/>
        <v>$$$</v>
      </c>
      <c r="BQ109" s="88" t="str">
        <f t="shared" si="4"/>
        <v>$$$</v>
      </c>
      <c r="BR109" s="88" t="str">
        <f t="shared" si="5"/>
        <v>$$$</v>
      </c>
      <c r="BS109" s="29" t="e">
        <f t="shared" si="6"/>
        <v>#N/A</v>
      </c>
      <c r="BT109" s="29" t="e">
        <f t="shared" si="6"/>
        <v>#N/A</v>
      </c>
      <c r="BU109" s="29" t="e">
        <f t="shared" si="6"/>
        <v>#N/A</v>
      </c>
      <c r="BV109" s="29" t="e">
        <f t="shared" si="6"/>
        <v>#N/A</v>
      </c>
      <c r="BW109" s="29" t="e">
        <f t="shared" si="6"/>
        <v>#N/A</v>
      </c>
      <c r="BX109" s="29" t="e">
        <f t="shared" si="6"/>
        <v>#N/A</v>
      </c>
      <c r="BY109" s="29" t="e">
        <f t="shared" si="6"/>
        <v>#N/A</v>
      </c>
      <c r="BZ109" s="29" t="e">
        <f t="shared" si="6"/>
        <v>#N/A</v>
      </c>
      <c r="CA109" s="29" t="e">
        <f t="shared" si="6"/>
        <v>#N/A</v>
      </c>
      <c r="CB109" s="29" t="e">
        <f t="shared" si="6"/>
        <v>#N/A</v>
      </c>
      <c r="CC109" s="29" t="e">
        <f t="shared" si="6"/>
        <v>#N/A</v>
      </c>
      <c r="CD109" s="29" t="e">
        <f t="shared" si="6"/>
        <v>#N/A</v>
      </c>
      <c r="CE109" s="6" t="str">
        <f t="shared" si="196"/>
        <v/>
      </c>
      <c r="CF109" s="27" t="e">
        <f>IF(AND(CI109,NOT(AD109)),LOOKUP(CF$5,{0,750,1500},H109:J109),"")</f>
        <v>#N/A</v>
      </c>
      <c r="CG109" s="6" t="str">
        <f t="shared" si="197"/>
        <v/>
      </c>
      <c r="CH109" t="e">
        <f t="shared" si="212"/>
        <v>#N/A</v>
      </c>
      <c r="CI109" t="e">
        <f t="shared" si="213"/>
        <v>#N/A</v>
      </c>
      <c r="CJ109" s="6" t="e">
        <f t="shared" si="11"/>
        <v>#N/A</v>
      </c>
      <c r="CK109" s="6">
        <f t="shared" si="12"/>
        <v>1</v>
      </c>
      <c r="CL109" s="6">
        <f t="shared" si="26"/>
        <v>1</v>
      </c>
      <c r="CM109" s="6">
        <f t="shared" si="13"/>
        <v>1</v>
      </c>
      <c r="CN109" s="6">
        <f t="shared" si="14"/>
        <v>1</v>
      </c>
      <c r="CO109" s="6">
        <f t="shared" si="15"/>
        <v>1</v>
      </c>
      <c r="CP109" s="6">
        <f t="shared" si="16"/>
        <v>1</v>
      </c>
      <c r="CQ109" s="6">
        <f t="shared" si="214"/>
        <v>1</v>
      </c>
      <c r="CR109" s="81" t="str">
        <f t="shared" si="17"/>
        <v/>
      </c>
      <c r="CS109">
        <f t="shared" si="215"/>
        <v>0</v>
      </c>
      <c r="CT109">
        <f t="shared" si="19"/>
        <v>150</v>
      </c>
      <c r="CU109" t="str">
        <f t="shared" si="29"/>
        <v/>
      </c>
      <c r="CV109" s="81">
        <f t="shared" si="216"/>
        <v>150</v>
      </c>
      <c r="CW109" s="81">
        <f>(CV109/25)^1.5*(Calculator!$BU$4/10000)*CW$5</f>
        <v>37.949052970673385</v>
      </c>
      <c r="CX109" t="str">
        <f t="shared" si="217"/>
        <v>$150</v>
      </c>
    </row>
    <row r="110" spans="2:102" x14ac:dyDescent="0.25">
      <c r="B110" s="115" t="s">
        <v>233</v>
      </c>
      <c r="C110" s="13">
        <v>46253.410416666666</v>
      </c>
      <c r="D110">
        <v>18423</v>
      </c>
      <c r="E110" s="54" t="s">
        <v>235</v>
      </c>
      <c r="F110" s="54" t="s">
        <v>466</v>
      </c>
      <c r="G110" s="54" t="s">
        <v>1793</v>
      </c>
      <c r="H110" s="55">
        <v>17.8</v>
      </c>
      <c r="I110" s="55">
        <v>13.8</v>
      </c>
      <c r="J110" s="55">
        <v>14.6</v>
      </c>
      <c r="K110" s="54" t="s">
        <v>1794</v>
      </c>
      <c r="L110" s="56" t="b">
        <v>0</v>
      </c>
      <c r="M110" s="56" t="b">
        <v>0</v>
      </c>
      <c r="N110" s="54">
        <v>1</v>
      </c>
      <c r="O110" s="54" t="s">
        <v>228</v>
      </c>
      <c r="P110" s="54">
        <v>24</v>
      </c>
      <c r="Q110" s="54">
        <v>12</v>
      </c>
      <c r="R110" s="54">
        <v>150</v>
      </c>
      <c r="S110" s="54" t="s">
        <v>1795</v>
      </c>
      <c r="T110" s="54"/>
      <c r="U110" s="54" t="s">
        <v>1783</v>
      </c>
      <c r="V110" s="54" t="s">
        <v>1796</v>
      </c>
      <c r="W110" s="54" t="b">
        <v>0</v>
      </c>
      <c r="X110" s="54"/>
      <c r="Y110" s="57" t="s">
        <v>2226</v>
      </c>
      <c r="Z110" s="54" t="s">
        <v>1797</v>
      </c>
      <c r="AA110" s="54"/>
      <c r="AB110" s="54" t="s">
        <v>1798</v>
      </c>
      <c r="AC110" s="56" t="b">
        <v>0</v>
      </c>
      <c r="AD110" s="56" t="b">
        <v>1</v>
      </c>
      <c r="AE110" s="54" t="s">
        <v>302</v>
      </c>
      <c r="AF110" s="58">
        <v>46253</v>
      </c>
      <c r="AG110" s="62" t="s">
        <v>293</v>
      </c>
      <c r="AH110" s="54">
        <v>0</v>
      </c>
      <c r="AI110" s="54">
        <v>1000</v>
      </c>
      <c r="AJ110" s="54">
        <v>2000</v>
      </c>
      <c r="AK110" s="54"/>
      <c r="AL110" s="54"/>
      <c r="AM110" s="54">
        <v>0</v>
      </c>
      <c r="AN110" s="54">
        <v>-35</v>
      </c>
      <c r="AO110" s="54">
        <v>-50</v>
      </c>
      <c r="AP110" s="54"/>
      <c r="AQ110" s="54"/>
      <c r="AR110" s="54"/>
      <c r="AS110" s="54"/>
      <c r="AT110" s="54"/>
      <c r="AU110" s="54"/>
      <c r="AV110" s="54"/>
      <c r="AW110" s="54"/>
      <c r="AX110" s="59"/>
      <c r="AY110" s="59"/>
      <c r="AZ110" s="59"/>
      <c r="BA110" s="59"/>
      <c r="BB110" s="59">
        <v>0.1182</v>
      </c>
      <c r="BC110" s="60">
        <v>4.9000000000000004</v>
      </c>
      <c r="BD110" s="61">
        <v>4.9811000000000001E-2</v>
      </c>
      <c r="BE110" s="62" t="s">
        <v>293</v>
      </c>
      <c r="BF110" s="35">
        <f t="shared" si="0"/>
        <v>4.9000000000000004</v>
      </c>
      <c r="BG110" s="35">
        <f t="shared" si="0"/>
        <v>4.9811000000000001E-2</v>
      </c>
      <c r="BH110" s="35" t="str">
        <f t="shared" si="209"/>
        <v>High</v>
      </c>
      <c r="BI110" s="110">
        <f t="shared" si="210"/>
        <v>0</v>
      </c>
      <c r="BJ110" s="83">
        <f>VLOOKUP($F110,REP_Info!$D$6:$H$250,5,FALSE)</f>
        <v>0.7</v>
      </c>
      <c r="BK110" s="30">
        <f t="shared" si="1"/>
        <v>17.781100000000002</v>
      </c>
      <c r="BL110" s="30">
        <f t="shared" si="1"/>
        <v>13.7911</v>
      </c>
      <c r="BM110" s="30">
        <f t="shared" si="1"/>
        <v>14.546100000000003</v>
      </c>
      <c r="BN110" s="29">
        <f t="shared" si="1"/>
        <v>15.297766666666668</v>
      </c>
      <c r="BO110" s="85" t="str">
        <f t="shared" si="2"/>
        <v>$$$</v>
      </c>
      <c r="BP110" s="88" t="str">
        <f t="shared" si="211"/>
        <v>$$$</v>
      </c>
      <c r="BQ110" s="88" t="str">
        <f t="shared" si="4"/>
        <v>$$$</v>
      </c>
      <c r="BR110" s="88" t="str">
        <f t="shared" si="5"/>
        <v>$$$</v>
      </c>
      <c r="BS110" s="29" t="e">
        <f t="shared" si="6"/>
        <v>#N/A</v>
      </c>
      <c r="BT110" s="29" t="e">
        <f t="shared" si="6"/>
        <v>#N/A</v>
      </c>
      <c r="BU110" s="29" t="e">
        <f t="shared" si="6"/>
        <v>#N/A</v>
      </c>
      <c r="BV110" s="29" t="e">
        <f t="shared" si="6"/>
        <v>#N/A</v>
      </c>
      <c r="BW110" s="29" t="e">
        <f t="shared" si="6"/>
        <v>#N/A</v>
      </c>
      <c r="BX110" s="29" t="e">
        <f t="shared" si="6"/>
        <v>#N/A</v>
      </c>
      <c r="BY110" s="29" t="e">
        <f t="shared" si="6"/>
        <v>#N/A</v>
      </c>
      <c r="BZ110" s="29" t="e">
        <f t="shared" si="6"/>
        <v>#N/A</v>
      </c>
      <c r="CA110" s="29" t="e">
        <f t="shared" si="6"/>
        <v>#N/A</v>
      </c>
      <c r="CB110" s="29" t="e">
        <f t="shared" si="6"/>
        <v>#N/A</v>
      </c>
      <c r="CC110" s="29" t="e">
        <f t="shared" si="6"/>
        <v>#N/A</v>
      </c>
      <c r="CD110" s="29" t="e">
        <f t="shared" si="6"/>
        <v>#N/A</v>
      </c>
      <c r="CE110" s="6" t="str">
        <f t="shared" si="196"/>
        <v/>
      </c>
      <c r="CF110" s="27" t="e">
        <f>IF(AND(CI110,NOT(AD110)),LOOKUP(CF$5,{0,750,1500},H110:J110),"")</f>
        <v>#N/A</v>
      </c>
      <c r="CG110" s="6" t="str">
        <f t="shared" si="197"/>
        <v/>
      </c>
      <c r="CH110" t="e">
        <f t="shared" si="212"/>
        <v>#N/A</v>
      </c>
      <c r="CI110" t="e">
        <f t="shared" si="213"/>
        <v>#N/A</v>
      </c>
      <c r="CJ110" s="6" t="e">
        <f t="shared" si="11"/>
        <v>#N/A</v>
      </c>
      <c r="CK110" s="6">
        <f t="shared" si="12"/>
        <v>1</v>
      </c>
      <c r="CL110" s="6">
        <f t="shared" si="26"/>
        <v>1</v>
      </c>
      <c r="CM110" s="6">
        <f t="shared" si="13"/>
        <v>1</v>
      </c>
      <c r="CN110" s="6">
        <f t="shared" si="14"/>
        <v>1</v>
      </c>
      <c r="CO110" s="6">
        <f t="shared" si="15"/>
        <v>1</v>
      </c>
      <c r="CP110" s="6">
        <f t="shared" si="16"/>
        <v>1</v>
      </c>
      <c r="CQ110" s="6">
        <f t="shared" si="214"/>
        <v>1</v>
      </c>
      <c r="CR110" s="81" t="str">
        <f t="shared" si="17"/>
        <v/>
      </c>
      <c r="CS110">
        <f t="shared" si="215"/>
        <v>0</v>
      </c>
      <c r="CT110">
        <f t="shared" si="19"/>
        <v>150</v>
      </c>
      <c r="CU110" t="str">
        <f t="shared" si="29"/>
        <v/>
      </c>
      <c r="CV110" s="81">
        <f t="shared" si="216"/>
        <v>150</v>
      </c>
      <c r="CW110" s="81">
        <f>(CV110/25)^1.5*(Calculator!$BU$4/10000)*CW$5</f>
        <v>37.949052970673385</v>
      </c>
      <c r="CX110" t="str">
        <f t="shared" si="217"/>
        <v>$150</v>
      </c>
    </row>
    <row r="111" spans="2:102" x14ac:dyDescent="0.25">
      <c r="B111" s="115" t="s">
        <v>233</v>
      </c>
      <c r="C111" s="13">
        <v>46253.410416666666</v>
      </c>
      <c r="D111">
        <v>24734</v>
      </c>
      <c r="E111" s="54" t="s">
        <v>235</v>
      </c>
      <c r="F111" s="54" t="s">
        <v>466</v>
      </c>
      <c r="G111" s="54" t="s">
        <v>1799</v>
      </c>
      <c r="H111" s="55">
        <v>11.799999999999999</v>
      </c>
      <c r="I111" s="55">
        <v>11.3</v>
      </c>
      <c r="J111" s="55">
        <v>11.1</v>
      </c>
      <c r="K111" s="54"/>
      <c r="L111" s="56" t="b">
        <v>0</v>
      </c>
      <c r="M111" s="56" t="b">
        <v>0</v>
      </c>
      <c r="N111" s="54">
        <v>1</v>
      </c>
      <c r="O111" s="54" t="s">
        <v>228</v>
      </c>
      <c r="P111" s="54">
        <v>24</v>
      </c>
      <c r="Q111" s="54">
        <v>11</v>
      </c>
      <c r="R111" s="54">
        <v>50</v>
      </c>
      <c r="S111" s="54" t="s">
        <v>1795</v>
      </c>
      <c r="T111" s="54"/>
      <c r="U111" s="54" t="s">
        <v>1781</v>
      </c>
      <c r="V111" s="54" t="s">
        <v>1796</v>
      </c>
      <c r="W111" s="54" t="b">
        <v>0</v>
      </c>
      <c r="X111" s="54"/>
      <c r="Y111" s="57" t="s">
        <v>2227</v>
      </c>
      <c r="Z111" s="54" t="s">
        <v>1797</v>
      </c>
      <c r="AA111" s="54"/>
      <c r="AB111" s="54" t="s">
        <v>1798</v>
      </c>
      <c r="AC111" s="56" t="b">
        <v>1</v>
      </c>
      <c r="AD111" s="56" t="b">
        <v>0</v>
      </c>
      <c r="AE111" s="54" t="s">
        <v>302</v>
      </c>
      <c r="AF111" s="58">
        <v>46253</v>
      </c>
      <c r="AG111" s="62" t="s">
        <v>293</v>
      </c>
      <c r="AH111" s="54">
        <v>0</v>
      </c>
      <c r="AI111" s="54"/>
      <c r="AJ111" s="54"/>
      <c r="AK111" s="54"/>
      <c r="AL111" s="54"/>
      <c r="AM111" s="54">
        <v>0</v>
      </c>
      <c r="AN111" s="54"/>
      <c r="AO111" s="54"/>
      <c r="AP111" s="54"/>
      <c r="AQ111" s="54"/>
      <c r="AR111" s="54"/>
      <c r="AS111" s="54"/>
      <c r="AT111" s="54"/>
      <c r="AU111" s="54"/>
      <c r="AV111" s="54"/>
      <c r="AW111" s="54"/>
      <c r="AX111" s="59"/>
      <c r="AY111" s="59"/>
      <c r="AZ111" s="59"/>
      <c r="BA111" s="59"/>
      <c r="BB111" s="59">
        <v>5.8200000000000002E-2</v>
      </c>
      <c r="BC111" s="60"/>
      <c r="BD111" s="61"/>
      <c r="BE111" s="62" t="s">
        <v>293</v>
      </c>
      <c r="BF111" s="35">
        <f t="shared" si="0"/>
        <v>4.9000000000000004</v>
      </c>
      <c r="BG111" s="35">
        <f t="shared" si="0"/>
        <v>4.9811000000000001E-2</v>
      </c>
      <c r="BH111" s="35" t="str">
        <f t="shared" si="209"/>
        <v>Low</v>
      </c>
      <c r="BI111" s="110">
        <f t="shared" si="210"/>
        <v>0</v>
      </c>
      <c r="BJ111" s="83">
        <f>VLOOKUP($F111,REP_Info!$D$6:$H$250,5,FALSE)</f>
        <v>0.7</v>
      </c>
      <c r="BK111" s="30">
        <f t="shared" si="1"/>
        <v>11.7811</v>
      </c>
      <c r="BL111" s="30">
        <f t="shared" si="1"/>
        <v>11.2911</v>
      </c>
      <c r="BM111" s="30">
        <f t="shared" si="1"/>
        <v>11.046100000000003</v>
      </c>
      <c r="BN111" s="29">
        <f t="shared" si="1"/>
        <v>10.964433333333334</v>
      </c>
      <c r="BO111" s="85" t="str">
        <f t="shared" si="2"/>
        <v>$$$</v>
      </c>
      <c r="BP111" s="88" t="str">
        <f t="shared" si="211"/>
        <v>$$$</v>
      </c>
      <c r="BQ111" s="88" t="str">
        <f t="shared" si="4"/>
        <v>$$$</v>
      </c>
      <c r="BR111" s="88" t="str">
        <f t="shared" si="5"/>
        <v>$$$</v>
      </c>
      <c r="BS111" s="29" t="e">
        <f t="shared" si="6"/>
        <v>#N/A</v>
      </c>
      <c r="BT111" s="29" t="e">
        <f t="shared" si="6"/>
        <v>#N/A</v>
      </c>
      <c r="BU111" s="29" t="e">
        <f t="shared" si="6"/>
        <v>#N/A</v>
      </c>
      <c r="BV111" s="29" t="e">
        <f t="shared" si="6"/>
        <v>#N/A</v>
      </c>
      <c r="BW111" s="29" t="e">
        <f t="shared" si="6"/>
        <v>#N/A</v>
      </c>
      <c r="BX111" s="29" t="e">
        <f t="shared" si="6"/>
        <v>#N/A</v>
      </c>
      <c r="BY111" s="29" t="e">
        <f t="shared" si="6"/>
        <v>#N/A</v>
      </c>
      <c r="BZ111" s="29" t="e">
        <f t="shared" si="6"/>
        <v>#N/A</v>
      </c>
      <c r="CA111" s="29" t="e">
        <f t="shared" si="6"/>
        <v>#N/A</v>
      </c>
      <c r="CB111" s="29" t="e">
        <f t="shared" si="6"/>
        <v>#N/A</v>
      </c>
      <c r="CC111" s="29" t="e">
        <f t="shared" si="6"/>
        <v>#N/A</v>
      </c>
      <c r="CD111" s="29" t="e">
        <f t="shared" si="6"/>
        <v>#N/A</v>
      </c>
      <c r="CE111" s="6" t="str">
        <f t="shared" si="196"/>
        <v/>
      </c>
      <c r="CF111" s="27" t="e">
        <f>IF(AND(CI111,NOT(AD111)),LOOKUP(CF$5,{0,750,1500},H111:J111),"")</f>
        <v>#N/A</v>
      </c>
      <c r="CG111" s="6" t="str">
        <f t="shared" si="197"/>
        <v/>
      </c>
      <c r="CH111" t="e">
        <f t="shared" si="212"/>
        <v>#N/A</v>
      </c>
      <c r="CI111" t="e">
        <f t="shared" si="213"/>
        <v>#N/A</v>
      </c>
      <c r="CJ111" s="6" t="e">
        <f t="shared" si="11"/>
        <v>#N/A</v>
      </c>
      <c r="CK111" s="6">
        <f t="shared" si="12"/>
        <v>1</v>
      </c>
      <c r="CL111" s="6">
        <f t="shared" si="26"/>
        <v>1</v>
      </c>
      <c r="CM111" s="6">
        <f t="shared" si="13"/>
        <v>1</v>
      </c>
      <c r="CN111" s="6">
        <f t="shared" si="14"/>
        <v>0</v>
      </c>
      <c r="CO111" s="6">
        <f t="shared" si="15"/>
        <v>1</v>
      </c>
      <c r="CP111" s="6">
        <f t="shared" si="16"/>
        <v>1</v>
      </c>
      <c r="CQ111" s="6">
        <f t="shared" si="214"/>
        <v>1</v>
      </c>
      <c r="CR111" s="81" t="str">
        <f t="shared" si="17"/>
        <v/>
      </c>
      <c r="CS111">
        <f t="shared" si="215"/>
        <v>1.6363636363636349</v>
      </c>
      <c r="CT111">
        <f t="shared" si="19"/>
        <v>50</v>
      </c>
      <c r="CU111" t="str">
        <f t="shared" si="29"/>
        <v/>
      </c>
      <c r="CV111" s="81">
        <f t="shared" si="216"/>
        <v>50</v>
      </c>
      <c r="CW111" s="81">
        <f>(CV111/25)^1.5*(Calculator!$BU$4/10000)*CW$5</f>
        <v>7.3032986493698795</v>
      </c>
      <c r="CX111" t="str">
        <f t="shared" si="217"/>
        <v>$50</v>
      </c>
    </row>
    <row r="112" spans="2:102" x14ac:dyDescent="0.25">
      <c r="B112" s="115" t="s">
        <v>233</v>
      </c>
      <c r="C112" s="13">
        <v>46253.410416666666</v>
      </c>
      <c r="D112">
        <v>25248</v>
      </c>
      <c r="E112" s="54" t="s">
        <v>235</v>
      </c>
      <c r="F112" s="54" t="s">
        <v>466</v>
      </c>
      <c r="G112" s="54" t="s">
        <v>2228</v>
      </c>
      <c r="H112" s="55">
        <v>10.7</v>
      </c>
      <c r="I112" s="55">
        <v>10.199999999999999</v>
      </c>
      <c r="J112" s="55">
        <v>10</v>
      </c>
      <c r="K112" s="54"/>
      <c r="L112" s="56" t="b">
        <v>0</v>
      </c>
      <c r="M112" s="56" t="b">
        <v>0</v>
      </c>
      <c r="N112" s="54">
        <v>1</v>
      </c>
      <c r="O112" s="54" t="s">
        <v>228</v>
      </c>
      <c r="P112" s="54">
        <v>24</v>
      </c>
      <c r="Q112" s="54">
        <v>4</v>
      </c>
      <c r="R112" s="54">
        <v>50</v>
      </c>
      <c r="S112" s="54" t="s">
        <v>1795</v>
      </c>
      <c r="T112" s="54" t="s">
        <v>1800</v>
      </c>
      <c r="U112" s="54" t="s">
        <v>2213</v>
      </c>
      <c r="V112" s="54" t="s">
        <v>1796</v>
      </c>
      <c r="W112" s="54" t="b">
        <v>0</v>
      </c>
      <c r="X112" s="54"/>
      <c r="Y112" s="57" t="s">
        <v>2229</v>
      </c>
      <c r="Z112" s="54" t="s">
        <v>1797</v>
      </c>
      <c r="AA112" s="54"/>
      <c r="AB112" s="54" t="s">
        <v>1798</v>
      </c>
      <c r="AC112" s="56" t="b">
        <v>1</v>
      </c>
      <c r="AD112" s="56" t="b">
        <v>0</v>
      </c>
      <c r="AE112" s="54" t="s">
        <v>302</v>
      </c>
      <c r="AF112" s="58">
        <v>46253</v>
      </c>
      <c r="AG112" s="62" t="s">
        <v>293</v>
      </c>
      <c r="AH112" s="54">
        <v>0</v>
      </c>
      <c r="AI112" s="54"/>
      <c r="AJ112" s="54"/>
      <c r="AK112" s="54"/>
      <c r="AL112" s="54"/>
      <c r="AM112" s="54">
        <v>0</v>
      </c>
      <c r="AN112" s="54"/>
      <c r="AO112" s="54"/>
      <c r="AP112" s="54"/>
      <c r="AQ112" s="54"/>
      <c r="AR112" s="54"/>
      <c r="AS112" s="54"/>
      <c r="AT112" s="54"/>
      <c r="AU112" s="54"/>
      <c r="AV112" s="54"/>
      <c r="AW112" s="54"/>
      <c r="AX112" s="59"/>
      <c r="AY112" s="59"/>
      <c r="AZ112" s="59"/>
      <c r="BA112" s="59"/>
      <c r="BB112" s="59">
        <v>4.7199999999999999E-2</v>
      </c>
      <c r="BC112" s="60"/>
      <c r="BD112" s="61"/>
      <c r="BE112" s="62" t="s">
        <v>293</v>
      </c>
      <c r="BF112" s="35">
        <f t="shared" si="0"/>
        <v>4.9000000000000004</v>
      </c>
      <c r="BG112" s="35">
        <f t="shared" si="0"/>
        <v>4.9811000000000001E-2</v>
      </c>
      <c r="BH112" s="35" t="str">
        <f t="shared" si="209"/>
        <v>Low</v>
      </c>
      <c r="BI112" s="110">
        <f t="shared" si="210"/>
        <v>0</v>
      </c>
      <c r="BJ112" s="83">
        <f>VLOOKUP($F112,REP_Info!$D$6:$H$250,5,FALSE)</f>
        <v>0.7</v>
      </c>
      <c r="BK112" s="30">
        <f t="shared" si="1"/>
        <v>10.681100000000001</v>
      </c>
      <c r="BL112" s="30">
        <f t="shared" si="1"/>
        <v>10.1911</v>
      </c>
      <c r="BM112" s="30">
        <f t="shared" si="1"/>
        <v>9.9460999999999995</v>
      </c>
      <c r="BN112" s="29">
        <f t="shared" si="1"/>
        <v>9.8644333333333325</v>
      </c>
      <c r="BO112" s="85" t="str">
        <f t="shared" si="2"/>
        <v>$$$</v>
      </c>
      <c r="BP112" s="88" t="str">
        <f t="shared" si="211"/>
        <v>$$$</v>
      </c>
      <c r="BQ112" s="88" t="str">
        <f t="shared" si="4"/>
        <v>$$$</v>
      </c>
      <c r="BR112" s="88" t="str">
        <f t="shared" si="5"/>
        <v>$$$</v>
      </c>
      <c r="BS112" s="29" t="e">
        <f t="shared" si="6"/>
        <v>#N/A</v>
      </c>
      <c r="BT112" s="29" t="e">
        <f t="shared" si="6"/>
        <v>#N/A</v>
      </c>
      <c r="BU112" s="29" t="e">
        <f t="shared" si="6"/>
        <v>#N/A</v>
      </c>
      <c r="BV112" s="29" t="e">
        <f t="shared" si="6"/>
        <v>#N/A</v>
      </c>
      <c r="BW112" s="29" t="e">
        <f t="shared" si="6"/>
        <v>#N/A</v>
      </c>
      <c r="BX112" s="29" t="e">
        <f t="shared" si="6"/>
        <v>#N/A</v>
      </c>
      <c r="BY112" s="29" t="e">
        <f t="shared" si="6"/>
        <v>#N/A</v>
      </c>
      <c r="BZ112" s="29" t="e">
        <f t="shared" si="6"/>
        <v>#N/A</v>
      </c>
      <c r="CA112" s="29" t="e">
        <f t="shared" si="6"/>
        <v>#N/A</v>
      </c>
      <c r="CB112" s="29" t="e">
        <f t="shared" si="6"/>
        <v>#N/A</v>
      </c>
      <c r="CC112" s="29" t="e">
        <f t="shared" si="6"/>
        <v>#N/A</v>
      </c>
      <c r="CD112" s="29" t="e">
        <f t="shared" si="6"/>
        <v>#N/A</v>
      </c>
      <c r="CE112" s="6" t="str">
        <f t="shared" si="196"/>
        <v/>
      </c>
      <c r="CF112" s="27" t="e">
        <f>IF(AND(CI112,NOT(AD112)),LOOKUP(CF$5,{0,750,1500},H112:J112),"")</f>
        <v>#N/A</v>
      </c>
      <c r="CG112" s="6" t="str">
        <f t="shared" si="197"/>
        <v/>
      </c>
      <c r="CH112" t="e">
        <f t="shared" si="212"/>
        <v>#N/A</v>
      </c>
      <c r="CI112" t="e">
        <f t="shared" si="213"/>
        <v>#N/A</v>
      </c>
      <c r="CJ112" s="6" t="e">
        <f t="shared" si="11"/>
        <v>#N/A</v>
      </c>
      <c r="CK112" s="6">
        <f t="shared" si="12"/>
        <v>1</v>
      </c>
      <c r="CL112" s="6">
        <f t="shared" si="26"/>
        <v>1</v>
      </c>
      <c r="CM112" s="6">
        <f t="shared" si="13"/>
        <v>1</v>
      </c>
      <c r="CN112" s="6">
        <f t="shared" si="14"/>
        <v>0</v>
      </c>
      <c r="CO112" s="6">
        <f t="shared" si="15"/>
        <v>1</v>
      </c>
      <c r="CP112" s="6">
        <f t="shared" si="16"/>
        <v>1</v>
      </c>
      <c r="CQ112" s="6">
        <f t="shared" si="214"/>
        <v>1</v>
      </c>
      <c r="CR112" s="81" t="str">
        <f t="shared" si="17"/>
        <v/>
      </c>
      <c r="CS112">
        <f t="shared" si="215"/>
        <v>36</v>
      </c>
      <c r="CT112">
        <f t="shared" si="19"/>
        <v>50</v>
      </c>
      <c r="CU112" t="str">
        <f t="shared" si="29"/>
        <v/>
      </c>
      <c r="CV112" s="81">
        <f t="shared" si="216"/>
        <v>50</v>
      </c>
      <c r="CW112" s="81">
        <f>(CV112/25)^1.5*(Calculator!$BU$4/10000)*CW$5</f>
        <v>7.3032986493698795</v>
      </c>
      <c r="CX112" t="str">
        <f t="shared" si="217"/>
        <v>$50</v>
      </c>
    </row>
    <row r="113" spans="2:102" x14ac:dyDescent="0.25">
      <c r="B113" s="115" t="s">
        <v>233</v>
      </c>
      <c r="C113" s="13">
        <v>46253.410416666666</v>
      </c>
      <c r="D113">
        <v>35104</v>
      </c>
      <c r="E113" s="54" t="s">
        <v>235</v>
      </c>
      <c r="F113" s="54" t="s">
        <v>466</v>
      </c>
      <c r="G113" s="54" t="s">
        <v>1801</v>
      </c>
      <c r="H113" s="55">
        <v>14.899999999999999</v>
      </c>
      <c r="I113" s="55">
        <v>10.9</v>
      </c>
      <c r="J113" s="55">
        <v>11.700000000000001</v>
      </c>
      <c r="K113" s="54" t="s">
        <v>1794</v>
      </c>
      <c r="L113" s="56" t="b">
        <v>0</v>
      </c>
      <c r="M113" s="56" t="b">
        <v>0</v>
      </c>
      <c r="N113" s="54">
        <v>1</v>
      </c>
      <c r="O113" s="54" t="s">
        <v>228</v>
      </c>
      <c r="P113" s="54">
        <v>24</v>
      </c>
      <c r="Q113" s="54">
        <v>14</v>
      </c>
      <c r="R113" s="54">
        <v>150</v>
      </c>
      <c r="S113" s="54" t="s">
        <v>1795</v>
      </c>
      <c r="T113" s="54"/>
      <c r="U113" s="54" t="s">
        <v>1791</v>
      </c>
      <c r="V113" s="54" t="s">
        <v>1796</v>
      </c>
      <c r="W113" s="54" t="b">
        <v>0</v>
      </c>
      <c r="X113" s="54"/>
      <c r="Y113" s="57" t="s">
        <v>2230</v>
      </c>
      <c r="Z113" s="54" t="s">
        <v>1797</v>
      </c>
      <c r="AA113" s="54"/>
      <c r="AB113" s="54" t="s">
        <v>1798</v>
      </c>
      <c r="AC113" s="56" t="b">
        <v>0</v>
      </c>
      <c r="AD113" s="56" t="b">
        <v>1</v>
      </c>
      <c r="AE113" s="54" t="s">
        <v>302</v>
      </c>
      <c r="AF113" s="58">
        <v>46253</v>
      </c>
      <c r="AG113" s="62" t="s">
        <v>293</v>
      </c>
      <c r="AH113" s="54">
        <v>0</v>
      </c>
      <c r="AI113" s="54">
        <v>1000</v>
      </c>
      <c r="AJ113" s="54">
        <v>2000</v>
      </c>
      <c r="AK113" s="54"/>
      <c r="AL113" s="54"/>
      <c r="AM113" s="54">
        <v>0</v>
      </c>
      <c r="AN113" s="54">
        <v>-35</v>
      </c>
      <c r="AO113" s="54">
        <v>-50</v>
      </c>
      <c r="AP113" s="54"/>
      <c r="AQ113" s="54"/>
      <c r="AR113" s="54"/>
      <c r="AS113" s="54"/>
      <c r="AT113" s="54"/>
      <c r="AU113" s="54"/>
      <c r="AV113" s="54"/>
      <c r="AW113" s="54"/>
      <c r="AX113" s="59"/>
      <c r="AY113" s="59"/>
      <c r="AZ113" s="59"/>
      <c r="BA113" s="59"/>
      <c r="BB113" s="59">
        <v>8.9200000000000002E-2</v>
      </c>
      <c r="BC113" s="60">
        <v>4.9000000000000004</v>
      </c>
      <c r="BD113" s="61">
        <v>4.9811000000000001E-2</v>
      </c>
      <c r="BE113" s="62" t="s">
        <v>293</v>
      </c>
      <c r="BF113" s="35">
        <f t="shared" si="0"/>
        <v>4.9000000000000004</v>
      </c>
      <c r="BG113" s="35">
        <f t="shared" si="0"/>
        <v>4.9811000000000001E-2</v>
      </c>
      <c r="BH113" s="35" t="str">
        <f t="shared" si="209"/>
        <v>High</v>
      </c>
      <c r="BI113" s="110">
        <f t="shared" si="210"/>
        <v>0</v>
      </c>
      <c r="BJ113" s="83">
        <f>VLOOKUP($F113,REP_Info!$D$6:$H$250,5,FALSE)</f>
        <v>0.7</v>
      </c>
      <c r="BK113" s="30">
        <f t="shared" si="1"/>
        <v>14.8811</v>
      </c>
      <c r="BL113" s="30">
        <f t="shared" si="1"/>
        <v>10.8911</v>
      </c>
      <c r="BM113" s="30">
        <f t="shared" si="1"/>
        <v>11.646100000000002</v>
      </c>
      <c r="BN113" s="29">
        <f t="shared" si="1"/>
        <v>12.397766666666667</v>
      </c>
      <c r="BO113" s="85" t="str">
        <f t="shared" si="2"/>
        <v>$$$</v>
      </c>
      <c r="BP113" s="88" t="str">
        <f t="shared" si="211"/>
        <v>$$$</v>
      </c>
      <c r="BQ113" s="88" t="str">
        <f t="shared" si="4"/>
        <v>$$$</v>
      </c>
      <c r="BR113" s="88" t="str">
        <f t="shared" si="5"/>
        <v>$$$</v>
      </c>
      <c r="BS113" s="29" t="e">
        <f t="shared" si="6"/>
        <v>#N/A</v>
      </c>
      <c r="BT113" s="29" t="e">
        <f t="shared" si="6"/>
        <v>#N/A</v>
      </c>
      <c r="BU113" s="29" t="e">
        <f t="shared" si="6"/>
        <v>#N/A</v>
      </c>
      <c r="BV113" s="29" t="e">
        <f t="shared" si="6"/>
        <v>#N/A</v>
      </c>
      <c r="BW113" s="29" t="e">
        <f t="shared" si="6"/>
        <v>#N/A</v>
      </c>
      <c r="BX113" s="29" t="e">
        <f t="shared" si="6"/>
        <v>#N/A</v>
      </c>
      <c r="BY113" s="29" t="e">
        <f t="shared" si="6"/>
        <v>#N/A</v>
      </c>
      <c r="BZ113" s="29" t="e">
        <f t="shared" si="6"/>
        <v>#N/A</v>
      </c>
      <c r="CA113" s="29" t="e">
        <f t="shared" si="6"/>
        <v>#N/A</v>
      </c>
      <c r="CB113" s="29" t="e">
        <f t="shared" si="6"/>
        <v>#N/A</v>
      </c>
      <c r="CC113" s="29" t="e">
        <f t="shared" si="6"/>
        <v>#N/A</v>
      </c>
      <c r="CD113" s="29" t="e">
        <f t="shared" si="6"/>
        <v>#N/A</v>
      </c>
      <c r="CE113" s="6" t="str">
        <f t="shared" si="196"/>
        <v/>
      </c>
      <c r="CF113" s="27" t="e">
        <f>IF(AND(CI113,NOT(AD113)),LOOKUP(CF$5,{0,750,1500},H113:J113),"")</f>
        <v>#N/A</v>
      </c>
      <c r="CG113" s="6" t="str">
        <f t="shared" si="197"/>
        <v/>
      </c>
      <c r="CH113" t="e">
        <f t="shared" si="212"/>
        <v>#N/A</v>
      </c>
      <c r="CI113" t="e">
        <f t="shared" si="213"/>
        <v>#N/A</v>
      </c>
      <c r="CJ113" s="6" t="e">
        <f t="shared" si="11"/>
        <v>#N/A</v>
      </c>
      <c r="CK113" s="6">
        <f t="shared" si="12"/>
        <v>1</v>
      </c>
      <c r="CL113" s="6">
        <f t="shared" si="26"/>
        <v>1</v>
      </c>
      <c r="CM113" s="6">
        <f t="shared" si="13"/>
        <v>1</v>
      </c>
      <c r="CN113" s="6">
        <f t="shared" si="14"/>
        <v>1</v>
      </c>
      <c r="CO113" s="6">
        <f t="shared" si="15"/>
        <v>0</v>
      </c>
      <c r="CP113" s="6">
        <f t="shared" si="16"/>
        <v>1</v>
      </c>
      <c r="CQ113" s="6">
        <f t="shared" si="214"/>
        <v>1</v>
      </c>
      <c r="CR113" s="81" t="str">
        <f t="shared" si="17"/>
        <v/>
      </c>
      <c r="CS113">
        <f t="shared" si="215"/>
        <v>0</v>
      </c>
      <c r="CT113">
        <f t="shared" si="19"/>
        <v>150</v>
      </c>
      <c r="CU113" t="str">
        <f t="shared" si="29"/>
        <v/>
      </c>
      <c r="CV113" s="81">
        <f t="shared" si="216"/>
        <v>150</v>
      </c>
      <c r="CW113" s="81">
        <f>(CV113/25)^1.5*(Calculator!$BU$4/10000)*CW$5</f>
        <v>37.949052970673385</v>
      </c>
      <c r="CX113" t="str">
        <f t="shared" si="217"/>
        <v>$150</v>
      </c>
    </row>
    <row r="114" spans="2:102" x14ac:dyDescent="0.25">
      <c r="B114" s="115" t="s">
        <v>233</v>
      </c>
      <c r="C114" s="13">
        <v>46253.410416666666</v>
      </c>
      <c r="D114">
        <v>36171</v>
      </c>
      <c r="E114" s="54" t="s">
        <v>235</v>
      </c>
      <c r="F114" s="54" t="s">
        <v>466</v>
      </c>
      <c r="G114" s="54" t="s">
        <v>1802</v>
      </c>
      <c r="H114" s="55">
        <v>15.9</v>
      </c>
      <c r="I114" s="55">
        <v>11.899999999999999</v>
      </c>
      <c r="J114" s="55">
        <v>12.7</v>
      </c>
      <c r="K114" s="54" t="s">
        <v>1794</v>
      </c>
      <c r="L114" s="56" t="b">
        <v>0</v>
      </c>
      <c r="M114" s="56" t="b">
        <v>0</v>
      </c>
      <c r="N114" s="54">
        <v>1</v>
      </c>
      <c r="O114" s="54" t="s">
        <v>228</v>
      </c>
      <c r="P114" s="54">
        <v>24</v>
      </c>
      <c r="Q114" s="54">
        <v>36</v>
      </c>
      <c r="R114" s="54">
        <v>150</v>
      </c>
      <c r="S114" s="54" t="s">
        <v>1795</v>
      </c>
      <c r="T114" s="54"/>
      <c r="U114" s="54" t="s">
        <v>1789</v>
      </c>
      <c r="V114" s="54" t="s">
        <v>1796</v>
      </c>
      <c r="W114" s="54" t="b">
        <v>0</v>
      </c>
      <c r="X114" s="54"/>
      <c r="Y114" s="57" t="s">
        <v>2231</v>
      </c>
      <c r="Z114" s="54" t="s">
        <v>1797</v>
      </c>
      <c r="AA114" s="54"/>
      <c r="AB114" s="54" t="s">
        <v>1798</v>
      </c>
      <c r="AC114" s="56" t="b">
        <v>0</v>
      </c>
      <c r="AD114" s="56" t="b">
        <v>1</v>
      </c>
      <c r="AE114" s="54" t="s">
        <v>302</v>
      </c>
      <c r="AF114" s="58">
        <v>46253</v>
      </c>
      <c r="AG114" s="62" t="s">
        <v>293</v>
      </c>
      <c r="AH114" s="54">
        <v>0</v>
      </c>
      <c r="AI114" s="54">
        <v>1000</v>
      </c>
      <c r="AJ114" s="54">
        <v>2000</v>
      </c>
      <c r="AK114" s="54"/>
      <c r="AL114" s="54"/>
      <c r="AM114" s="54">
        <v>0</v>
      </c>
      <c r="AN114" s="54">
        <v>-35</v>
      </c>
      <c r="AO114" s="54">
        <v>-50</v>
      </c>
      <c r="AP114" s="54"/>
      <c r="AQ114" s="54"/>
      <c r="AR114" s="54"/>
      <c r="AS114" s="54"/>
      <c r="AT114" s="54"/>
      <c r="AU114" s="54"/>
      <c r="AV114" s="54"/>
      <c r="AW114" s="54"/>
      <c r="AX114" s="59"/>
      <c r="AY114" s="59"/>
      <c r="AZ114" s="59"/>
      <c r="BA114" s="59"/>
      <c r="BB114" s="59">
        <v>9.9199999999999997E-2</v>
      </c>
      <c r="BC114" s="60">
        <v>4.9000000000000004</v>
      </c>
      <c r="BD114" s="61">
        <v>4.9811000000000001E-2</v>
      </c>
      <c r="BE114" s="62" t="s">
        <v>293</v>
      </c>
      <c r="BF114" s="35">
        <f t="shared" si="0"/>
        <v>4.9000000000000004</v>
      </c>
      <c r="BG114" s="35">
        <f t="shared" si="0"/>
        <v>4.9811000000000001E-2</v>
      </c>
      <c r="BH114" s="35" t="str">
        <f t="shared" si="209"/>
        <v>High</v>
      </c>
      <c r="BI114" s="110">
        <f t="shared" si="210"/>
        <v>0</v>
      </c>
      <c r="BJ114" s="83">
        <f>VLOOKUP($F114,REP_Info!$D$6:$H$250,5,FALSE)</f>
        <v>0.7</v>
      </c>
      <c r="BK114" s="30">
        <f t="shared" si="1"/>
        <v>15.8811</v>
      </c>
      <c r="BL114" s="30">
        <f t="shared" si="1"/>
        <v>11.8911</v>
      </c>
      <c r="BM114" s="30">
        <f t="shared" si="1"/>
        <v>12.646100000000002</v>
      </c>
      <c r="BN114" s="29">
        <f t="shared" si="1"/>
        <v>13.397766666666667</v>
      </c>
      <c r="BO114" s="85" t="str">
        <f t="shared" si="2"/>
        <v>$$$</v>
      </c>
      <c r="BP114" s="88" t="str">
        <f t="shared" si="211"/>
        <v>$$$</v>
      </c>
      <c r="BQ114" s="88" t="str">
        <f t="shared" si="4"/>
        <v>$$$</v>
      </c>
      <c r="BR114" s="88" t="str">
        <f t="shared" si="5"/>
        <v>$$$</v>
      </c>
      <c r="BS114" s="29" t="e">
        <f t="shared" si="6"/>
        <v>#N/A</v>
      </c>
      <c r="BT114" s="29" t="e">
        <f t="shared" si="6"/>
        <v>#N/A</v>
      </c>
      <c r="BU114" s="29" t="e">
        <f t="shared" si="6"/>
        <v>#N/A</v>
      </c>
      <c r="BV114" s="29" t="e">
        <f t="shared" ref="BS114:CD135" si="218">IF($CI114,IF(BV$7&gt;0,IF(BV$4&gt;$Q114,$BF114+BV$7*(BV$5+$BG114+$BI114),LOOKUP(BV$7,$AH114:$AL114,$AM114:$AQ114)+IF($AG114="Y",SUMPRODUCT($AX114:$BB114-$AW114:$BA114,BV$7-$AR114:$AV114,N(BV$7&gt;$AR114:$AV114)),BV$7*LOOKUP(BV$7,$AR114:$AV114,$AX114:$BB114))+IF($BE114="Y",$BF114,$BC114)+BV$7*IF($BE114="Y",$BG114,$BD114))*100/BV$7,""),NA())</f>
        <v>#N/A</v>
      </c>
      <c r="BW114" s="29" t="e">
        <f t="shared" si="218"/>
        <v>#N/A</v>
      </c>
      <c r="BX114" s="29" t="e">
        <f t="shared" si="218"/>
        <v>#N/A</v>
      </c>
      <c r="BY114" s="29" t="e">
        <f t="shared" si="218"/>
        <v>#N/A</v>
      </c>
      <c r="BZ114" s="29" t="e">
        <f t="shared" si="218"/>
        <v>#N/A</v>
      </c>
      <c r="CA114" s="29" t="e">
        <f t="shared" si="218"/>
        <v>#N/A</v>
      </c>
      <c r="CB114" s="29" t="e">
        <f t="shared" si="218"/>
        <v>#N/A</v>
      </c>
      <c r="CC114" s="29" t="e">
        <f t="shared" si="218"/>
        <v>#N/A</v>
      </c>
      <c r="CD114" s="29" t="e">
        <f t="shared" si="218"/>
        <v>#N/A</v>
      </c>
      <c r="CE114" s="6" t="str">
        <f t="shared" si="196"/>
        <v/>
      </c>
      <c r="CF114" s="27" t="e">
        <f>IF(AND(CI114,NOT(AD114)),LOOKUP(CF$5,{0,750,1500},H114:J114),"")</f>
        <v>#N/A</v>
      </c>
      <c r="CG114" s="6" t="str">
        <f t="shared" si="197"/>
        <v/>
      </c>
      <c r="CH114" t="e">
        <f t="shared" si="212"/>
        <v>#N/A</v>
      </c>
      <c r="CI114" t="e">
        <f t="shared" si="213"/>
        <v>#N/A</v>
      </c>
      <c r="CJ114" s="6" t="e">
        <f t="shared" si="11"/>
        <v>#N/A</v>
      </c>
      <c r="CK114" s="6">
        <f t="shared" si="12"/>
        <v>1</v>
      </c>
      <c r="CL114" s="6">
        <f t="shared" si="26"/>
        <v>1</v>
      </c>
      <c r="CM114" s="6">
        <f t="shared" si="13"/>
        <v>1</v>
      </c>
      <c r="CN114" s="6">
        <f t="shared" si="14"/>
        <v>1</v>
      </c>
      <c r="CO114" s="6">
        <f t="shared" si="15"/>
        <v>0</v>
      </c>
      <c r="CP114" s="6">
        <f t="shared" si="16"/>
        <v>1</v>
      </c>
      <c r="CQ114" s="6">
        <f t="shared" si="214"/>
        <v>1</v>
      </c>
      <c r="CR114" s="81" t="str">
        <f t="shared" si="17"/>
        <v/>
      </c>
      <c r="CS114">
        <f t="shared" si="215"/>
        <v>0</v>
      </c>
      <c r="CT114">
        <f t="shared" si="19"/>
        <v>150</v>
      </c>
      <c r="CU114" t="str">
        <f t="shared" si="29"/>
        <v/>
      </c>
      <c r="CV114" s="81">
        <f t="shared" si="216"/>
        <v>150</v>
      </c>
      <c r="CW114" s="81">
        <f>(CV114/25)^1.5*(Calculator!$BU$4/10000)*CW$5</f>
        <v>37.949052970673385</v>
      </c>
      <c r="CX114" t="str">
        <f t="shared" si="217"/>
        <v>$150</v>
      </c>
    </row>
    <row r="115" spans="2:102" x14ac:dyDescent="0.25">
      <c r="B115" s="115" t="s">
        <v>233</v>
      </c>
      <c r="C115" s="13">
        <v>46253.410416666666</v>
      </c>
      <c r="D115">
        <v>36172</v>
      </c>
      <c r="E115" s="54" t="s">
        <v>237</v>
      </c>
      <c r="F115" s="54" t="s">
        <v>466</v>
      </c>
      <c r="G115" s="54" t="s">
        <v>1802</v>
      </c>
      <c r="H115" s="55">
        <v>17.2</v>
      </c>
      <c r="I115" s="55">
        <v>13.3</v>
      </c>
      <c r="J115" s="55">
        <v>14.099999999999998</v>
      </c>
      <c r="K115" s="54" t="s">
        <v>1794</v>
      </c>
      <c r="L115" s="56" t="b">
        <v>0</v>
      </c>
      <c r="M115" s="56" t="b">
        <v>0</v>
      </c>
      <c r="N115" s="54">
        <v>1</v>
      </c>
      <c r="O115" s="54" t="s">
        <v>228</v>
      </c>
      <c r="P115" s="54">
        <v>24</v>
      </c>
      <c r="Q115" s="54">
        <v>36</v>
      </c>
      <c r="R115" s="54">
        <v>150</v>
      </c>
      <c r="S115" s="54" t="s">
        <v>1795</v>
      </c>
      <c r="T115" s="54"/>
      <c r="U115" s="54" t="s">
        <v>1785</v>
      </c>
      <c r="V115" s="54" t="s">
        <v>1796</v>
      </c>
      <c r="W115" s="54" t="b">
        <v>0</v>
      </c>
      <c r="X115" s="54"/>
      <c r="Y115" s="57" t="s">
        <v>2232</v>
      </c>
      <c r="Z115" s="54" t="s">
        <v>1797</v>
      </c>
      <c r="AA115" s="54"/>
      <c r="AB115" s="54" t="s">
        <v>1798</v>
      </c>
      <c r="AC115" s="56" t="b">
        <v>0</v>
      </c>
      <c r="AD115" s="56" t="b">
        <v>1</v>
      </c>
      <c r="AE115" s="54" t="s">
        <v>302</v>
      </c>
      <c r="AF115" s="58">
        <v>46253</v>
      </c>
      <c r="AG115" s="62" t="s">
        <v>293</v>
      </c>
      <c r="AH115" s="54">
        <v>0</v>
      </c>
      <c r="AI115" s="54">
        <v>1000</v>
      </c>
      <c r="AJ115" s="54">
        <v>2000</v>
      </c>
      <c r="AK115" s="54"/>
      <c r="AL115" s="54"/>
      <c r="AM115" s="54">
        <v>0</v>
      </c>
      <c r="AN115" s="54">
        <v>-35</v>
      </c>
      <c r="AO115" s="54">
        <v>-50</v>
      </c>
      <c r="AP115" s="54"/>
      <c r="AQ115" s="54"/>
      <c r="AR115" s="54"/>
      <c r="AS115" s="54"/>
      <c r="AT115" s="54"/>
      <c r="AU115" s="54"/>
      <c r="AV115" s="54"/>
      <c r="AW115" s="54"/>
      <c r="AX115" s="59"/>
      <c r="AY115" s="59"/>
      <c r="AZ115" s="59"/>
      <c r="BA115" s="59"/>
      <c r="BB115" s="59">
        <v>0.1036</v>
      </c>
      <c r="BC115" s="60">
        <v>4.0599999999999996</v>
      </c>
      <c r="BD115" s="61">
        <v>6.0295000000000001E-2</v>
      </c>
      <c r="BE115" s="62" t="s">
        <v>293</v>
      </c>
      <c r="BF115" s="35">
        <f t="shared" si="0"/>
        <v>4.0600000000000005</v>
      </c>
      <c r="BG115" s="35">
        <f t="shared" si="0"/>
        <v>6.0295000000000001E-2</v>
      </c>
      <c r="BH115" s="35" t="str">
        <f t="shared" si="209"/>
        <v>High</v>
      </c>
      <c r="BI115" s="110">
        <f t="shared" si="210"/>
        <v>0</v>
      </c>
      <c r="BJ115" s="83">
        <f>VLOOKUP($F115,REP_Info!$D$6:$H$250,5,FALSE)</f>
        <v>0.7</v>
      </c>
      <c r="BK115" s="30">
        <f t="shared" si="1"/>
        <v>17.201499999999999</v>
      </c>
      <c r="BL115" s="30">
        <f t="shared" si="1"/>
        <v>13.295499999999999</v>
      </c>
      <c r="BM115" s="30">
        <f t="shared" si="1"/>
        <v>14.092500000000001</v>
      </c>
      <c r="BN115" s="29">
        <f t="shared" si="1"/>
        <v>14.858166666666667</v>
      </c>
      <c r="BO115" s="85" t="str">
        <f t="shared" si="2"/>
        <v>$$$</v>
      </c>
      <c r="BP115" s="88" t="str">
        <f t="shared" si="211"/>
        <v>$$$</v>
      </c>
      <c r="BQ115" s="88" t="str">
        <f t="shared" si="4"/>
        <v>$$$</v>
      </c>
      <c r="BR115" s="88" t="str">
        <f t="shared" si="5"/>
        <v>$$$</v>
      </c>
      <c r="BS115" s="29" t="e">
        <f t="shared" si="218"/>
        <v>#N/A</v>
      </c>
      <c r="BT115" s="29" t="e">
        <f t="shared" si="218"/>
        <v>#N/A</v>
      </c>
      <c r="BU115" s="29" t="e">
        <f t="shared" si="218"/>
        <v>#N/A</v>
      </c>
      <c r="BV115" s="29" t="e">
        <f t="shared" si="218"/>
        <v>#N/A</v>
      </c>
      <c r="BW115" s="29" t="e">
        <f t="shared" si="218"/>
        <v>#N/A</v>
      </c>
      <c r="BX115" s="29" t="e">
        <f t="shared" si="218"/>
        <v>#N/A</v>
      </c>
      <c r="BY115" s="29" t="e">
        <f t="shared" si="218"/>
        <v>#N/A</v>
      </c>
      <c r="BZ115" s="29" t="e">
        <f t="shared" si="218"/>
        <v>#N/A</v>
      </c>
      <c r="CA115" s="29" t="e">
        <f t="shared" si="218"/>
        <v>#N/A</v>
      </c>
      <c r="CB115" s="29" t="e">
        <f t="shared" si="218"/>
        <v>#N/A</v>
      </c>
      <c r="CC115" s="29" t="e">
        <f t="shared" si="218"/>
        <v>#N/A</v>
      </c>
      <c r="CD115" s="29" t="e">
        <f t="shared" si="218"/>
        <v>#N/A</v>
      </c>
      <c r="CE115" s="6" t="str">
        <f t="shared" si="196"/>
        <v/>
      </c>
      <c r="CF115" s="27" t="e">
        <f>IF(AND(CI115,NOT(AD115)),LOOKUP(CF$5,{0,750,1500},H115:J115),"")</f>
        <v>#N/A</v>
      </c>
      <c r="CG115" s="6" t="str">
        <f t="shared" si="197"/>
        <v/>
      </c>
      <c r="CH115" t="e">
        <f t="shared" si="212"/>
        <v>#N/A</v>
      </c>
      <c r="CI115" t="e">
        <f t="shared" si="213"/>
        <v>#N/A</v>
      </c>
      <c r="CJ115" s="6" t="e">
        <f t="shared" si="11"/>
        <v>#N/A</v>
      </c>
      <c r="CK115" s="6">
        <f t="shared" si="12"/>
        <v>1</v>
      </c>
      <c r="CL115" s="6">
        <f t="shared" si="26"/>
        <v>1</v>
      </c>
      <c r="CM115" s="6">
        <f t="shared" si="13"/>
        <v>1</v>
      </c>
      <c r="CN115" s="6">
        <f t="shared" si="14"/>
        <v>1</v>
      </c>
      <c r="CO115" s="6">
        <f t="shared" si="15"/>
        <v>0</v>
      </c>
      <c r="CP115" s="6">
        <f t="shared" si="16"/>
        <v>1</v>
      </c>
      <c r="CQ115" s="6">
        <f t="shared" si="214"/>
        <v>1</v>
      </c>
      <c r="CR115" s="81" t="str">
        <f t="shared" si="17"/>
        <v/>
      </c>
      <c r="CS115">
        <f t="shared" si="215"/>
        <v>0</v>
      </c>
      <c r="CT115">
        <f t="shared" si="19"/>
        <v>150</v>
      </c>
      <c r="CU115" t="str">
        <f t="shared" si="29"/>
        <v/>
      </c>
      <c r="CV115" s="81">
        <f t="shared" si="216"/>
        <v>150</v>
      </c>
      <c r="CW115" s="81">
        <f>(CV115/25)^1.5*(Calculator!$BU$4/10000)*CW$5</f>
        <v>37.949052970673385</v>
      </c>
      <c r="CX115" t="str">
        <f t="shared" si="217"/>
        <v>$150</v>
      </c>
    </row>
    <row r="116" spans="2:102" x14ac:dyDescent="0.25">
      <c r="B116" s="115" t="s">
        <v>233</v>
      </c>
      <c r="C116" s="13">
        <v>46251.443749999999</v>
      </c>
      <c r="D116">
        <v>26872</v>
      </c>
      <c r="E116" s="54" t="s">
        <v>235</v>
      </c>
      <c r="F116" s="54" t="s">
        <v>467</v>
      </c>
      <c r="G116" s="54" t="s">
        <v>468</v>
      </c>
      <c r="H116" s="55">
        <v>15.6</v>
      </c>
      <c r="I116" s="55">
        <v>14.6</v>
      </c>
      <c r="J116" s="55">
        <v>14.099999999999998</v>
      </c>
      <c r="K116" s="54"/>
      <c r="L116" s="56" t="b">
        <v>0</v>
      </c>
      <c r="M116" s="56" t="b">
        <v>0</v>
      </c>
      <c r="N116" s="54">
        <v>1</v>
      </c>
      <c r="O116" s="54" t="s">
        <v>228</v>
      </c>
      <c r="P116" s="54">
        <v>22</v>
      </c>
      <c r="Q116" s="54">
        <v>24</v>
      </c>
      <c r="R116" s="54">
        <v>295</v>
      </c>
      <c r="S116" s="54" t="s">
        <v>476</v>
      </c>
      <c r="T116" s="54" t="s">
        <v>469</v>
      </c>
      <c r="U116" s="54" t="s">
        <v>470</v>
      </c>
      <c r="V116" s="54" t="s">
        <v>471</v>
      </c>
      <c r="W116" s="54" t="b">
        <v>0</v>
      </c>
      <c r="X116" s="54"/>
      <c r="Y116" s="57" t="s">
        <v>2099</v>
      </c>
      <c r="Z116" s="54" t="s">
        <v>2100</v>
      </c>
      <c r="AA116" s="54"/>
      <c r="AB116" s="54" t="s">
        <v>472</v>
      </c>
      <c r="AC116" s="56" t="b">
        <v>1</v>
      </c>
      <c r="AD116" s="56" t="b">
        <v>0</v>
      </c>
      <c r="AE116" s="54" t="s">
        <v>302</v>
      </c>
      <c r="AF116" s="58">
        <v>46249</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8.6581000000000005E-2</v>
      </c>
      <c r="BC116" s="60">
        <v>4.9000000000000004</v>
      </c>
      <c r="BD116" s="61">
        <v>4.9811000000000001E-2</v>
      </c>
      <c r="BE116" s="62" t="s">
        <v>293</v>
      </c>
      <c r="BF116" s="35">
        <f t="shared" si="0"/>
        <v>4.9000000000000004</v>
      </c>
      <c r="BG116" s="35">
        <f t="shared" si="0"/>
        <v>4.9811000000000001E-2</v>
      </c>
      <c r="BH116" s="35" t="str">
        <f t="shared" si="209"/>
        <v>Med</v>
      </c>
      <c r="BI116" s="110">
        <f t="shared" si="210"/>
        <v>0</v>
      </c>
      <c r="BJ116" s="83">
        <f>VLOOKUP($F116,REP_Info!$D$6:$H$250,5,FALSE)</f>
        <v>1.0129999999999999</v>
      </c>
      <c r="BK116" s="30">
        <f t="shared" si="1"/>
        <v>15.609200000000001</v>
      </c>
      <c r="BL116" s="30">
        <f t="shared" si="1"/>
        <v>14.624200000000002</v>
      </c>
      <c r="BM116" s="30">
        <f t="shared" si="1"/>
        <v>14.1317</v>
      </c>
      <c r="BN116" s="29">
        <f t="shared" si="1"/>
        <v>13.967533333333332</v>
      </c>
      <c r="BO116" s="85" t="str">
        <f t="shared" si="2"/>
        <v>$$$</v>
      </c>
      <c r="BP116" s="88" t="str">
        <f t="shared" si="211"/>
        <v>$$$</v>
      </c>
      <c r="BQ116" s="88" t="str">
        <f t="shared" si="4"/>
        <v>$$$</v>
      </c>
      <c r="BR116" s="88" t="str">
        <f t="shared" si="5"/>
        <v>$$$</v>
      </c>
      <c r="BS116" s="29" t="e">
        <f t="shared" si="218"/>
        <v>#N/A</v>
      </c>
      <c r="BT116" s="29" t="e">
        <f t="shared" si="218"/>
        <v>#N/A</v>
      </c>
      <c r="BU116" s="29" t="e">
        <f t="shared" si="218"/>
        <v>#N/A</v>
      </c>
      <c r="BV116" s="29" t="e">
        <f t="shared" si="218"/>
        <v>#N/A</v>
      </c>
      <c r="BW116" s="29" t="e">
        <f t="shared" si="218"/>
        <v>#N/A</v>
      </c>
      <c r="BX116" s="29" t="e">
        <f t="shared" si="218"/>
        <v>#N/A</v>
      </c>
      <c r="BY116" s="29" t="e">
        <f t="shared" si="218"/>
        <v>#N/A</v>
      </c>
      <c r="BZ116" s="29" t="e">
        <f t="shared" si="218"/>
        <v>#N/A</v>
      </c>
      <c r="CA116" s="29" t="e">
        <f t="shared" si="218"/>
        <v>#N/A</v>
      </c>
      <c r="CB116" s="29" t="e">
        <f t="shared" si="218"/>
        <v>#N/A</v>
      </c>
      <c r="CC116" s="29" t="e">
        <f t="shared" si="218"/>
        <v>#N/A</v>
      </c>
      <c r="CD116" s="29" t="e">
        <f t="shared" si="218"/>
        <v>#N/A</v>
      </c>
      <c r="CE116" s="6" t="str">
        <f t="shared" si="196"/>
        <v/>
      </c>
      <c r="CF116" s="27" t="e">
        <f>IF(AND(CI116,NOT(AD116)),LOOKUP(CF$5,{0,750,1500},H116:J116),"")</f>
        <v>#N/A</v>
      </c>
      <c r="CG116" s="6" t="str">
        <f t="shared" si="197"/>
        <v/>
      </c>
      <c r="CH116" t="e">
        <f t="shared" si="212"/>
        <v>#N/A</v>
      </c>
      <c r="CI116" t="e">
        <f t="shared" si="213"/>
        <v>#N/A</v>
      </c>
      <c r="CJ116" s="6" t="e">
        <f t="shared" si="11"/>
        <v>#N/A</v>
      </c>
      <c r="CK116" s="6">
        <f t="shared" si="12"/>
        <v>1</v>
      </c>
      <c r="CL116" s="6">
        <f t="shared" si="26"/>
        <v>1</v>
      </c>
      <c r="CM116" s="6">
        <f t="shared" si="13"/>
        <v>1</v>
      </c>
      <c r="CN116" s="6">
        <f t="shared" si="14"/>
        <v>1</v>
      </c>
      <c r="CO116" s="6">
        <f t="shared" si="15"/>
        <v>0</v>
      </c>
      <c r="CP116" s="6">
        <f t="shared" si="16"/>
        <v>1</v>
      </c>
      <c r="CQ116" s="6">
        <f t="shared" si="214"/>
        <v>1</v>
      </c>
      <c r="CR116" s="81" t="str">
        <f t="shared" si="17"/>
        <v/>
      </c>
      <c r="CS116">
        <f t="shared" si="215"/>
        <v>0</v>
      </c>
      <c r="CT116">
        <f t="shared" si="19"/>
        <v>295</v>
      </c>
      <c r="CU116" t="str">
        <f t="shared" si="29"/>
        <v/>
      </c>
      <c r="CV116" s="81">
        <f t="shared" si="216"/>
        <v>295</v>
      </c>
      <c r="CW116" s="81">
        <f>(CV116/25)^1.5*(Calculator!$BU$4/10000)*CW$5</f>
        <v>104.66393961177546</v>
      </c>
      <c r="CX116" t="str">
        <f t="shared" si="217"/>
        <v>$295</v>
      </c>
    </row>
    <row r="117" spans="2:102" x14ac:dyDescent="0.25">
      <c r="B117" s="115" t="s">
        <v>233</v>
      </c>
      <c r="C117" s="13">
        <v>46237.767361111109</v>
      </c>
      <c r="D117">
        <v>26874</v>
      </c>
      <c r="E117" s="54" t="s">
        <v>237</v>
      </c>
      <c r="F117" s="54" t="s">
        <v>467</v>
      </c>
      <c r="G117" s="54" t="s">
        <v>468</v>
      </c>
      <c r="H117" s="55">
        <v>16.7</v>
      </c>
      <c r="I117" s="55">
        <v>15.8</v>
      </c>
      <c r="J117" s="55">
        <v>15.4</v>
      </c>
      <c r="K117" s="54"/>
      <c r="L117" s="56" t="b">
        <v>0</v>
      </c>
      <c r="M117" s="56" t="b">
        <v>0</v>
      </c>
      <c r="N117" s="54">
        <v>1</v>
      </c>
      <c r="O117" s="54" t="s">
        <v>228</v>
      </c>
      <c r="P117" s="54">
        <v>24</v>
      </c>
      <c r="Q117" s="54">
        <v>24</v>
      </c>
      <c r="R117" s="54">
        <v>295</v>
      </c>
      <c r="S117" s="54" t="s">
        <v>476</v>
      </c>
      <c r="T117" s="54" t="s">
        <v>469</v>
      </c>
      <c r="U117" s="54" t="s">
        <v>470</v>
      </c>
      <c r="V117" s="54" t="s">
        <v>471</v>
      </c>
      <c r="W117" s="54" t="b">
        <v>0</v>
      </c>
      <c r="X117" s="54"/>
      <c r="Y117" s="57" t="s">
        <v>1842</v>
      </c>
      <c r="Z117" s="54" t="s">
        <v>1843</v>
      </c>
      <c r="AA117" s="54"/>
      <c r="AB117" s="54" t="s">
        <v>472</v>
      </c>
      <c r="AC117" s="56" t="b">
        <v>1</v>
      </c>
      <c r="AD117" s="56" t="b">
        <v>0</v>
      </c>
      <c r="AE117" s="54" t="s">
        <v>302</v>
      </c>
      <c r="AF117" s="58">
        <v>46235</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8.8725999999999999E-2</v>
      </c>
      <c r="BC117" s="60">
        <v>4.0599999999999996</v>
      </c>
      <c r="BD117" s="61">
        <v>6.0295000000000001E-2</v>
      </c>
      <c r="BE117" s="62" t="s">
        <v>293</v>
      </c>
      <c r="BF117" s="35">
        <f t="shared" si="0"/>
        <v>4.0600000000000005</v>
      </c>
      <c r="BG117" s="35">
        <f t="shared" si="0"/>
        <v>6.0295000000000001E-2</v>
      </c>
      <c r="BH117" s="35" t="str">
        <f t="shared" si="209"/>
        <v>Med</v>
      </c>
      <c r="BI117" s="110">
        <f t="shared" si="210"/>
        <v>0</v>
      </c>
      <c r="BJ117" s="83">
        <f>VLOOKUP($F117,REP_Info!$D$6:$H$250,5,FALSE)</f>
        <v>1.0129999999999999</v>
      </c>
      <c r="BK117" s="30">
        <f t="shared" si="1"/>
        <v>16.704099999999997</v>
      </c>
      <c r="BL117" s="30">
        <f t="shared" si="1"/>
        <v>15.803100000000001</v>
      </c>
      <c r="BM117" s="30">
        <f t="shared" si="1"/>
        <v>15.352600000000001</v>
      </c>
      <c r="BN117" s="29">
        <f t="shared" si="1"/>
        <v>15.202433333333332</v>
      </c>
      <c r="BO117" s="85" t="str">
        <f t="shared" si="2"/>
        <v>$$$</v>
      </c>
      <c r="BP117" s="88" t="str">
        <f t="shared" si="211"/>
        <v>$$$</v>
      </c>
      <c r="BQ117" s="88" t="str">
        <f t="shared" si="4"/>
        <v>$$$</v>
      </c>
      <c r="BR117" s="88" t="str">
        <f t="shared" si="5"/>
        <v>$$$</v>
      </c>
      <c r="BS117" s="29" t="e">
        <f t="shared" si="218"/>
        <v>#N/A</v>
      </c>
      <c r="BT117" s="29" t="e">
        <f t="shared" si="218"/>
        <v>#N/A</v>
      </c>
      <c r="BU117" s="29" t="e">
        <f t="shared" si="218"/>
        <v>#N/A</v>
      </c>
      <c r="BV117" s="29" t="e">
        <f t="shared" si="218"/>
        <v>#N/A</v>
      </c>
      <c r="BW117" s="29" t="e">
        <f t="shared" si="218"/>
        <v>#N/A</v>
      </c>
      <c r="BX117" s="29" t="e">
        <f t="shared" si="218"/>
        <v>#N/A</v>
      </c>
      <c r="BY117" s="29" t="e">
        <f t="shared" si="218"/>
        <v>#N/A</v>
      </c>
      <c r="BZ117" s="29" t="e">
        <f t="shared" si="218"/>
        <v>#N/A</v>
      </c>
      <c r="CA117" s="29" t="e">
        <f t="shared" si="218"/>
        <v>#N/A</v>
      </c>
      <c r="CB117" s="29" t="e">
        <f t="shared" si="218"/>
        <v>#N/A</v>
      </c>
      <c r="CC117" s="29" t="e">
        <f t="shared" si="218"/>
        <v>#N/A</v>
      </c>
      <c r="CD117" s="29" t="e">
        <f t="shared" si="218"/>
        <v>#N/A</v>
      </c>
      <c r="CE117" s="6" t="str">
        <f t="shared" si="196"/>
        <v/>
      </c>
      <c r="CF117" s="27" t="e">
        <f>IF(AND(CI117,NOT(AD117)),LOOKUP(CF$5,{0,750,1500},H117:J117),"")</f>
        <v>#N/A</v>
      </c>
      <c r="CG117" s="6" t="str">
        <f t="shared" si="197"/>
        <v/>
      </c>
      <c r="CH117" t="e">
        <f t="shared" si="212"/>
        <v>#N/A</v>
      </c>
      <c r="CI117" t="e">
        <f t="shared" si="213"/>
        <v>#N/A</v>
      </c>
      <c r="CJ117" s="6" t="e">
        <f t="shared" si="11"/>
        <v>#N/A</v>
      </c>
      <c r="CK117" s="6">
        <f t="shared" si="12"/>
        <v>1</v>
      </c>
      <c r="CL117" s="6">
        <f t="shared" si="26"/>
        <v>1</v>
      </c>
      <c r="CM117" s="6">
        <f t="shared" si="13"/>
        <v>1</v>
      </c>
      <c r="CN117" s="6">
        <f t="shared" si="14"/>
        <v>1</v>
      </c>
      <c r="CO117" s="6">
        <f t="shared" si="15"/>
        <v>0</v>
      </c>
      <c r="CP117" s="6">
        <f t="shared" si="16"/>
        <v>1</v>
      </c>
      <c r="CQ117" s="6">
        <f t="shared" si="214"/>
        <v>1</v>
      </c>
      <c r="CR117" s="81" t="str">
        <f t="shared" si="17"/>
        <v/>
      </c>
      <c r="CS117">
        <f t="shared" si="215"/>
        <v>0</v>
      </c>
      <c r="CT117">
        <f t="shared" si="19"/>
        <v>295</v>
      </c>
      <c r="CU117" t="str">
        <f t="shared" si="29"/>
        <v/>
      </c>
      <c r="CV117" s="81">
        <f t="shared" si="216"/>
        <v>295</v>
      </c>
      <c r="CW117" s="81">
        <f>(CV117/25)^1.5*(Calculator!$BU$4/10000)*CW$5</f>
        <v>104.66393961177546</v>
      </c>
      <c r="CX117" t="str">
        <f t="shared" si="217"/>
        <v>$295</v>
      </c>
    </row>
    <row r="118" spans="2:102" x14ac:dyDescent="0.25">
      <c r="B118" s="115" t="s">
        <v>233</v>
      </c>
      <c r="C118" s="13">
        <v>46251.443749999999</v>
      </c>
      <c r="D118">
        <v>26882</v>
      </c>
      <c r="E118" s="54" t="s">
        <v>235</v>
      </c>
      <c r="F118" s="54" t="s">
        <v>467</v>
      </c>
      <c r="G118" s="54" t="s">
        <v>473</v>
      </c>
      <c r="H118" s="55">
        <v>15.9</v>
      </c>
      <c r="I118" s="55">
        <v>14.899999999999999</v>
      </c>
      <c r="J118" s="55">
        <v>14.399999999999999</v>
      </c>
      <c r="K118" s="54"/>
      <c r="L118" s="56" t="b">
        <v>0</v>
      </c>
      <c r="M118" s="56" t="b">
        <v>0</v>
      </c>
      <c r="N118" s="54">
        <v>1</v>
      </c>
      <c r="O118" s="54" t="s">
        <v>228</v>
      </c>
      <c r="P118" s="54">
        <v>22</v>
      </c>
      <c r="Q118" s="54">
        <v>36</v>
      </c>
      <c r="R118" s="54">
        <v>395</v>
      </c>
      <c r="S118" s="54" t="s">
        <v>476</v>
      </c>
      <c r="T118" s="54" t="s">
        <v>474</v>
      </c>
      <c r="U118" s="54" t="s">
        <v>470</v>
      </c>
      <c r="V118" s="54" t="s">
        <v>471</v>
      </c>
      <c r="W118" s="54" t="b">
        <v>0</v>
      </c>
      <c r="X118" s="54"/>
      <c r="Y118" s="57" t="s">
        <v>2101</v>
      </c>
      <c r="Z118" s="54" t="s">
        <v>2100</v>
      </c>
      <c r="AA118" s="54"/>
      <c r="AB118" s="54" t="s">
        <v>472</v>
      </c>
      <c r="AC118" s="56" t="b">
        <v>1</v>
      </c>
      <c r="AD118" s="56" t="b">
        <v>0</v>
      </c>
      <c r="AE118" s="54" t="s">
        <v>302</v>
      </c>
      <c r="AF118" s="58">
        <v>46249</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8.9580999999999994E-2</v>
      </c>
      <c r="BC118" s="60">
        <v>4.9000000000000004</v>
      </c>
      <c r="BD118" s="61">
        <v>4.9811000000000001E-2</v>
      </c>
      <c r="BE118" s="62" t="s">
        <v>293</v>
      </c>
      <c r="BF118" s="35">
        <f t="shared" si="0"/>
        <v>4.9000000000000004</v>
      </c>
      <c r="BG118" s="35">
        <f t="shared" si="0"/>
        <v>4.9811000000000001E-2</v>
      </c>
      <c r="BH118" s="35" t="str">
        <f t="shared" si="209"/>
        <v>Med</v>
      </c>
      <c r="BI118" s="110">
        <f t="shared" si="210"/>
        <v>0</v>
      </c>
      <c r="BJ118" s="83">
        <f>VLOOKUP($F118,REP_Info!$D$6:$H$250,5,FALSE)</f>
        <v>1.0129999999999999</v>
      </c>
      <c r="BK118" s="30">
        <f t="shared" si="1"/>
        <v>15.909199999999998</v>
      </c>
      <c r="BL118" s="30">
        <f t="shared" si="1"/>
        <v>14.924199999999999</v>
      </c>
      <c r="BM118" s="30">
        <f t="shared" si="1"/>
        <v>14.431699999999998</v>
      </c>
      <c r="BN118" s="29">
        <f t="shared" si="1"/>
        <v>14.267533333333333</v>
      </c>
      <c r="BO118" s="85" t="str">
        <f t="shared" si="2"/>
        <v>$$$</v>
      </c>
      <c r="BP118" s="88" t="str">
        <f t="shared" si="211"/>
        <v>$$$</v>
      </c>
      <c r="BQ118" s="88" t="str">
        <f t="shared" si="4"/>
        <v>$$$</v>
      </c>
      <c r="BR118" s="88" t="str">
        <f t="shared" si="5"/>
        <v>$$$</v>
      </c>
      <c r="BS118" s="29" t="e">
        <f t="shared" si="218"/>
        <v>#N/A</v>
      </c>
      <c r="BT118" s="29" t="e">
        <f t="shared" si="218"/>
        <v>#N/A</v>
      </c>
      <c r="BU118" s="29" t="e">
        <f t="shared" si="218"/>
        <v>#N/A</v>
      </c>
      <c r="BV118" s="29" t="e">
        <f t="shared" si="218"/>
        <v>#N/A</v>
      </c>
      <c r="BW118" s="29" t="e">
        <f t="shared" si="218"/>
        <v>#N/A</v>
      </c>
      <c r="BX118" s="29" t="e">
        <f t="shared" si="218"/>
        <v>#N/A</v>
      </c>
      <c r="BY118" s="29" t="e">
        <f t="shared" si="218"/>
        <v>#N/A</v>
      </c>
      <c r="BZ118" s="29" t="e">
        <f t="shared" si="218"/>
        <v>#N/A</v>
      </c>
      <c r="CA118" s="29" t="e">
        <f t="shared" si="218"/>
        <v>#N/A</v>
      </c>
      <c r="CB118" s="29" t="e">
        <f t="shared" si="218"/>
        <v>#N/A</v>
      </c>
      <c r="CC118" s="29" t="e">
        <f t="shared" si="218"/>
        <v>#N/A</v>
      </c>
      <c r="CD118" s="29" t="e">
        <f t="shared" si="218"/>
        <v>#N/A</v>
      </c>
      <c r="CE118" s="6" t="str">
        <f t="shared" si="196"/>
        <v/>
      </c>
      <c r="CF118" s="27" t="e">
        <f>IF(AND(CI118,NOT(AD118)),LOOKUP(CF$5,{0,750,1500},H118:J118),"")</f>
        <v>#N/A</v>
      </c>
      <c r="CG118" s="6" t="str">
        <f t="shared" si="197"/>
        <v/>
      </c>
      <c r="CH118" t="e">
        <f t="shared" si="212"/>
        <v>#N/A</v>
      </c>
      <c r="CI118" t="e">
        <f t="shared" si="213"/>
        <v>#N/A</v>
      </c>
      <c r="CJ118" s="6" t="e">
        <f t="shared" si="11"/>
        <v>#N/A</v>
      </c>
      <c r="CK118" s="6">
        <f t="shared" si="12"/>
        <v>1</v>
      </c>
      <c r="CL118" s="6">
        <f t="shared" si="26"/>
        <v>1</v>
      </c>
      <c r="CM118" s="6">
        <f t="shared" si="13"/>
        <v>1</v>
      </c>
      <c r="CN118" s="6">
        <f t="shared" si="14"/>
        <v>1</v>
      </c>
      <c r="CO118" s="6">
        <f t="shared" si="15"/>
        <v>0</v>
      </c>
      <c r="CP118" s="6">
        <f t="shared" si="16"/>
        <v>1</v>
      </c>
      <c r="CQ118" s="6">
        <f t="shared" si="214"/>
        <v>1</v>
      </c>
      <c r="CR118" s="81" t="str">
        <f t="shared" si="17"/>
        <v/>
      </c>
      <c r="CS118">
        <f t="shared" si="215"/>
        <v>0</v>
      </c>
      <c r="CT118">
        <f t="shared" si="19"/>
        <v>395</v>
      </c>
      <c r="CU118" t="str">
        <f t="shared" si="29"/>
        <v/>
      </c>
      <c r="CV118" s="81">
        <f t="shared" si="216"/>
        <v>395</v>
      </c>
      <c r="CW118" s="81">
        <f>(CV118/25)^1.5*(Calculator!$BU$4/10000)*CW$5</f>
        <v>162.16595996535787</v>
      </c>
      <c r="CX118" t="str">
        <f t="shared" si="217"/>
        <v>$395</v>
      </c>
    </row>
    <row r="119" spans="2:102" x14ac:dyDescent="0.25">
      <c r="B119" s="115" t="s">
        <v>233</v>
      </c>
      <c r="C119" s="13">
        <v>46237.767361111109</v>
      </c>
      <c r="D119">
        <v>26884</v>
      </c>
      <c r="E119" s="54" t="s">
        <v>237</v>
      </c>
      <c r="F119" s="54" t="s">
        <v>467</v>
      </c>
      <c r="G119" s="54" t="s">
        <v>473</v>
      </c>
      <c r="H119" s="55">
        <v>16.900000000000002</v>
      </c>
      <c r="I119" s="55">
        <v>16</v>
      </c>
      <c r="J119" s="55">
        <v>15.6</v>
      </c>
      <c r="K119" s="54"/>
      <c r="L119" s="56" t="b">
        <v>0</v>
      </c>
      <c r="M119" s="56" t="b">
        <v>0</v>
      </c>
      <c r="N119" s="54">
        <v>1</v>
      </c>
      <c r="O119" s="54" t="s">
        <v>228</v>
      </c>
      <c r="P119" s="54">
        <v>24</v>
      </c>
      <c r="Q119" s="54">
        <v>36</v>
      </c>
      <c r="R119" s="54">
        <v>395</v>
      </c>
      <c r="S119" s="54" t="s">
        <v>476</v>
      </c>
      <c r="T119" s="54" t="s">
        <v>474</v>
      </c>
      <c r="U119" s="54" t="s">
        <v>470</v>
      </c>
      <c r="V119" s="54" t="s">
        <v>471</v>
      </c>
      <c r="W119" s="54" t="b">
        <v>0</v>
      </c>
      <c r="X119" s="54"/>
      <c r="Y119" s="57" t="s">
        <v>1844</v>
      </c>
      <c r="Z119" s="54" t="s">
        <v>1843</v>
      </c>
      <c r="AA119" s="54"/>
      <c r="AB119" s="54" t="s">
        <v>472</v>
      </c>
      <c r="AC119" s="56" t="b">
        <v>1</v>
      </c>
      <c r="AD119" s="56" t="b">
        <v>0</v>
      </c>
      <c r="AE119" s="54" t="s">
        <v>302</v>
      </c>
      <c r="AF119" s="58">
        <v>46235</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9.0726000000000001E-2</v>
      </c>
      <c r="BC119" s="60">
        <v>4.0599999999999996</v>
      </c>
      <c r="BD119" s="61">
        <v>6.0295000000000001E-2</v>
      </c>
      <c r="BE119" s="62" t="s">
        <v>293</v>
      </c>
      <c r="BF119" s="35">
        <f t="shared" si="0"/>
        <v>4.0600000000000005</v>
      </c>
      <c r="BG119" s="35">
        <f t="shared" si="0"/>
        <v>6.0295000000000001E-2</v>
      </c>
      <c r="BH119" s="35" t="str">
        <f t="shared" si="209"/>
        <v>Med</v>
      </c>
      <c r="BI119" s="110">
        <f t="shared" si="210"/>
        <v>0</v>
      </c>
      <c r="BJ119" s="83">
        <f>VLOOKUP($F119,REP_Info!$D$6:$H$250,5,FALSE)</f>
        <v>1.0129999999999999</v>
      </c>
      <c r="BK119" s="30">
        <f t="shared" si="1"/>
        <v>16.9041</v>
      </c>
      <c r="BL119" s="30">
        <f t="shared" si="1"/>
        <v>16.0031</v>
      </c>
      <c r="BM119" s="30">
        <f t="shared" si="1"/>
        <v>15.5526</v>
      </c>
      <c r="BN119" s="29">
        <f t="shared" si="1"/>
        <v>15.402433333333333</v>
      </c>
      <c r="BO119" s="85" t="str">
        <f t="shared" si="2"/>
        <v>$$$</v>
      </c>
      <c r="BP119" s="88" t="str">
        <f t="shared" si="211"/>
        <v>$$$</v>
      </c>
      <c r="BQ119" s="88" t="str">
        <f t="shared" si="4"/>
        <v>$$$</v>
      </c>
      <c r="BR119" s="88" t="str">
        <f t="shared" si="5"/>
        <v>$$$</v>
      </c>
      <c r="BS119" s="29" t="e">
        <f t="shared" si="218"/>
        <v>#N/A</v>
      </c>
      <c r="BT119" s="29" t="e">
        <f t="shared" si="218"/>
        <v>#N/A</v>
      </c>
      <c r="BU119" s="29" t="e">
        <f t="shared" si="218"/>
        <v>#N/A</v>
      </c>
      <c r="BV119" s="29" t="e">
        <f t="shared" si="218"/>
        <v>#N/A</v>
      </c>
      <c r="BW119" s="29" t="e">
        <f t="shared" si="218"/>
        <v>#N/A</v>
      </c>
      <c r="BX119" s="29" t="e">
        <f t="shared" si="218"/>
        <v>#N/A</v>
      </c>
      <c r="BY119" s="29" t="e">
        <f t="shared" si="218"/>
        <v>#N/A</v>
      </c>
      <c r="BZ119" s="29" t="e">
        <f t="shared" si="218"/>
        <v>#N/A</v>
      </c>
      <c r="CA119" s="29" t="e">
        <f t="shared" si="218"/>
        <v>#N/A</v>
      </c>
      <c r="CB119" s="29" t="e">
        <f t="shared" si="218"/>
        <v>#N/A</v>
      </c>
      <c r="CC119" s="29" t="e">
        <f t="shared" si="218"/>
        <v>#N/A</v>
      </c>
      <c r="CD119" s="29" t="e">
        <f t="shared" si="218"/>
        <v>#N/A</v>
      </c>
      <c r="CE119" s="6" t="str">
        <f t="shared" si="196"/>
        <v/>
      </c>
      <c r="CF119" s="27" t="e">
        <f>IF(AND(CI119,NOT(AD119)),LOOKUP(CF$5,{0,750,1500},H119:J119),"")</f>
        <v>#N/A</v>
      </c>
      <c r="CG119" s="6" t="str">
        <f t="shared" si="197"/>
        <v/>
      </c>
      <c r="CH119" t="e">
        <f t="shared" si="212"/>
        <v>#N/A</v>
      </c>
      <c r="CI119" t="e">
        <f t="shared" si="213"/>
        <v>#N/A</v>
      </c>
      <c r="CJ119" s="6" t="e">
        <f t="shared" si="11"/>
        <v>#N/A</v>
      </c>
      <c r="CK119" s="6">
        <f t="shared" si="12"/>
        <v>1</v>
      </c>
      <c r="CL119" s="6">
        <f t="shared" si="26"/>
        <v>1</v>
      </c>
      <c r="CM119" s="6">
        <f t="shared" si="13"/>
        <v>1</v>
      </c>
      <c r="CN119" s="6">
        <f t="shared" si="14"/>
        <v>1</v>
      </c>
      <c r="CO119" s="6">
        <f t="shared" si="15"/>
        <v>0</v>
      </c>
      <c r="CP119" s="6">
        <f t="shared" si="16"/>
        <v>1</v>
      </c>
      <c r="CQ119" s="6">
        <f t="shared" si="214"/>
        <v>1</v>
      </c>
      <c r="CR119" s="81" t="str">
        <f t="shared" si="17"/>
        <v/>
      </c>
      <c r="CS119">
        <f t="shared" si="215"/>
        <v>0</v>
      </c>
      <c r="CT119">
        <f t="shared" si="19"/>
        <v>395</v>
      </c>
      <c r="CU119" t="str">
        <f t="shared" si="29"/>
        <v/>
      </c>
      <c r="CV119" s="81">
        <f t="shared" si="216"/>
        <v>395</v>
      </c>
      <c r="CW119" s="81">
        <f>(CV119/25)^1.5*(Calculator!$BU$4/10000)*CW$5</f>
        <v>162.16595996535787</v>
      </c>
      <c r="CX119" t="str">
        <f t="shared" si="217"/>
        <v>$395</v>
      </c>
    </row>
    <row r="120" spans="2:102" x14ac:dyDescent="0.25">
      <c r="B120" s="115" t="s">
        <v>233</v>
      </c>
      <c r="C120" s="13">
        <v>46251.443749999999</v>
      </c>
      <c r="D120">
        <v>27785</v>
      </c>
      <c r="E120" s="54" t="s">
        <v>235</v>
      </c>
      <c r="F120" s="54" t="s">
        <v>467</v>
      </c>
      <c r="G120" s="54" t="s">
        <v>475</v>
      </c>
      <c r="H120" s="55">
        <v>15.4</v>
      </c>
      <c r="I120" s="55">
        <v>14.399999999999999</v>
      </c>
      <c r="J120" s="55">
        <v>13.900000000000002</v>
      </c>
      <c r="K120" s="54"/>
      <c r="L120" s="56" t="b">
        <v>0</v>
      </c>
      <c r="M120" s="56" t="b">
        <v>0</v>
      </c>
      <c r="N120" s="54">
        <v>1</v>
      </c>
      <c r="O120" s="54" t="s">
        <v>228</v>
      </c>
      <c r="P120" s="54">
        <v>22</v>
      </c>
      <c r="Q120" s="54">
        <v>12</v>
      </c>
      <c r="R120" s="54">
        <v>150</v>
      </c>
      <c r="S120" s="54" t="s">
        <v>476</v>
      </c>
      <c r="T120" s="54" t="s">
        <v>477</v>
      </c>
      <c r="U120" s="54" t="s">
        <v>470</v>
      </c>
      <c r="V120" s="54" t="s">
        <v>471</v>
      </c>
      <c r="W120" s="54" t="b">
        <v>0</v>
      </c>
      <c r="X120" s="54"/>
      <c r="Y120" s="57" t="s">
        <v>2102</v>
      </c>
      <c r="Z120" s="54" t="s">
        <v>2100</v>
      </c>
      <c r="AA120" s="54"/>
      <c r="AB120" s="54" t="s">
        <v>472</v>
      </c>
      <c r="AC120" s="56" t="b">
        <v>1</v>
      </c>
      <c r="AD120" s="56" t="b">
        <v>0</v>
      </c>
      <c r="AE120" s="54" t="s">
        <v>302</v>
      </c>
      <c r="AF120" s="58">
        <v>46249</v>
      </c>
      <c r="AG120" s="62" t="s">
        <v>293</v>
      </c>
      <c r="AH120" s="54">
        <v>0</v>
      </c>
      <c r="AI120" s="54"/>
      <c r="AJ120" s="54"/>
      <c r="AK120" s="54"/>
      <c r="AL120" s="54"/>
      <c r="AM120" s="54">
        <v>4.95</v>
      </c>
      <c r="AN120" s="54"/>
      <c r="AO120" s="54"/>
      <c r="AP120" s="54"/>
      <c r="AQ120" s="54"/>
      <c r="AR120" s="54"/>
      <c r="AS120" s="54"/>
      <c r="AT120" s="54"/>
      <c r="AU120" s="54"/>
      <c r="AV120" s="54"/>
      <c r="AW120" s="54"/>
      <c r="AX120" s="59"/>
      <c r="AY120" s="59"/>
      <c r="AZ120" s="59"/>
      <c r="BA120" s="59"/>
      <c r="BB120" s="59">
        <v>8.4581000000000003E-2</v>
      </c>
      <c r="BC120" s="60">
        <v>4.9000000000000004</v>
      </c>
      <c r="BD120" s="61">
        <v>4.9811000000000001E-2</v>
      </c>
      <c r="BE120" s="62" t="s">
        <v>293</v>
      </c>
      <c r="BF120" s="35">
        <f t="shared" si="0"/>
        <v>4.9000000000000004</v>
      </c>
      <c r="BG120" s="35">
        <f t="shared" si="0"/>
        <v>4.9811000000000001E-2</v>
      </c>
      <c r="BH120" s="35" t="str">
        <f t="shared" si="209"/>
        <v>Med</v>
      </c>
      <c r="BI120" s="110">
        <f t="shared" si="210"/>
        <v>0</v>
      </c>
      <c r="BJ120" s="83">
        <f>VLOOKUP($F120,REP_Info!$D$6:$H$250,5,FALSE)</f>
        <v>1.0129999999999999</v>
      </c>
      <c r="BK120" s="30">
        <f t="shared" si="1"/>
        <v>15.4092</v>
      </c>
      <c r="BL120" s="30">
        <f t="shared" si="1"/>
        <v>14.424200000000003</v>
      </c>
      <c r="BM120" s="30">
        <f t="shared" si="1"/>
        <v>13.931700000000001</v>
      </c>
      <c r="BN120" s="29">
        <f t="shared" si="1"/>
        <v>13.767533333333333</v>
      </c>
      <c r="BO120" s="85" t="str">
        <f t="shared" si="2"/>
        <v>$$$</v>
      </c>
      <c r="BP120" s="88" t="str">
        <f t="shared" si="211"/>
        <v>$$$</v>
      </c>
      <c r="BQ120" s="88" t="str">
        <f t="shared" si="4"/>
        <v>$$$</v>
      </c>
      <c r="BR120" s="88" t="str">
        <f t="shared" si="5"/>
        <v>$$$</v>
      </c>
      <c r="BS120" s="29" t="e">
        <f t="shared" si="218"/>
        <v>#N/A</v>
      </c>
      <c r="BT120" s="29" t="e">
        <f t="shared" si="218"/>
        <v>#N/A</v>
      </c>
      <c r="BU120" s="29" t="e">
        <f t="shared" si="218"/>
        <v>#N/A</v>
      </c>
      <c r="BV120" s="29" t="e">
        <f t="shared" si="218"/>
        <v>#N/A</v>
      </c>
      <c r="BW120" s="29" t="e">
        <f t="shared" si="218"/>
        <v>#N/A</v>
      </c>
      <c r="BX120" s="29" t="e">
        <f t="shared" si="218"/>
        <v>#N/A</v>
      </c>
      <c r="BY120" s="29" t="e">
        <f t="shared" si="218"/>
        <v>#N/A</v>
      </c>
      <c r="BZ120" s="29" t="e">
        <f t="shared" si="218"/>
        <v>#N/A</v>
      </c>
      <c r="CA120" s="29" t="e">
        <f t="shared" si="218"/>
        <v>#N/A</v>
      </c>
      <c r="CB120" s="29" t="e">
        <f t="shared" si="218"/>
        <v>#N/A</v>
      </c>
      <c r="CC120" s="29" t="e">
        <f t="shared" si="218"/>
        <v>#N/A</v>
      </c>
      <c r="CD120" s="29" t="e">
        <f t="shared" si="218"/>
        <v>#N/A</v>
      </c>
      <c r="CE120" s="6" t="str">
        <f t="shared" si="196"/>
        <v/>
      </c>
      <c r="CF120" s="27" t="e">
        <f>IF(AND(CI120,NOT(AD120)),LOOKUP(CF$5,{0,750,1500},H120:J120),"")</f>
        <v>#N/A</v>
      </c>
      <c r="CG120" s="6" t="str">
        <f t="shared" si="197"/>
        <v/>
      </c>
      <c r="CH120" t="e">
        <f t="shared" si="212"/>
        <v>#N/A</v>
      </c>
      <c r="CI120" t="e">
        <f t="shared" si="213"/>
        <v>#N/A</v>
      </c>
      <c r="CJ120" s="6" t="e">
        <f t="shared" si="11"/>
        <v>#N/A</v>
      </c>
      <c r="CK120" s="6">
        <f t="shared" si="12"/>
        <v>1</v>
      </c>
      <c r="CL120" s="6">
        <f t="shared" si="26"/>
        <v>1</v>
      </c>
      <c r="CM120" s="6">
        <f t="shared" si="13"/>
        <v>1</v>
      </c>
      <c r="CN120" s="6">
        <f t="shared" si="14"/>
        <v>1</v>
      </c>
      <c r="CO120" s="6">
        <f t="shared" si="15"/>
        <v>1</v>
      </c>
      <c r="CP120" s="6">
        <f t="shared" si="16"/>
        <v>1</v>
      </c>
      <c r="CQ120" s="6">
        <f t="shared" si="214"/>
        <v>1</v>
      </c>
      <c r="CR120" s="81" t="str">
        <f t="shared" si="17"/>
        <v/>
      </c>
      <c r="CS120">
        <f t="shared" si="215"/>
        <v>0</v>
      </c>
      <c r="CT120">
        <f t="shared" si="19"/>
        <v>150</v>
      </c>
      <c r="CU120" t="str">
        <f t="shared" si="29"/>
        <v/>
      </c>
      <c r="CV120" s="81">
        <f t="shared" si="216"/>
        <v>150</v>
      </c>
      <c r="CW120" s="81">
        <f>(CV120/25)^1.5*(Calculator!$BU$4/10000)*CW$5</f>
        <v>37.949052970673385</v>
      </c>
      <c r="CX120" t="str">
        <f t="shared" si="217"/>
        <v>$150</v>
      </c>
    </row>
    <row r="121" spans="2:102" x14ac:dyDescent="0.25">
      <c r="B121" s="115" t="s">
        <v>233</v>
      </c>
      <c r="C121" s="13">
        <v>46237.767361111109</v>
      </c>
      <c r="D121">
        <v>27787</v>
      </c>
      <c r="E121" s="54" t="s">
        <v>237</v>
      </c>
      <c r="F121" s="54" t="s">
        <v>467</v>
      </c>
      <c r="G121" s="54" t="s">
        <v>475</v>
      </c>
      <c r="H121" s="55">
        <v>16.2</v>
      </c>
      <c r="I121" s="55">
        <v>15.299999999999999</v>
      </c>
      <c r="J121" s="55">
        <v>14.899999999999999</v>
      </c>
      <c r="K121" s="54"/>
      <c r="L121" s="56" t="b">
        <v>0</v>
      </c>
      <c r="M121" s="56" t="b">
        <v>0</v>
      </c>
      <c r="N121" s="54">
        <v>1</v>
      </c>
      <c r="O121" s="54" t="s">
        <v>228</v>
      </c>
      <c r="P121" s="54">
        <v>24</v>
      </c>
      <c r="Q121" s="54">
        <v>12</v>
      </c>
      <c r="R121" s="54">
        <v>150</v>
      </c>
      <c r="S121" s="54" t="s">
        <v>476</v>
      </c>
      <c r="T121" s="54" t="s">
        <v>477</v>
      </c>
      <c r="U121" s="54" t="s">
        <v>470</v>
      </c>
      <c r="V121" s="54" t="s">
        <v>471</v>
      </c>
      <c r="W121" s="54" t="b">
        <v>0</v>
      </c>
      <c r="X121" s="54"/>
      <c r="Y121" s="57" t="s">
        <v>1845</v>
      </c>
      <c r="Z121" s="54" t="s">
        <v>1843</v>
      </c>
      <c r="AA121" s="54"/>
      <c r="AB121" s="54" t="s">
        <v>472</v>
      </c>
      <c r="AC121" s="56" t="b">
        <v>1</v>
      </c>
      <c r="AD121" s="56" t="b">
        <v>0</v>
      </c>
      <c r="AE121" s="54" t="s">
        <v>302</v>
      </c>
      <c r="AF121" s="58">
        <v>46235</v>
      </c>
      <c r="AG121" s="62" t="s">
        <v>293</v>
      </c>
      <c r="AH121" s="54">
        <v>0</v>
      </c>
      <c r="AI121" s="54"/>
      <c r="AJ121" s="54"/>
      <c r="AK121" s="54"/>
      <c r="AL121" s="54"/>
      <c r="AM121" s="54">
        <v>4.95</v>
      </c>
      <c r="AN121" s="54"/>
      <c r="AO121" s="54"/>
      <c r="AP121" s="54"/>
      <c r="AQ121" s="54"/>
      <c r="AR121" s="54"/>
      <c r="AS121" s="54"/>
      <c r="AT121" s="54"/>
      <c r="AU121" s="54"/>
      <c r="AV121" s="54"/>
      <c r="AW121" s="54"/>
      <c r="AX121" s="59"/>
      <c r="AY121" s="59"/>
      <c r="AZ121" s="59"/>
      <c r="BA121" s="59"/>
      <c r="BB121" s="59">
        <v>8.3725999999999995E-2</v>
      </c>
      <c r="BC121" s="60">
        <v>4.0599999999999996</v>
      </c>
      <c r="BD121" s="61">
        <v>6.0295000000000001E-2</v>
      </c>
      <c r="BE121" s="62" t="s">
        <v>293</v>
      </c>
      <c r="BF121" s="35">
        <f t="shared" si="0"/>
        <v>4.0600000000000005</v>
      </c>
      <c r="BG121" s="35">
        <f t="shared" si="0"/>
        <v>6.0295000000000001E-2</v>
      </c>
      <c r="BH121" s="35" t="str">
        <f t="shared" si="209"/>
        <v>Med</v>
      </c>
      <c r="BI121" s="110">
        <f t="shared" si="210"/>
        <v>0</v>
      </c>
      <c r="BJ121" s="83">
        <f>VLOOKUP($F121,REP_Info!$D$6:$H$250,5,FALSE)</f>
        <v>1.0129999999999999</v>
      </c>
      <c r="BK121" s="30">
        <f t="shared" si="1"/>
        <v>16.2041</v>
      </c>
      <c r="BL121" s="30">
        <f t="shared" si="1"/>
        <v>15.303100000000001</v>
      </c>
      <c r="BM121" s="30">
        <f t="shared" si="1"/>
        <v>14.852600000000001</v>
      </c>
      <c r="BN121" s="29">
        <f t="shared" si="1"/>
        <v>14.702433333333332</v>
      </c>
      <c r="BO121" s="85" t="str">
        <f t="shared" si="2"/>
        <v>$$$</v>
      </c>
      <c r="BP121" s="88" t="str">
        <f t="shared" si="211"/>
        <v>$$$</v>
      </c>
      <c r="BQ121" s="88" t="str">
        <f t="shared" si="4"/>
        <v>$$$</v>
      </c>
      <c r="BR121" s="88" t="str">
        <f t="shared" si="5"/>
        <v>$$$</v>
      </c>
      <c r="BS121" s="29" t="e">
        <f t="shared" si="218"/>
        <v>#N/A</v>
      </c>
      <c r="BT121" s="29" t="e">
        <f t="shared" si="218"/>
        <v>#N/A</v>
      </c>
      <c r="BU121" s="29" t="e">
        <f t="shared" si="218"/>
        <v>#N/A</v>
      </c>
      <c r="BV121" s="29" t="e">
        <f t="shared" si="218"/>
        <v>#N/A</v>
      </c>
      <c r="BW121" s="29" t="e">
        <f t="shared" si="218"/>
        <v>#N/A</v>
      </c>
      <c r="BX121" s="29" t="e">
        <f t="shared" si="218"/>
        <v>#N/A</v>
      </c>
      <c r="BY121" s="29" t="e">
        <f t="shared" si="218"/>
        <v>#N/A</v>
      </c>
      <c r="BZ121" s="29" t="e">
        <f t="shared" si="218"/>
        <v>#N/A</v>
      </c>
      <c r="CA121" s="29" t="e">
        <f t="shared" si="218"/>
        <v>#N/A</v>
      </c>
      <c r="CB121" s="29" t="e">
        <f t="shared" si="218"/>
        <v>#N/A</v>
      </c>
      <c r="CC121" s="29" t="e">
        <f t="shared" si="218"/>
        <v>#N/A</v>
      </c>
      <c r="CD121" s="29" t="e">
        <f t="shared" si="218"/>
        <v>#N/A</v>
      </c>
      <c r="CE121" s="6" t="str">
        <f t="shared" si="196"/>
        <v/>
      </c>
      <c r="CF121" s="27" t="e">
        <f>IF(AND(CI121,NOT(AD121)),LOOKUP(CF$5,{0,750,1500},H121:J121),"")</f>
        <v>#N/A</v>
      </c>
      <c r="CG121" s="6" t="str">
        <f t="shared" si="197"/>
        <v/>
      </c>
      <c r="CH121" t="e">
        <f t="shared" si="212"/>
        <v>#N/A</v>
      </c>
      <c r="CI121" t="e">
        <f t="shared" si="213"/>
        <v>#N/A</v>
      </c>
      <c r="CJ121" s="6" t="e">
        <f t="shared" si="11"/>
        <v>#N/A</v>
      </c>
      <c r="CK121" s="6">
        <f t="shared" si="12"/>
        <v>1</v>
      </c>
      <c r="CL121" s="6">
        <f t="shared" si="26"/>
        <v>1</v>
      </c>
      <c r="CM121" s="6">
        <f t="shared" si="13"/>
        <v>1</v>
      </c>
      <c r="CN121" s="6">
        <f t="shared" si="14"/>
        <v>1</v>
      </c>
      <c r="CO121" s="6">
        <f t="shared" si="15"/>
        <v>1</v>
      </c>
      <c r="CP121" s="6">
        <f t="shared" si="16"/>
        <v>1</v>
      </c>
      <c r="CQ121" s="6">
        <f t="shared" si="214"/>
        <v>1</v>
      </c>
      <c r="CR121" s="81" t="str">
        <f t="shared" si="17"/>
        <v/>
      </c>
      <c r="CS121">
        <f t="shared" si="215"/>
        <v>0</v>
      </c>
      <c r="CT121">
        <f t="shared" si="19"/>
        <v>150</v>
      </c>
      <c r="CU121" t="str">
        <f t="shared" si="29"/>
        <v/>
      </c>
      <c r="CV121" s="81">
        <f t="shared" si="216"/>
        <v>150</v>
      </c>
      <c r="CW121" s="81">
        <f>(CV121/25)^1.5*(Calculator!$BU$4/10000)*CW$5</f>
        <v>37.949052970673385</v>
      </c>
      <c r="CX121" t="str">
        <f t="shared" si="217"/>
        <v>$150</v>
      </c>
    </row>
    <row r="122" spans="2:102" x14ac:dyDescent="0.25">
      <c r="B122" s="115" t="s">
        <v>233</v>
      </c>
      <c r="C122" s="13">
        <v>46251.443749999999</v>
      </c>
      <c r="D122">
        <v>16205</v>
      </c>
      <c r="E122" s="54" t="s">
        <v>235</v>
      </c>
      <c r="F122" s="54" t="s">
        <v>478</v>
      </c>
      <c r="G122" s="54" t="s">
        <v>1846</v>
      </c>
      <c r="H122" s="55">
        <v>12.5</v>
      </c>
      <c r="I122" s="55">
        <v>12</v>
      </c>
      <c r="J122" s="55">
        <v>11.799999999999999</v>
      </c>
      <c r="K122" s="54"/>
      <c r="L122" s="56" t="b">
        <v>0</v>
      </c>
      <c r="M122" s="56" t="b">
        <v>0</v>
      </c>
      <c r="N122" s="54">
        <v>1</v>
      </c>
      <c r="O122" s="54" t="s">
        <v>228</v>
      </c>
      <c r="P122" s="54">
        <v>22</v>
      </c>
      <c r="Q122" s="54">
        <v>12</v>
      </c>
      <c r="R122" s="54">
        <v>150</v>
      </c>
      <c r="S122" s="54" t="s">
        <v>479</v>
      </c>
      <c r="T122" s="54" t="s">
        <v>2103</v>
      </c>
      <c r="U122" s="54" t="s">
        <v>480</v>
      </c>
      <c r="V122" s="54" t="s">
        <v>481</v>
      </c>
      <c r="W122" s="54" t="b">
        <v>0</v>
      </c>
      <c r="X122" s="54"/>
      <c r="Y122" s="57" t="s">
        <v>2104</v>
      </c>
      <c r="Z122" s="54" t="s">
        <v>2105</v>
      </c>
      <c r="AA122" s="54"/>
      <c r="AB122" s="54" t="s">
        <v>482</v>
      </c>
      <c r="AC122" s="56" t="b">
        <v>1</v>
      </c>
      <c r="AD122" s="56" t="b">
        <v>0</v>
      </c>
      <c r="AE122" s="54" t="s">
        <v>302</v>
      </c>
      <c r="AF122" s="58">
        <v>46249</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6.5587999999999994E-2</v>
      </c>
      <c r="BC122" s="60"/>
      <c r="BD122" s="61"/>
      <c r="BE122" s="62" t="s">
        <v>293</v>
      </c>
      <c r="BF122" s="35">
        <f t="shared" si="0"/>
        <v>4.9000000000000004</v>
      </c>
      <c r="BG122" s="35">
        <f t="shared" si="0"/>
        <v>4.9811000000000001E-2</v>
      </c>
      <c r="BH122" s="35" t="str">
        <f t="shared" si="209"/>
        <v>Low</v>
      </c>
      <c r="BI122" s="110">
        <f t="shared" si="210"/>
        <v>0</v>
      </c>
      <c r="BJ122" s="83">
        <f>VLOOKUP($F122,REP_Info!$D$6:$H$250,5,FALSE)</f>
        <v>1.8160000000000001</v>
      </c>
      <c r="BK122" s="30">
        <f t="shared" si="1"/>
        <v>12.519899999999998</v>
      </c>
      <c r="BL122" s="30">
        <f t="shared" si="1"/>
        <v>12.029900000000001</v>
      </c>
      <c r="BM122" s="30">
        <f t="shared" si="1"/>
        <v>11.7849</v>
      </c>
      <c r="BN122" s="29">
        <f t="shared" si="1"/>
        <v>11.703233333333332</v>
      </c>
      <c r="BO122" s="85" t="str">
        <f t="shared" si="2"/>
        <v>$$$</v>
      </c>
      <c r="BP122" s="88" t="str">
        <f t="shared" si="211"/>
        <v>$$$</v>
      </c>
      <c r="BQ122" s="88" t="str">
        <f t="shared" si="4"/>
        <v>$$$</v>
      </c>
      <c r="BR122" s="88" t="str">
        <f t="shared" si="5"/>
        <v>$$$</v>
      </c>
      <c r="BS122" s="29" t="e">
        <f t="shared" si="218"/>
        <v>#N/A</v>
      </c>
      <c r="BT122" s="29" t="e">
        <f t="shared" si="218"/>
        <v>#N/A</v>
      </c>
      <c r="BU122" s="29" t="e">
        <f t="shared" si="218"/>
        <v>#N/A</v>
      </c>
      <c r="BV122" s="29" t="e">
        <f t="shared" si="218"/>
        <v>#N/A</v>
      </c>
      <c r="BW122" s="29" t="e">
        <f t="shared" si="218"/>
        <v>#N/A</v>
      </c>
      <c r="BX122" s="29" t="e">
        <f t="shared" si="218"/>
        <v>#N/A</v>
      </c>
      <c r="BY122" s="29" t="e">
        <f t="shared" si="218"/>
        <v>#N/A</v>
      </c>
      <c r="BZ122" s="29" t="e">
        <f t="shared" si="218"/>
        <v>#N/A</v>
      </c>
      <c r="CA122" s="29" t="e">
        <f t="shared" si="218"/>
        <v>#N/A</v>
      </c>
      <c r="CB122" s="29" t="e">
        <f t="shared" si="218"/>
        <v>#N/A</v>
      </c>
      <c r="CC122" s="29" t="e">
        <f t="shared" si="218"/>
        <v>#N/A</v>
      </c>
      <c r="CD122" s="29" t="e">
        <f t="shared" si="218"/>
        <v>#N/A</v>
      </c>
      <c r="CE122" s="6" t="str">
        <f t="shared" si="196"/>
        <v/>
      </c>
      <c r="CF122" s="27" t="e">
        <f>IF(AND(CI122,NOT(AD122)),LOOKUP(CF$5,{0,750,1500},H122:J122),"")</f>
        <v>#N/A</v>
      </c>
      <c r="CG122" s="6" t="str">
        <f t="shared" si="197"/>
        <v/>
      </c>
      <c r="CH122" t="e">
        <f t="shared" si="212"/>
        <v>#N/A</v>
      </c>
      <c r="CI122" t="e">
        <f t="shared" si="213"/>
        <v>#N/A</v>
      </c>
      <c r="CJ122" s="6" t="e">
        <f t="shared" si="11"/>
        <v>#N/A</v>
      </c>
      <c r="CK122" s="6">
        <f t="shared" si="12"/>
        <v>1</v>
      </c>
      <c r="CL122" s="6">
        <f t="shared" si="26"/>
        <v>1</v>
      </c>
      <c r="CM122" s="6">
        <f t="shared" si="13"/>
        <v>1</v>
      </c>
      <c r="CN122" s="6">
        <f t="shared" si="14"/>
        <v>1</v>
      </c>
      <c r="CO122" s="6">
        <f t="shared" si="15"/>
        <v>1</v>
      </c>
      <c r="CP122" s="6">
        <f t="shared" si="16"/>
        <v>1</v>
      </c>
      <c r="CQ122" s="6">
        <f t="shared" si="214"/>
        <v>1</v>
      </c>
      <c r="CR122" s="81" t="str">
        <f t="shared" si="17"/>
        <v/>
      </c>
      <c r="CS122">
        <f t="shared" si="215"/>
        <v>0</v>
      </c>
      <c r="CT122">
        <f t="shared" si="19"/>
        <v>150</v>
      </c>
      <c r="CU122" t="str">
        <f t="shared" si="29"/>
        <v/>
      </c>
      <c r="CV122" s="81">
        <f t="shared" si="216"/>
        <v>150</v>
      </c>
      <c r="CW122" s="81">
        <f>(CV122/25)^1.5*(Calculator!$BU$4/10000)*CW$5</f>
        <v>37.949052970673385</v>
      </c>
      <c r="CX122" t="str">
        <f t="shared" si="217"/>
        <v>$150</v>
      </c>
    </row>
    <row r="123" spans="2:102" x14ac:dyDescent="0.25">
      <c r="B123" s="115" t="s">
        <v>233</v>
      </c>
      <c r="C123" s="13">
        <v>46237.767361111109</v>
      </c>
      <c r="D123">
        <v>16206</v>
      </c>
      <c r="E123" s="54" t="s">
        <v>237</v>
      </c>
      <c r="F123" s="54" t="s">
        <v>478</v>
      </c>
      <c r="G123" s="54" t="s">
        <v>1847</v>
      </c>
      <c r="H123" s="55">
        <v>14.6</v>
      </c>
      <c r="I123" s="55">
        <v>14.2</v>
      </c>
      <c r="J123" s="55">
        <v>13.900000000000002</v>
      </c>
      <c r="K123" s="54"/>
      <c r="L123" s="56" t="b">
        <v>0</v>
      </c>
      <c r="M123" s="56" t="b">
        <v>0</v>
      </c>
      <c r="N123" s="54">
        <v>1</v>
      </c>
      <c r="O123" s="54" t="s">
        <v>228</v>
      </c>
      <c r="P123" s="54">
        <v>22</v>
      </c>
      <c r="Q123" s="54">
        <v>18</v>
      </c>
      <c r="R123" s="54">
        <v>180</v>
      </c>
      <c r="S123" s="54" t="s">
        <v>479</v>
      </c>
      <c r="T123" s="54" t="s">
        <v>1848</v>
      </c>
      <c r="U123" s="54" t="s">
        <v>1824</v>
      </c>
      <c r="V123" s="54" t="s">
        <v>481</v>
      </c>
      <c r="W123" s="54" t="b">
        <v>0</v>
      </c>
      <c r="X123" s="54"/>
      <c r="Y123" s="57" t="s">
        <v>1849</v>
      </c>
      <c r="Z123" s="54" t="s">
        <v>1850</v>
      </c>
      <c r="AA123" s="54"/>
      <c r="AB123" s="54" t="s">
        <v>482</v>
      </c>
      <c r="AC123" s="56" t="b">
        <v>1</v>
      </c>
      <c r="AD123" s="56" t="b">
        <v>0</v>
      </c>
      <c r="AE123" s="54" t="s">
        <v>302</v>
      </c>
      <c r="AF123" s="58">
        <v>46235</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7.7174000000000006E-2</v>
      </c>
      <c r="BC123" s="60"/>
      <c r="BD123" s="61"/>
      <c r="BE123" s="62" t="s">
        <v>293</v>
      </c>
      <c r="BF123" s="35">
        <f t="shared" si="0"/>
        <v>4.0600000000000005</v>
      </c>
      <c r="BG123" s="35">
        <f t="shared" si="0"/>
        <v>6.0295000000000001E-2</v>
      </c>
      <c r="BH123" s="35" t="str">
        <f t="shared" si="209"/>
        <v>Low</v>
      </c>
      <c r="BI123" s="110">
        <f t="shared" si="210"/>
        <v>0</v>
      </c>
      <c r="BJ123" s="83">
        <f>VLOOKUP($F123,REP_Info!$D$6:$H$250,5,FALSE)</f>
        <v>1.8160000000000001</v>
      </c>
      <c r="BK123" s="30">
        <f t="shared" si="1"/>
        <v>14.5589</v>
      </c>
      <c r="BL123" s="30">
        <f t="shared" si="1"/>
        <v>14.152899999999999</v>
      </c>
      <c r="BM123" s="30">
        <f t="shared" si="1"/>
        <v>13.949900000000001</v>
      </c>
      <c r="BN123" s="29">
        <f t="shared" si="1"/>
        <v>13.882233333333332</v>
      </c>
      <c r="BO123" s="85" t="str">
        <f t="shared" si="2"/>
        <v>$$$</v>
      </c>
      <c r="BP123" s="88" t="str">
        <f t="shared" si="211"/>
        <v>$$$</v>
      </c>
      <c r="BQ123" s="88" t="str">
        <f t="shared" si="4"/>
        <v>$$$</v>
      </c>
      <c r="BR123" s="88" t="str">
        <f t="shared" si="5"/>
        <v>$$$</v>
      </c>
      <c r="BS123" s="29" t="e">
        <f t="shared" si="218"/>
        <v>#N/A</v>
      </c>
      <c r="BT123" s="29" t="e">
        <f t="shared" si="218"/>
        <v>#N/A</v>
      </c>
      <c r="BU123" s="29" t="e">
        <f t="shared" si="218"/>
        <v>#N/A</v>
      </c>
      <c r="BV123" s="29" t="e">
        <f t="shared" si="218"/>
        <v>#N/A</v>
      </c>
      <c r="BW123" s="29" t="e">
        <f t="shared" si="218"/>
        <v>#N/A</v>
      </c>
      <c r="BX123" s="29" t="e">
        <f t="shared" si="218"/>
        <v>#N/A</v>
      </c>
      <c r="BY123" s="29" t="e">
        <f t="shared" si="218"/>
        <v>#N/A</v>
      </c>
      <c r="BZ123" s="29" t="e">
        <f t="shared" si="218"/>
        <v>#N/A</v>
      </c>
      <c r="CA123" s="29" t="e">
        <f t="shared" si="218"/>
        <v>#N/A</v>
      </c>
      <c r="CB123" s="29" t="e">
        <f t="shared" si="218"/>
        <v>#N/A</v>
      </c>
      <c r="CC123" s="29" t="e">
        <f t="shared" si="218"/>
        <v>#N/A</v>
      </c>
      <c r="CD123" s="29" t="e">
        <f t="shared" si="218"/>
        <v>#N/A</v>
      </c>
      <c r="CE123" s="6" t="str">
        <f t="shared" si="196"/>
        <v/>
      </c>
      <c r="CF123" s="27" t="e">
        <f>IF(AND(CI123,NOT(AD123)),LOOKUP(CF$5,{0,750,1500},H123:J123),"")</f>
        <v>#N/A</v>
      </c>
      <c r="CG123" s="6" t="str">
        <f t="shared" si="197"/>
        <v/>
      </c>
      <c r="CH123" t="e">
        <f t="shared" si="212"/>
        <v>#N/A</v>
      </c>
      <c r="CI123" t="e">
        <f t="shared" si="213"/>
        <v>#N/A</v>
      </c>
      <c r="CJ123" s="6" t="e">
        <f t="shared" si="11"/>
        <v>#N/A</v>
      </c>
      <c r="CK123" s="6">
        <f t="shared" si="12"/>
        <v>1</v>
      </c>
      <c r="CL123" s="6">
        <f t="shared" si="26"/>
        <v>1</v>
      </c>
      <c r="CM123" s="6">
        <f t="shared" si="13"/>
        <v>1</v>
      </c>
      <c r="CN123" s="6">
        <f t="shared" si="14"/>
        <v>1</v>
      </c>
      <c r="CO123" s="6">
        <f t="shared" si="15"/>
        <v>0</v>
      </c>
      <c r="CP123" s="6">
        <f t="shared" si="16"/>
        <v>1</v>
      </c>
      <c r="CQ123" s="6">
        <f t="shared" si="214"/>
        <v>1</v>
      </c>
      <c r="CR123" s="81" t="str">
        <f t="shared" si="17"/>
        <v/>
      </c>
      <c r="CS123">
        <f t="shared" si="215"/>
        <v>0</v>
      </c>
      <c r="CT123">
        <f t="shared" si="19"/>
        <v>180</v>
      </c>
      <c r="CU123" t="str">
        <f t="shared" si="29"/>
        <v/>
      </c>
      <c r="CV123" s="81">
        <f t="shared" si="216"/>
        <v>180</v>
      </c>
      <c r="CW123" s="81">
        <f>(CV123/25)^1.5*(Calculator!$BU$4/10000)*CW$5</f>
        <v>49.885325635190988</v>
      </c>
      <c r="CX123" t="str">
        <f t="shared" si="217"/>
        <v>$180</v>
      </c>
    </row>
    <row r="124" spans="2:102" x14ac:dyDescent="0.25">
      <c r="B124" s="115" t="s">
        <v>233</v>
      </c>
      <c r="C124" s="13">
        <v>46237.767361111109</v>
      </c>
      <c r="D124">
        <v>21516</v>
      </c>
      <c r="E124" s="54" t="s">
        <v>237</v>
      </c>
      <c r="F124" s="54" t="s">
        <v>478</v>
      </c>
      <c r="G124" s="54" t="s">
        <v>1846</v>
      </c>
      <c r="H124" s="55">
        <v>13.600000000000001</v>
      </c>
      <c r="I124" s="55">
        <v>13.200000000000001</v>
      </c>
      <c r="J124" s="55">
        <v>12.9</v>
      </c>
      <c r="K124" s="54"/>
      <c r="L124" s="56" t="b">
        <v>0</v>
      </c>
      <c r="M124" s="56" t="b">
        <v>0</v>
      </c>
      <c r="N124" s="54">
        <v>1</v>
      </c>
      <c r="O124" s="54" t="s">
        <v>228</v>
      </c>
      <c r="P124" s="54">
        <v>22</v>
      </c>
      <c r="Q124" s="54">
        <v>12</v>
      </c>
      <c r="R124" s="54">
        <v>150</v>
      </c>
      <c r="S124" s="54" t="s">
        <v>479</v>
      </c>
      <c r="T124" s="54" t="s">
        <v>1848</v>
      </c>
      <c r="U124" s="54" t="s">
        <v>480</v>
      </c>
      <c r="V124" s="54" t="s">
        <v>481</v>
      </c>
      <c r="W124" s="54" t="b">
        <v>0</v>
      </c>
      <c r="X124" s="54"/>
      <c r="Y124" s="57" t="s">
        <v>1851</v>
      </c>
      <c r="Z124" s="54" t="s">
        <v>1852</v>
      </c>
      <c r="AA124" s="54"/>
      <c r="AB124" s="54" t="s">
        <v>482</v>
      </c>
      <c r="AC124" s="56" t="b">
        <v>1</v>
      </c>
      <c r="AD124" s="56" t="b">
        <v>0</v>
      </c>
      <c r="AE124" s="54" t="s">
        <v>302</v>
      </c>
      <c r="AF124" s="58">
        <v>46235</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6.7173999999999998E-2</v>
      </c>
      <c r="BC124" s="60"/>
      <c r="BD124" s="61"/>
      <c r="BE124" s="62" t="s">
        <v>293</v>
      </c>
      <c r="BF124" s="35">
        <f t="shared" si="0"/>
        <v>4.0600000000000005</v>
      </c>
      <c r="BG124" s="35">
        <f t="shared" si="0"/>
        <v>6.0295000000000001E-2</v>
      </c>
      <c r="BH124" s="35" t="str">
        <f t="shared" si="209"/>
        <v>Low</v>
      </c>
      <c r="BI124" s="110">
        <f t="shared" si="210"/>
        <v>0</v>
      </c>
      <c r="BJ124" s="83">
        <f>VLOOKUP($F124,REP_Info!$D$6:$H$250,5,FALSE)</f>
        <v>1.8160000000000001</v>
      </c>
      <c r="BK124" s="30">
        <f t="shared" si="1"/>
        <v>13.5589</v>
      </c>
      <c r="BL124" s="30">
        <f t="shared" si="1"/>
        <v>13.152899999999999</v>
      </c>
      <c r="BM124" s="30">
        <f t="shared" si="1"/>
        <v>12.9499</v>
      </c>
      <c r="BN124" s="29">
        <f t="shared" si="1"/>
        <v>12.882233333333332</v>
      </c>
      <c r="BO124" s="85" t="str">
        <f t="shared" si="2"/>
        <v>$$$</v>
      </c>
      <c r="BP124" s="88" t="str">
        <f t="shared" si="211"/>
        <v>$$$</v>
      </c>
      <c r="BQ124" s="88" t="str">
        <f t="shared" si="4"/>
        <v>$$$</v>
      </c>
      <c r="BR124" s="88" t="str">
        <f t="shared" si="5"/>
        <v>$$$</v>
      </c>
      <c r="BS124" s="29" t="e">
        <f t="shared" si="218"/>
        <v>#N/A</v>
      </c>
      <c r="BT124" s="29" t="e">
        <f t="shared" si="218"/>
        <v>#N/A</v>
      </c>
      <c r="BU124" s="29" t="e">
        <f t="shared" si="218"/>
        <v>#N/A</v>
      </c>
      <c r="BV124" s="29" t="e">
        <f t="shared" si="218"/>
        <v>#N/A</v>
      </c>
      <c r="BW124" s="29" t="e">
        <f t="shared" si="218"/>
        <v>#N/A</v>
      </c>
      <c r="BX124" s="29" t="e">
        <f t="shared" si="218"/>
        <v>#N/A</v>
      </c>
      <c r="BY124" s="29" t="e">
        <f t="shared" si="218"/>
        <v>#N/A</v>
      </c>
      <c r="BZ124" s="29" t="e">
        <f t="shared" si="218"/>
        <v>#N/A</v>
      </c>
      <c r="CA124" s="29" t="e">
        <f t="shared" si="218"/>
        <v>#N/A</v>
      </c>
      <c r="CB124" s="29" t="e">
        <f t="shared" si="218"/>
        <v>#N/A</v>
      </c>
      <c r="CC124" s="29" t="e">
        <f t="shared" si="218"/>
        <v>#N/A</v>
      </c>
      <c r="CD124" s="29" t="e">
        <f t="shared" si="218"/>
        <v>#N/A</v>
      </c>
      <c r="CE124" s="6" t="str">
        <f t="shared" si="196"/>
        <v/>
      </c>
      <c r="CF124" s="27" t="e">
        <f>IF(AND(CI124,NOT(AD124)),LOOKUP(CF$5,{0,750,1500},H124:J124),"")</f>
        <v>#N/A</v>
      </c>
      <c r="CG124" s="6" t="str">
        <f t="shared" si="197"/>
        <v/>
      </c>
      <c r="CH124" t="e">
        <f t="shared" si="212"/>
        <v>#N/A</v>
      </c>
      <c r="CI124" t="e">
        <f t="shared" si="213"/>
        <v>#N/A</v>
      </c>
      <c r="CJ124" s="6" t="e">
        <f t="shared" si="11"/>
        <v>#N/A</v>
      </c>
      <c r="CK124" s="6">
        <f t="shared" si="12"/>
        <v>1</v>
      </c>
      <c r="CL124" s="6">
        <f t="shared" si="26"/>
        <v>1</v>
      </c>
      <c r="CM124" s="6">
        <f t="shared" si="13"/>
        <v>1</v>
      </c>
      <c r="CN124" s="6">
        <f t="shared" si="14"/>
        <v>1</v>
      </c>
      <c r="CO124" s="6">
        <f t="shared" si="15"/>
        <v>1</v>
      </c>
      <c r="CP124" s="6">
        <f t="shared" si="16"/>
        <v>1</v>
      </c>
      <c r="CQ124" s="6">
        <f t="shared" si="214"/>
        <v>1</v>
      </c>
      <c r="CR124" s="81" t="str">
        <f t="shared" si="17"/>
        <v/>
      </c>
      <c r="CS124">
        <f t="shared" si="215"/>
        <v>0</v>
      </c>
      <c r="CT124">
        <f t="shared" si="19"/>
        <v>150</v>
      </c>
      <c r="CU124" t="str">
        <f t="shared" si="29"/>
        <v/>
      </c>
      <c r="CV124" s="81">
        <f t="shared" si="216"/>
        <v>150</v>
      </c>
      <c r="CW124" s="81">
        <f>(CV124/25)^1.5*(Calculator!$BU$4/10000)*CW$5</f>
        <v>37.949052970673385</v>
      </c>
      <c r="CX124" t="str">
        <f t="shared" si="217"/>
        <v>$150</v>
      </c>
    </row>
    <row r="125" spans="2:102" x14ac:dyDescent="0.25">
      <c r="B125" s="115" t="s">
        <v>233</v>
      </c>
      <c r="C125" s="13">
        <v>46251.443749999999</v>
      </c>
      <c r="D125">
        <v>21784</v>
      </c>
      <c r="E125" s="54" t="s">
        <v>235</v>
      </c>
      <c r="F125" s="54" t="s">
        <v>478</v>
      </c>
      <c r="G125" s="54" t="s">
        <v>1853</v>
      </c>
      <c r="H125" s="55">
        <v>13.100000000000001</v>
      </c>
      <c r="I125" s="55">
        <v>12.6</v>
      </c>
      <c r="J125" s="55">
        <v>12.4</v>
      </c>
      <c r="K125" s="54"/>
      <c r="L125" s="56" t="b">
        <v>0</v>
      </c>
      <c r="M125" s="56" t="b">
        <v>0</v>
      </c>
      <c r="N125" s="54">
        <v>1</v>
      </c>
      <c r="O125" s="54" t="s">
        <v>228</v>
      </c>
      <c r="P125" s="54">
        <v>22</v>
      </c>
      <c r="Q125" s="54">
        <v>24</v>
      </c>
      <c r="R125" s="54">
        <v>295</v>
      </c>
      <c r="S125" s="54" t="s">
        <v>479</v>
      </c>
      <c r="T125" s="54" t="s">
        <v>2103</v>
      </c>
      <c r="U125" s="54" t="s">
        <v>480</v>
      </c>
      <c r="V125" s="54" t="s">
        <v>481</v>
      </c>
      <c r="W125" s="54" t="b">
        <v>0</v>
      </c>
      <c r="X125" s="54"/>
      <c r="Y125" s="57" t="s">
        <v>2106</v>
      </c>
      <c r="Z125" s="54" t="s">
        <v>2105</v>
      </c>
      <c r="AA125" s="54"/>
      <c r="AB125" s="54" t="s">
        <v>482</v>
      </c>
      <c r="AC125" s="56" t="b">
        <v>1</v>
      </c>
      <c r="AD125" s="56" t="b">
        <v>0</v>
      </c>
      <c r="AE125" s="54" t="s">
        <v>302</v>
      </c>
      <c r="AF125" s="58">
        <v>46249</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7.1587999999999999E-2</v>
      </c>
      <c r="BC125" s="60"/>
      <c r="BD125" s="61"/>
      <c r="BE125" s="62" t="s">
        <v>293</v>
      </c>
      <c r="BF125" s="35">
        <f t="shared" si="0"/>
        <v>4.9000000000000004</v>
      </c>
      <c r="BG125" s="35">
        <f t="shared" si="0"/>
        <v>4.9811000000000001E-2</v>
      </c>
      <c r="BH125" s="35" t="str">
        <f t="shared" si="209"/>
        <v>Low</v>
      </c>
      <c r="BI125" s="110">
        <f t="shared" si="210"/>
        <v>0</v>
      </c>
      <c r="BJ125" s="83">
        <f>VLOOKUP($F125,REP_Info!$D$6:$H$250,5,FALSE)</f>
        <v>1.8160000000000001</v>
      </c>
      <c r="BK125" s="30">
        <f t="shared" si="1"/>
        <v>13.119899999999998</v>
      </c>
      <c r="BL125" s="30">
        <f t="shared" si="1"/>
        <v>12.629900000000001</v>
      </c>
      <c r="BM125" s="30">
        <f t="shared" si="1"/>
        <v>12.3849</v>
      </c>
      <c r="BN125" s="29">
        <f t="shared" si="1"/>
        <v>12.303233333333333</v>
      </c>
      <c r="BO125" s="85" t="str">
        <f t="shared" si="2"/>
        <v>$$$</v>
      </c>
      <c r="BP125" s="88" t="str">
        <f t="shared" si="211"/>
        <v>$$$</v>
      </c>
      <c r="BQ125" s="88" t="str">
        <f t="shared" si="4"/>
        <v>$$$</v>
      </c>
      <c r="BR125" s="88" t="str">
        <f t="shared" si="5"/>
        <v>$$$</v>
      </c>
      <c r="BS125" s="29" t="e">
        <f t="shared" si="218"/>
        <v>#N/A</v>
      </c>
      <c r="BT125" s="29" t="e">
        <f t="shared" si="218"/>
        <v>#N/A</v>
      </c>
      <c r="BU125" s="29" t="e">
        <f t="shared" si="218"/>
        <v>#N/A</v>
      </c>
      <c r="BV125" s="29" t="e">
        <f t="shared" si="218"/>
        <v>#N/A</v>
      </c>
      <c r="BW125" s="29" t="e">
        <f t="shared" si="218"/>
        <v>#N/A</v>
      </c>
      <c r="BX125" s="29" t="e">
        <f t="shared" si="218"/>
        <v>#N/A</v>
      </c>
      <c r="BY125" s="29" t="e">
        <f t="shared" si="218"/>
        <v>#N/A</v>
      </c>
      <c r="BZ125" s="29" t="e">
        <f t="shared" si="218"/>
        <v>#N/A</v>
      </c>
      <c r="CA125" s="29" t="e">
        <f t="shared" si="218"/>
        <v>#N/A</v>
      </c>
      <c r="CB125" s="29" t="e">
        <f t="shared" si="218"/>
        <v>#N/A</v>
      </c>
      <c r="CC125" s="29" t="e">
        <f t="shared" si="218"/>
        <v>#N/A</v>
      </c>
      <c r="CD125" s="29" t="e">
        <f t="shared" si="218"/>
        <v>#N/A</v>
      </c>
      <c r="CE125" s="6" t="str">
        <f t="shared" si="196"/>
        <v/>
      </c>
      <c r="CF125" s="27" t="e">
        <f>IF(AND(CI125,NOT(AD125)),LOOKUP(CF$5,{0,750,1500},H125:J125),"")</f>
        <v>#N/A</v>
      </c>
      <c r="CG125" s="6" t="str">
        <f t="shared" si="197"/>
        <v/>
      </c>
      <c r="CH125" t="e">
        <f t="shared" si="212"/>
        <v>#N/A</v>
      </c>
      <c r="CI125" t="e">
        <f t="shared" si="213"/>
        <v>#N/A</v>
      </c>
      <c r="CJ125" s="6" t="e">
        <f t="shared" si="11"/>
        <v>#N/A</v>
      </c>
      <c r="CK125" s="6">
        <f t="shared" si="12"/>
        <v>1</v>
      </c>
      <c r="CL125" s="6">
        <f t="shared" si="26"/>
        <v>1</v>
      </c>
      <c r="CM125" s="6">
        <f t="shared" si="13"/>
        <v>1</v>
      </c>
      <c r="CN125" s="6">
        <f t="shared" si="14"/>
        <v>1</v>
      </c>
      <c r="CO125" s="6">
        <f t="shared" si="15"/>
        <v>0</v>
      </c>
      <c r="CP125" s="6">
        <f t="shared" si="16"/>
        <v>1</v>
      </c>
      <c r="CQ125" s="6">
        <f t="shared" si="214"/>
        <v>1</v>
      </c>
      <c r="CR125" s="81" t="str">
        <f t="shared" si="17"/>
        <v/>
      </c>
      <c r="CS125">
        <f t="shared" si="215"/>
        <v>0</v>
      </c>
      <c r="CT125">
        <f t="shared" si="19"/>
        <v>295</v>
      </c>
      <c r="CU125" t="str">
        <f t="shared" si="29"/>
        <v/>
      </c>
      <c r="CV125" s="81">
        <f t="shared" si="216"/>
        <v>295</v>
      </c>
      <c r="CW125" s="81">
        <f>(CV125/25)^1.5*(Calculator!$BU$4/10000)*CW$5</f>
        <v>104.66393961177546</v>
      </c>
      <c r="CX125" t="str">
        <f t="shared" si="217"/>
        <v>$295</v>
      </c>
    </row>
    <row r="126" spans="2:102" x14ac:dyDescent="0.25">
      <c r="B126" s="115" t="s">
        <v>233</v>
      </c>
      <c r="C126" s="13">
        <v>46237.767361111109</v>
      </c>
      <c r="D126">
        <v>21786</v>
      </c>
      <c r="E126" s="54" t="s">
        <v>237</v>
      </c>
      <c r="F126" s="54" t="s">
        <v>478</v>
      </c>
      <c r="G126" s="54" t="s">
        <v>1853</v>
      </c>
      <c r="H126" s="55">
        <v>14.2</v>
      </c>
      <c r="I126" s="55">
        <v>13.8</v>
      </c>
      <c r="J126" s="55">
        <v>13.5</v>
      </c>
      <c r="K126" s="54"/>
      <c r="L126" s="56" t="b">
        <v>0</v>
      </c>
      <c r="M126" s="56" t="b">
        <v>0</v>
      </c>
      <c r="N126" s="54">
        <v>1</v>
      </c>
      <c r="O126" s="54" t="s">
        <v>228</v>
      </c>
      <c r="P126" s="54">
        <v>22</v>
      </c>
      <c r="Q126" s="54">
        <v>24</v>
      </c>
      <c r="R126" s="54">
        <v>295</v>
      </c>
      <c r="S126" s="54" t="s">
        <v>479</v>
      </c>
      <c r="T126" s="54" t="s">
        <v>1848</v>
      </c>
      <c r="U126" s="54" t="s">
        <v>480</v>
      </c>
      <c r="V126" s="54" t="s">
        <v>481</v>
      </c>
      <c r="W126" s="54" t="b">
        <v>0</v>
      </c>
      <c r="X126" s="54"/>
      <c r="Y126" s="57" t="s">
        <v>1854</v>
      </c>
      <c r="Z126" s="54" t="s">
        <v>1852</v>
      </c>
      <c r="AA126" s="54"/>
      <c r="AB126" s="54" t="s">
        <v>482</v>
      </c>
      <c r="AC126" s="56" t="b">
        <v>1</v>
      </c>
      <c r="AD126" s="56" t="b">
        <v>0</v>
      </c>
      <c r="AE126" s="54" t="s">
        <v>302</v>
      </c>
      <c r="AF126" s="58">
        <v>46235</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7.3174000000000003E-2</v>
      </c>
      <c r="BC126" s="60"/>
      <c r="BD126" s="61"/>
      <c r="BE126" s="62" t="s">
        <v>293</v>
      </c>
      <c r="BF126" s="35">
        <f t="shared" si="0"/>
        <v>4.0600000000000005</v>
      </c>
      <c r="BG126" s="35">
        <f t="shared" si="0"/>
        <v>6.0295000000000001E-2</v>
      </c>
      <c r="BH126" s="35" t="str">
        <f t="shared" si="209"/>
        <v>Low</v>
      </c>
      <c r="BI126" s="110">
        <f t="shared" si="210"/>
        <v>0</v>
      </c>
      <c r="BJ126" s="83">
        <f>VLOOKUP($F126,REP_Info!$D$6:$H$250,5,FALSE)</f>
        <v>1.8160000000000001</v>
      </c>
      <c r="BK126" s="30">
        <f t="shared" si="1"/>
        <v>14.158899999999999</v>
      </c>
      <c r="BL126" s="30">
        <f t="shared" si="1"/>
        <v>13.7529</v>
      </c>
      <c r="BM126" s="30">
        <f t="shared" si="1"/>
        <v>13.549900000000001</v>
      </c>
      <c r="BN126" s="29">
        <f t="shared" si="1"/>
        <v>13.482233333333332</v>
      </c>
      <c r="BO126" s="85" t="str">
        <f t="shared" si="2"/>
        <v>$$$</v>
      </c>
      <c r="BP126" s="88" t="str">
        <f t="shared" si="211"/>
        <v>$$$</v>
      </c>
      <c r="BQ126" s="88" t="str">
        <f t="shared" si="4"/>
        <v>$$$</v>
      </c>
      <c r="BR126" s="88" t="str">
        <f t="shared" si="5"/>
        <v>$$$</v>
      </c>
      <c r="BS126" s="29" t="e">
        <f t="shared" si="218"/>
        <v>#N/A</v>
      </c>
      <c r="BT126" s="29" t="e">
        <f t="shared" si="218"/>
        <v>#N/A</v>
      </c>
      <c r="BU126" s="29" t="e">
        <f t="shared" si="218"/>
        <v>#N/A</v>
      </c>
      <c r="BV126" s="29" t="e">
        <f t="shared" si="218"/>
        <v>#N/A</v>
      </c>
      <c r="BW126" s="29" t="e">
        <f t="shared" si="218"/>
        <v>#N/A</v>
      </c>
      <c r="BX126" s="29" t="e">
        <f t="shared" si="218"/>
        <v>#N/A</v>
      </c>
      <c r="BY126" s="29" t="e">
        <f t="shared" si="218"/>
        <v>#N/A</v>
      </c>
      <c r="BZ126" s="29" t="e">
        <f t="shared" si="218"/>
        <v>#N/A</v>
      </c>
      <c r="CA126" s="29" t="e">
        <f t="shared" si="218"/>
        <v>#N/A</v>
      </c>
      <c r="CB126" s="29" t="e">
        <f t="shared" si="218"/>
        <v>#N/A</v>
      </c>
      <c r="CC126" s="29" t="e">
        <f t="shared" si="218"/>
        <v>#N/A</v>
      </c>
      <c r="CD126" s="29" t="e">
        <f t="shared" si="218"/>
        <v>#N/A</v>
      </c>
      <c r="CE126" s="6" t="str">
        <f t="shared" si="196"/>
        <v/>
      </c>
      <c r="CF126" s="27" t="e">
        <f>IF(AND(CI126,NOT(AD126)),LOOKUP(CF$5,{0,750,1500},H126:J126),"")</f>
        <v>#N/A</v>
      </c>
      <c r="CG126" s="6" t="str">
        <f t="shared" si="197"/>
        <v/>
      </c>
      <c r="CH126" t="e">
        <f t="shared" si="212"/>
        <v>#N/A</v>
      </c>
      <c r="CI126" t="e">
        <f t="shared" si="213"/>
        <v>#N/A</v>
      </c>
      <c r="CJ126" s="6" t="e">
        <f t="shared" si="11"/>
        <v>#N/A</v>
      </c>
      <c r="CK126" s="6">
        <f t="shared" si="12"/>
        <v>1</v>
      </c>
      <c r="CL126" s="6">
        <f t="shared" si="26"/>
        <v>1</v>
      </c>
      <c r="CM126" s="6">
        <f t="shared" si="13"/>
        <v>1</v>
      </c>
      <c r="CN126" s="6">
        <f t="shared" si="14"/>
        <v>1</v>
      </c>
      <c r="CO126" s="6">
        <f t="shared" si="15"/>
        <v>0</v>
      </c>
      <c r="CP126" s="6">
        <f t="shared" si="16"/>
        <v>1</v>
      </c>
      <c r="CQ126" s="6">
        <f t="shared" si="214"/>
        <v>1</v>
      </c>
      <c r="CR126" s="81" t="str">
        <f t="shared" si="17"/>
        <v/>
      </c>
      <c r="CS126">
        <f t="shared" si="215"/>
        <v>0</v>
      </c>
      <c r="CT126">
        <f t="shared" si="19"/>
        <v>295</v>
      </c>
      <c r="CU126" t="str">
        <f t="shared" si="29"/>
        <v/>
      </c>
      <c r="CV126" s="81">
        <f t="shared" si="216"/>
        <v>295</v>
      </c>
      <c r="CW126" s="81">
        <f>(CV126/25)^1.5*(Calculator!$BU$4/10000)*CW$5</f>
        <v>104.66393961177546</v>
      </c>
      <c r="CX126" t="str">
        <f t="shared" si="217"/>
        <v>$295</v>
      </c>
    </row>
    <row r="127" spans="2:102" x14ac:dyDescent="0.25">
      <c r="B127" s="115" t="s">
        <v>233</v>
      </c>
      <c r="C127" s="13">
        <v>46252.407638888886</v>
      </c>
      <c r="D127">
        <v>26355</v>
      </c>
      <c r="E127" s="54" t="s">
        <v>235</v>
      </c>
      <c r="F127" s="54" t="s">
        <v>478</v>
      </c>
      <c r="G127" s="54" t="s">
        <v>1847</v>
      </c>
      <c r="H127" s="55">
        <v>13.100000000000001</v>
      </c>
      <c r="I127" s="55">
        <v>12.6</v>
      </c>
      <c r="J127" s="55">
        <v>12.4</v>
      </c>
      <c r="K127" s="54"/>
      <c r="L127" s="56" t="b">
        <v>0</v>
      </c>
      <c r="M127" s="56" t="b">
        <v>0</v>
      </c>
      <c r="N127" s="54">
        <v>1</v>
      </c>
      <c r="O127" s="54" t="s">
        <v>228</v>
      </c>
      <c r="P127" s="54">
        <v>22</v>
      </c>
      <c r="Q127" s="54">
        <v>18</v>
      </c>
      <c r="R127" s="54">
        <v>180</v>
      </c>
      <c r="S127" s="54" t="s">
        <v>479</v>
      </c>
      <c r="T127" s="54" t="s">
        <v>1848</v>
      </c>
      <c r="U127" s="54" t="s">
        <v>480</v>
      </c>
      <c r="V127" s="54" t="s">
        <v>481</v>
      </c>
      <c r="W127" s="54" t="b">
        <v>0</v>
      </c>
      <c r="X127" s="54"/>
      <c r="Y127" s="57" t="s">
        <v>2107</v>
      </c>
      <c r="Z127" s="54" t="s">
        <v>1850</v>
      </c>
      <c r="AA127" s="54"/>
      <c r="AB127" s="54" t="s">
        <v>482</v>
      </c>
      <c r="AC127" s="56" t="b">
        <v>1</v>
      </c>
      <c r="AD127" s="56" t="b">
        <v>0</v>
      </c>
      <c r="AE127" s="54" t="s">
        <v>302</v>
      </c>
      <c r="AF127" s="58">
        <v>46249</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7.1587999999999999E-2</v>
      </c>
      <c r="BC127" s="60"/>
      <c r="BD127" s="61"/>
      <c r="BE127" s="62" t="s">
        <v>293</v>
      </c>
      <c r="BF127" s="35">
        <f t="shared" si="0"/>
        <v>4.9000000000000004</v>
      </c>
      <c r="BG127" s="35">
        <f t="shared" si="0"/>
        <v>4.9811000000000001E-2</v>
      </c>
      <c r="BH127" s="35" t="str">
        <f t="shared" si="209"/>
        <v>Low</v>
      </c>
      <c r="BI127" s="110">
        <f t="shared" si="210"/>
        <v>0</v>
      </c>
      <c r="BJ127" s="83">
        <f>VLOOKUP($F127,REP_Info!$D$6:$H$250,5,FALSE)</f>
        <v>1.8160000000000001</v>
      </c>
      <c r="BK127" s="30">
        <f t="shared" si="1"/>
        <v>13.119899999999998</v>
      </c>
      <c r="BL127" s="30">
        <f t="shared" si="1"/>
        <v>12.629900000000001</v>
      </c>
      <c r="BM127" s="30">
        <f t="shared" si="1"/>
        <v>12.3849</v>
      </c>
      <c r="BN127" s="29">
        <f t="shared" si="1"/>
        <v>12.303233333333333</v>
      </c>
      <c r="BO127" s="85" t="str">
        <f t="shared" si="2"/>
        <v>$$$</v>
      </c>
      <c r="BP127" s="88" t="str">
        <f t="shared" si="211"/>
        <v>$$$</v>
      </c>
      <c r="BQ127" s="88" t="str">
        <f t="shared" si="4"/>
        <v>$$$</v>
      </c>
      <c r="BR127" s="88" t="str">
        <f t="shared" si="5"/>
        <v>$$$</v>
      </c>
      <c r="BS127" s="29" t="e">
        <f t="shared" si="218"/>
        <v>#N/A</v>
      </c>
      <c r="BT127" s="29" t="e">
        <f t="shared" si="218"/>
        <v>#N/A</v>
      </c>
      <c r="BU127" s="29" t="e">
        <f t="shared" si="218"/>
        <v>#N/A</v>
      </c>
      <c r="BV127" s="29" t="e">
        <f t="shared" si="218"/>
        <v>#N/A</v>
      </c>
      <c r="BW127" s="29" t="e">
        <f t="shared" si="218"/>
        <v>#N/A</v>
      </c>
      <c r="BX127" s="29" t="e">
        <f t="shared" si="218"/>
        <v>#N/A</v>
      </c>
      <c r="BY127" s="29" t="e">
        <f t="shared" si="218"/>
        <v>#N/A</v>
      </c>
      <c r="BZ127" s="29" t="e">
        <f t="shared" si="218"/>
        <v>#N/A</v>
      </c>
      <c r="CA127" s="29" t="e">
        <f t="shared" si="218"/>
        <v>#N/A</v>
      </c>
      <c r="CB127" s="29" t="e">
        <f t="shared" si="218"/>
        <v>#N/A</v>
      </c>
      <c r="CC127" s="29" t="e">
        <f t="shared" si="218"/>
        <v>#N/A</v>
      </c>
      <c r="CD127" s="29" t="e">
        <f t="shared" si="218"/>
        <v>#N/A</v>
      </c>
      <c r="CE127" s="6" t="str">
        <f t="shared" si="196"/>
        <v/>
      </c>
      <c r="CF127" s="27" t="e">
        <f>IF(AND(CI127,NOT(AD127)),LOOKUP(CF$5,{0,750,1500},H127:J127),"")</f>
        <v>#N/A</v>
      </c>
      <c r="CG127" s="6" t="str">
        <f t="shared" si="197"/>
        <v/>
      </c>
      <c r="CH127" t="e">
        <f t="shared" si="212"/>
        <v>#N/A</v>
      </c>
      <c r="CI127" t="e">
        <f t="shared" si="213"/>
        <v>#N/A</v>
      </c>
      <c r="CJ127" s="6" t="e">
        <f t="shared" si="11"/>
        <v>#N/A</v>
      </c>
      <c r="CK127" s="6">
        <f t="shared" si="12"/>
        <v>1</v>
      </c>
      <c r="CL127" s="6">
        <f t="shared" si="26"/>
        <v>1</v>
      </c>
      <c r="CM127" s="6">
        <f t="shared" si="13"/>
        <v>1</v>
      </c>
      <c r="CN127" s="6">
        <f t="shared" si="14"/>
        <v>1</v>
      </c>
      <c r="CO127" s="6">
        <f t="shared" si="15"/>
        <v>0</v>
      </c>
      <c r="CP127" s="6">
        <f t="shared" si="16"/>
        <v>1</v>
      </c>
      <c r="CQ127" s="6">
        <f t="shared" si="214"/>
        <v>1</v>
      </c>
      <c r="CR127" s="81" t="str">
        <f t="shared" si="17"/>
        <v/>
      </c>
      <c r="CS127">
        <f t="shared" si="215"/>
        <v>0</v>
      </c>
      <c r="CT127">
        <f t="shared" si="19"/>
        <v>180</v>
      </c>
      <c r="CU127" t="str">
        <f t="shared" si="29"/>
        <v/>
      </c>
      <c r="CV127" s="81">
        <f t="shared" si="216"/>
        <v>180</v>
      </c>
      <c r="CW127" s="81">
        <f>(CV127/25)^1.5*(Calculator!$BU$4/10000)*CW$5</f>
        <v>49.885325635190988</v>
      </c>
      <c r="CX127" t="str">
        <f t="shared" si="217"/>
        <v>$180</v>
      </c>
    </row>
    <row r="128" spans="2:102" x14ac:dyDescent="0.25">
      <c r="B128" s="115" t="s">
        <v>233</v>
      </c>
      <c r="C128" s="13">
        <v>46251.443749999999</v>
      </c>
      <c r="D128">
        <v>34508</v>
      </c>
      <c r="E128" s="54" t="s">
        <v>235</v>
      </c>
      <c r="F128" s="54" t="s">
        <v>478</v>
      </c>
      <c r="G128" s="54" t="s">
        <v>1855</v>
      </c>
      <c r="H128" s="55">
        <v>12.5</v>
      </c>
      <c r="I128" s="55">
        <v>12</v>
      </c>
      <c r="J128" s="55">
        <v>11.799999999999999</v>
      </c>
      <c r="K128" s="54"/>
      <c r="L128" s="56" t="b">
        <v>0</v>
      </c>
      <c r="M128" s="56" t="b">
        <v>0</v>
      </c>
      <c r="N128" s="54">
        <v>1</v>
      </c>
      <c r="O128" s="54" t="s">
        <v>228</v>
      </c>
      <c r="P128" s="54">
        <v>22</v>
      </c>
      <c r="Q128" s="54">
        <v>10</v>
      </c>
      <c r="R128" s="54">
        <v>95</v>
      </c>
      <c r="S128" s="54" t="s">
        <v>479</v>
      </c>
      <c r="T128" s="54"/>
      <c r="U128" s="54" t="s">
        <v>480</v>
      </c>
      <c r="V128" s="54" t="s">
        <v>481</v>
      </c>
      <c r="W128" s="54" t="b">
        <v>0</v>
      </c>
      <c r="X128" s="54"/>
      <c r="Y128" s="57" t="s">
        <v>2108</v>
      </c>
      <c r="Z128" s="54" t="s">
        <v>1850</v>
      </c>
      <c r="AA128" s="54"/>
      <c r="AB128" s="54" t="s">
        <v>482</v>
      </c>
      <c r="AC128" s="56" t="b">
        <v>1</v>
      </c>
      <c r="AD128" s="56" t="b">
        <v>0</v>
      </c>
      <c r="AE128" s="54" t="s">
        <v>302</v>
      </c>
      <c r="AF128" s="58">
        <v>46249</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6.5587999999999994E-2</v>
      </c>
      <c r="BC128" s="60"/>
      <c r="BD128" s="61"/>
      <c r="BE128" s="62" t="s">
        <v>293</v>
      </c>
      <c r="BF128" s="35">
        <f t="shared" si="0"/>
        <v>4.9000000000000004</v>
      </c>
      <c r="BG128" s="35">
        <f t="shared" si="0"/>
        <v>4.9811000000000001E-2</v>
      </c>
      <c r="BH128" s="35" t="str">
        <f t="shared" si="209"/>
        <v>Low</v>
      </c>
      <c r="BI128" s="110">
        <f t="shared" si="210"/>
        <v>0</v>
      </c>
      <c r="BJ128" s="83">
        <f>VLOOKUP($F128,REP_Info!$D$6:$H$250,5,FALSE)</f>
        <v>1.8160000000000001</v>
      </c>
      <c r="BK128" s="30">
        <f t="shared" si="1"/>
        <v>12.519899999999998</v>
      </c>
      <c r="BL128" s="30">
        <f t="shared" si="1"/>
        <v>12.029900000000001</v>
      </c>
      <c r="BM128" s="30">
        <f t="shared" si="1"/>
        <v>11.7849</v>
      </c>
      <c r="BN128" s="29">
        <f t="shared" si="1"/>
        <v>11.703233333333332</v>
      </c>
      <c r="BO128" s="85" t="str">
        <f t="shared" si="2"/>
        <v>$$$</v>
      </c>
      <c r="BP128" s="88" t="str">
        <f t="shared" si="211"/>
        <v>$$$</v>
      </c>
      <c r="BQ128" s="88" t="str">
        <f t="shared" si="4"/>
        <v>$$$</v>
      </c>
      <c r="BR128" s="88" t="str">
        <f t="shared" si="5"/>
        <v>$$$</v>
      </c>
      <c r="BS128" s="29" t="e">
        <f t="shared" si="218"/>
        <v>#N/A</v>
      </c>
      <c r="BT128" s="29" t="e">
        <f t="shared" si="218"/>
        <v>#N/A</v>
      </c>
      <c r="BU128" s="29" t="e">
        <f t="shared" si="218"/>
        <v>#N/A</v>
      </c>
      <c r="BV128" s="29" t="e">
        <f t="shared" si="218"/>
        <v>#N/A</v>
      </c>
      <c r="BW128" s="29" t="e">
        <f t="shared" si="218"/>
        <v>#N/A</v>
      </c>
      <c r="BX128" s="29" t="e">
        <f t="shared" si="218"/>
        <v>#N/A</v>
      </c>
      <c r="BY128" s="29" t="e">
        <f t="shared" si="218"/>
        <v>#N/A</v>
      </c>
      <c r="BZ128" s="29" t="e">
        <f t="shared" si="218"/>
        <v>#N/A</v>
      </c>
      <c r="CA128" s="29" t="e">
        <f t="shared" si="218"/>
        <v>#N/A</v>
      </c>
      <c r="CB128" s="29" t="e">
        <f t="shared" si="218"/>
        <v>#N/A</v>
      </c>
      <c r="CC128" s="29" t="e">
        <f t="shared" si="218"/>
        <v>#N/A</v>
      </c>
      <c r="CD128" s="29" t="e">
        <f t="shared" si="218"/>
        <v>#N/A</v>
      </c>
      <c r="CE128" s="6" t="str">
        <f t="shared" si="196"/>
        <v/>
      </c>
      <c r="CF128" s="27" t="e">
        <f>IF(AND(CI128,NOT(AD128)),LOOKUP(CF$5,{0,750,1500},H128:J128),"")</f>
        <v>#N/A</v>
      </c>
      <c r="CG128" s="6" t="str">
        <f t="shared" si="197"/>
        <v/>
      </c>
      <c r="CH128" t="e">
        <f t="shared" si="212"/>
        <v>#N/A</v>
      </c>
      <c r="CI128" t="e">
        <f t="shared" si="213"/>
        <v>#N/A</v>
      </c>
      <c r="CJ128" s="6" t="e">
        <f t="shared" si="11"/>
        <v>#N/A</v>
      </c>
      <c r="CK128" s="6">
        <f t="shared" si="12"/>
        <v>1</v>
      </c>
      <c r="CL128" s="6">
        <f t="shared" si="26"/>
        <v>1</v>
      </c>
      <c r="CM128" s="6">
        <f t="shared" si="13"/>
        <v>1</v>
      </c>
      <c r="CN128" s="6">
        <f t="shared" si="14"/>
        <v>0</v>
      </c>
      <c r="CO128" s="6">
        <f t="shared" si="15"/>
        <v>1</v>
      </c>
      <c r="CP128" s="6">
        <f t="shared" si="16"/>
        <v>1</v>
      </c>
      <c r="CQ128" s="6">
        <f t="shared" si="214"/>
        <v>1</v>
      </c>
      <c r="CR128" s="81" t="str">
        <f t="shared" si="17"/>
        <v/>
      </c>
      <c r="CS128">
        <f t="shared" si="215"/>
        <v>3.5999999999999992</v>
      </c>
      <c r="CT128">
        <f t="shared" si="19"/>
        <v>95</v>
      </c>
      <c r="CU128" t="str">
        <f t="shared" si="29"/>
        <v/>
      </c>
      <c r="CV128" s="81">
        <f t="shared" si="216"/>
        <v>95</v>
      </c>
      <c r="CW128" s="81">
        <f>(CV128/25)^1.5*(Calculator!$BU$4/10000)*CW$5</f>
        <v>19.127114680457929</v>
      </c>
      <c r="CX128" t="str">
        <f t="shared" si="217"/>
        <v>$95</v>
      </c>
    </row>
    <row r="129" spans="2:102" x14ac:dyDescent="0.25">
      <c r="B129" s="115" t="s">
        <v>233</v>
      </c>
      <c r="C129" s="13">
        <v>46237.767361111109</v>
      </c>
      <c r="D129">
        <v>34512</v>
      </c>
      <c r="E129" s="54" t="s">
        <v>237</v>
      </c>
      <c r="F129" s="54" t="s">
        <v>478</v>
      </c>
      <c r="G129" s="54" t="s">
        <v>1855</v>
      </c>
      <c r="H129" s="55">
        <v>13.600000000000001</v>
      </c>
      <c r="I129" s="55">
        <v>13.200000000000001</v>
      </c>
      <c r="J129" s="55">
        <v>12.9</v>
      </c>
      <c r="K129" s="54"/>
      <c r="L129" s="56" t="b">
        <v>0</v>
      </c>
      <c r="M129" s="56" t="b">
        <v>0</v>
      </c>
      <c r="N129" s="54">
        <v>1</v>
      </c>
      <c r="O129" s="54" t="s">
        <v>228</v>
      </c>
      <c r="P129" s="54">
        <v>22</v>
      </c>
      <c r="Q129" s="54">
        <v>10</v>
      </c>
      <c r="R129" s="54">
        <v>95</v>
      </c>
      <c r="S129" s="54" t="s">
        <v>479</v>
      </c>
      <c r="T129" s="54"/>
      <c r="U129" s="54" t="s">
        <v>480</v>
      </c>
      <c r="V129" s="54" t="s">
        <v>481</v>
      </c>
      <c r="W129" s="54" t="b">
        <v>0</v>
      </c>
      <c r="X129" s="54"/>
      <c r="Y129" s="57" t="s">
        <v>1856</v>
      </c>
      <c r="Z129" s="54" t="s">
        <v>1850</v>
      </c>
      <c r="AA129" s="54"/>
      <c r="AB129" s="54" t="s">
        <v>482</v>
      </c>
      <c r="AC129" s="56" t="b">
        <v>1</v>
      </c>
      <c r="AD129" s="56" t="b">
        <v>0</v>
      </c>
      <c r="AE129" s="54" t="s">
        <v>302</v>
      </c>
      <c r="AF129" s="58">
        <v>46235</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6.7173999999999998E-2</v>
      </c>
      <c r="BC129" s="60"/>
      <c r="BD129" s="61"/>
      <c r="BE129" s="62" t="s">
        <v>293</v>
      </c>
      <c r="BF129" s="35">
        <f t="shared" si="0"/>
        <v>4.0600000000000005</v>
      </c>
      <c r="BG129" s="35">
        <f t="shared" si="0"/>
        <v>6.0295000000000001E-2</v>
      </c>
      <c r="BH129" s="35" t="str">
        <f t="shared" si="209"/>
        <v>Low</v>
      </c>
      <c r="BI129" s="110">
        <f t="shared" si="210"/>
        <v>0</v>
      </c>
      <c r="BJ129" s="83">
        <f>VLOOKUP($F129,REP_Info!$D$6:$H$250,5,FALSE)</f>
        <v>1.8160000000000001</v>
      </c>
      <c r="BK129" s="30">
        <f t="shared" si="1"/>
        <v>13.5589</v>
      </c>
      <c r="BL129" s="30">
        <f t="shared" si="1"/>
        <v>13.152899999999999</v>
      </c>
      <c r="BM129" s="30">
        <f t="shared" si="1"/>
        <v>12.9499</v>
      </c>
      <c r="BN129" s="29">
        <f t="shared" si="1"/>
        <v>12.882233333333332</v>
      </c>
      <c r="BO129" s="85" t="str">
        <f t="shared" si="2"/>
        <v>$$$</v>
      </c>
      <c r="BP129" s="88" t="str">
        <f t="shared" si="211"/>
        <v>$$$</v>
      </c>
      <c r="BQ129" s="88" t="str">
        <f t="shared" si="4"/>
        <v>$$$</v>
      </c>
      <c r="BR129" s="88" t="str">
        <f t="shared" si="5"/>
        <v>$$$</v>
      </c>
      <c r="BS129" s="29" t="e">
        <f t="shared" si="218"/>
        <v>#N/A</v>
      </c>
      <c r="BT129" s="29" t="e">
        <f t="shared" si="218"/>
        <v>#N/A</v>
      </c>
      <c r="BU129" s="29" t="e">
        <f t="shared" si="218"/>
        <v>#N/A</v>
      </c>
      <c r="BV129" s="29" t="e">
        <f t="shared" si="218"/>
        <v>#N/A</v>
      </c>
      <c r="BW129" s="29" t="e">
        <f t="shared" si="218"/>
        <v>#N/A</v>
      </c>
      <c r="BX129" s="29" t="e">
        <f t="shared" si="218"/>
        <v>#N/A</v>
      </c>
      <c r="BY129" s="29" t="e">
        <f t="shared" si="218"/>
        <v>#N/A</v>
      </c>
      <c r="BZ129" s="29" t="e">
        <f t="shared" si="218"/>
        <v>#N/A</v>
      </c>
      <c r="CA129" s="29" t="e">
        <f t="shared" si="218"/>
        <v>#N/A</v>
      </c>
      <c r="CB129" s="29" t="e">
        <f t="shared" si="218"/>
        <v>#N/A</v>
      </c>
      <c r="CC129" s="29" t="e">
        <f t="shared" si="218"/>
        <v>#N/A</v>
      </c>
      <c r="CD129" s="29" t="e">
        <f t="shared" si="218"/>
        <v>#N/A</v>
      </c>
      <c r="CE129" s="6" t="str">
        <f t="shared" si="196"/>
        <v/>
      </c>
      <c r="CF129" s="27" t="e">
        <f>IF(AND(CI129,NOT(AD129)),LOOKUP(CF$5,{0,750,1500},H129:J129),"")</f>
        <v>#N/A</v>
      </c>
      <c r="CG129" s="6" t="str">
        <f t="shared" si="197"/>
        <v/>
      </c>
      <c r="CH129" t="e">
        <f t="shared" si="212"/>
        <v>#N/A</v>
      </c>
      <c r="CI129" t="e">
        <f t="shared" si="213"/>
        <v>#N/A</v>
      </c>
      <c r="CJ129" s="6" t="e">
        <f t="shared" si="11"/>
        <v>#N/A</v>
      </c>
      <c r="CK129" s="6">
        <f t="shared" si="12"/>
        <v>1</v>
      </c>
      <c r="CL129" s="6">
        <f t="shared" si="26"/>
        <v>1</v>
      </c>
      <c r="CM129" s="6">
        <f t="shared" si="13"/>
        <v>1</v>
      </c>
      <c r="CN129" s="6">
        <f t="shared" si="14"/>
        <v>0</v>
      </c>
      <c r="CO129" s="6">
        <f t="shared" si="15"/>
        <v>1</v>
      </c>
      <c r="CP129" s="6">
        <f t="shared" si="16"/>
        <v>1</v>
      </c>
      <c r="CQ129" s="6">
        <f t="shared" si="214"/>
        <v>1</v>
      </c>
      <c r="CR129" s="81" t="str">
        <f t="shared" si="17"/>
        <v/>
      </c>
      <c r="CS129">
        <f t="shared" si="215"/>
        <v>3.5999999999999992</v>
      </c>
      <c r="CT129">
        <f t="shared" si="19"/>
        <v>95</v>
      </c>
      <c r="CU129" t="str">
        <f t="shared" si="29"/>
        <v/>
      </c>
      <c r="CV129" s="81">
        <f t="shared" si="216"/>
        <v>95</v>
      </c>
      <c r="CW129" s="81">
        <f>(CV129/25)^1.5*(Calculator!$BU$4/10000)*CW$5</f>
        <v>19.127114680457929</v>
      </c>
      <c r="CX129" t="str">
        <f t="shared" si="217"/>
        <v>$95</v>
      </c>
    </row>
    <row r="130" spans="2:102" x14ac:dyDescent="0.25">
      <c r="B130" s="115" t="s">
        <v>233</v>
      </c>
      <c r="C130" s="13">
        <v>46251.443749999999</v>
      </c>
      <c r="D130">
        <v>37204</v>
      </c>
      <c r="E130" s="54" t="s">
        <v>235</v>
      </c>
      <c r="F130" s="54" t="s">
        <v>478</v>
      </c>
      <c r="G130" s="54" t="s">
        <v>1857</v>
      </c>
      <c r="H130" s="55">
        <v>12.5</v>
      </c>
      <c r="I130" s="55">
        <v>12</v>
      </c>
      <c r="J130" s="55">
        <v>11.799999999999999</v>
      </c>
      <c r="K130" s="54"/>
      <c r="L130" s="56" t="b">
        <v>0</v>
      </c>
      <c r="M130" s="56" t="b">
        <v>0</v>
      </c>
      <c r="N130" s="54">
        <v>1</v>
      </c>
      <c r="O130" s="54" t="s">
        <v>228</v>
      </c>
      <c r="P130" s="54">
        <v>22</v>
      </c>
      <c r="Q130" s="54">
        <v>11</v>
      </c>
      <c r="R130" s="54">
        <v>95</v>
      </c>
      <c r="S130" s="54" t="s">
        <v>479</v>
      </c>
      <c r="T130" s="54"/>
      <c r="U130" s="54" t="s">
        <v>480</v>
      </c>
      <c r="V130" s="54" t="s">
        <v>481</v>
      </c>
      <c r="W130" s="54" t="b">
        <v>0</v>
      </c>
      <c r="X130" s="54"/>
      <c r="Y130" s="57" t="s">
        <v>2109</v>
      </c>
      <c r="Z130" s="54" t="s">
        <v>1850</v>
      </c>
      <c r="AA130" s="54"/>
      <c r="AB130" s="54" t="s">
        <v>482</v>
      </c>
      <c r="AC130" s="56" t="b">
        <v>1</v>
      </c>
      <c r="AD130" s="56" t="b">
        <v>0</v>
      </c>
      <c r="AE130" s="54" t="s">
        <v>302</v>
      </c>
      <c r="AF130" s="58">
        <v>46249</v>
      </c>
      <c r="AG130" s="62" t="s">
        <v>293</v>
      </c>
      <c r="AH130" s="54">
        <v>0</v>
      </c>
      <c r="AI130" s="54"/>
      <c r="AJ130" s="54"/>
      <c r="AK130" s="54"/>
      <c r="AL130" s="54"/>
      <c r="AM130" s="54">
        <v>0</v>
      </c>
      <c r="AN130" s="54"/>
      <c r="AO130" s="54"/>
      <c r="AP130" s="54"/>
      <c r="AQ130" s="54"/>
      <c r="AR130" s="54"/>
      <c r="AS130" s="54"/>
      <c r="AT130" s="54"/>
      <c r="AU130" s="54"/>
      <c r="AV130" s="54"/>
      <c r="AW130" s="54"/>
      <c r="AX130" s="59"/>
      <c r="AY130" s="59"/>
      <c r="AZ130" s="59"/>
      <c r="BA130" s="59"/>
      <c r="BB130" s="59">
        <v>6.5587999999999994E-2</v>
      </c>
      <c r="BC130" s="60"/>
      <c r="BD130" s="61"/>
      <c r="BE130" s="62" t="s">
        <v>293</v>
      </c>
      <c r="BF130" s="35">
        <f t="shared" si="0"/>
        <v>4.9000000000000004</v>
      </c>
      <c r="BG130" s="35">
        <f t="shared" si="0"/>
        <v>4.9811000000000001E-2</v>
      </c>
      <c r="BH130" s="35" t="str">
        <f t="shared" si="209"/>
        <v>Low</v>
      </c>
      <c r="BI130" s="110">
        <f t="shared" si="210"/>
        <v>0</v>
      </c>
      <c r="BJ130" s="83">
        <f>VLOOKUP($F130,REP_Info!$D$6:$H$250,5,FALSE)</f>
        <v>1.8160000000000001</v>
      </c>
      <c r="BK130" s="30">
        <f t="shared" si="1"/>
        <v>12.519899999999998</v>
      </c>
      <c r="BL130" s="30">
        <f t="shared" si="1"/>
        <v>12.029900000000001</v>
      </c>
      <c r="BM130" s="30">
        <f t="shared" si="1"/>
        <v>11.7849</v>
      </c>
      <c r="BN130" s="29">
        <f t="shared" si="1"/>
        <v>11.703233333333332</v>
      </c>
      <c r="BO130" s="85" t="str">
        <f t="shared" si="2"/>
        <v>$$$</v>
      </c>
      <c r="BP130" s="88" t="str">
        <f t="shared" si="211"/>
        <v>$$$</v>
      </c>
      <c r="BQ130" s="88" t="str">
        <f t="shared" si="4"/>
        <v>$$$</v>
      </c>
      <c r="BR130" s="88" t="str">
        <f t="shared" si="5"/>
        <v>$$$</v>
      </c>
      <c r="BS130" s="29" t="e">
        <f t="shared" si="218"/>
        <v>#N/A</v>
      </c>
      <c r="BT130" s="29" t="e">
        <f t="shared" si="218"/>
        <v>#N/A</v>
      </c>
      <c r="BU130" s="29" t="e">
        <f t="shared" si="218"/>
        <v>#N/A</v>
      </c>
      <c r="BV130" s="29" t="e">
        <f t="shared" si="218"/>
        <v>#N/A</v>
      </c>
      <c r="BW130" s="29" t="e">
        <f t="shared" si="218"/>
        <v>#N/A</v>
      </c>
      <c r="BX130" s="29" t="e">
        <f t="shared" si="218"/>
        <v>#N/A</v>
      </c>
      <c r="BY130" s="29" t="e">
        <f t="shared" si="218"/>
        <v>#N/A</v>
      </c>
      <c r="BZ130" s="29" t="e">
        <f t="shared" si="218"/>
        <v>#N/A</v>
      </c>
      <c r="CA130" s="29" t="e">
        <f t="shared" si="218"/>
        <v>#N/A</v>
      </c>
      <c r="CB130" s="29" t="e">
        <f t="shared" si="218"/>
        <v>#N/A</v>
      </c>
      <c r="CC130" s="29" t="e">
        <f t="shared" si="218"/>
        <v>#N/A</v>
      </c>
      <c r="CD130" s="29" t="e">
        <f t="shared" si="218"/>
        <v>#N/A</v>
      </c>
      <c r="CE130" s="6" t="str">
        <f t="shared" si="196"/>
        <v/>
      </c>
      <c r="CF130" s="27" t="e">
        <f>IF(AND(CI130,NOT(AD130)),LOOKUP(CF$5,{0,750,1500},H130:J130),"")</f>
        <v>#N/A</v>
      </c>
      <c r="CG130" s="6" t="str">
        <f t="shared" si="197"/>
        <v/>
      </c>
      <c r="CH130" t="e">
        <f t="shared" si="212"/>
        <v>#N/A</v>
      </c>
      <c r="CI130" t="e">
        <f t="shared" si="213"/>
        <v>#N/A</v>
      </c>
      <c r="CJ130" s="6" t="e">
        <f t="shared" si="11"/>
        <v>#N/A</v>
      </c>
      <c r="CK130" s="6">
        <f t="shared" si="12"/>
        <v>1</v>
      </c>
      <c r="CL130" s="6">
        <f t="shared" si="26"/>
        <v>1</v>
      </c>
      <c r="CM130" s="6">
        <f t="shared" si="13"/>
        <v>1</v>
      </c>
      <c r="CN130" s="6">
        <f t="shared" si="14"/>
        <v>0</v>
      </c>
      <c r="CO130" s="6">
        <f t="shared" si="15"/>
        <v>1</v>
      </c>
      <c r="CP130" s="6">
        <f t="shared" si="16"/>
        <v>1</v>
      </c>
      <c r="CQ130" s="6">
        <f t="shared" si="214"/>
        <v>1</v>
      </c>
      <c r="CR130" s="81" t="str">
        <f t="shared" si="17"/>
        <v/>
      </c>
      <c r="CS130">
        <f t="shared" si="215"/>
        <v>1.6363636363636349</v>
      </c>
      <c r="CT130">
        <f t="shared" si="19"/>
        <v>95</v>
      </c>
      <c r="CU130" t="str">
        <f t="shared" si="29"/>
        <v/>
      </c>
      <c r="CV130" s="81">
        <f t="shared" si="216"/>
        <v>95</v>
      </c>
      <c r="CW130" s="81">
        <f>(CV130/25)^1.5*(Calculator!$BU$4/10000)*CW$5</f>
        <v>19.127114680457929</v>
      </c>
      <c r="CX130" t="str">
        <f t="shared" si="217"/>
        <v>$95</v>
      </c>
    </row>
    <row r="131" spans="2:102" x14ac:dyDescent="0.25">
      <c r="B131" s="115" t="s">
        <v>233</v>
      </c>
      <c r="C131" s="13">
        <v>46237.767361111109</v>
      </c>
      <c r="D131">
        <v>37206</v>
      </c>
      <c r="E131" s="54" t="s">
        <v>237</v>
      </c>
      <c r="F131" s="54" t="s">
        <v>478</v>
      </c>
      <c r="G131" s="54" t="s">
        <v>1857</v>
      </c>
      <c r="H131" s="55">
        <v>13.600000000000001</v>
      </c>
      <c r="I131" s="55">
        <v>13.200000000000001</v>
      </c>
      <c r="J131" s="55">
        <v>12.9</v>
      </c>
      <c r="K131" s="54"/>
      <c r="L131" s="56" t="b">
        <v>0</v>
      </c>
      <c r="M131" s="56" t="b">
        <v>0</v>
      </c>
      <c r="N131" s="54">
        <v>1</v>
      </c>
      <c r="O131" s="54" t="s">
        <v>228</v>
      </c>
      <c r="P131" s="54">
        <v>22</v>
      </c>
      <c r="Q131" s="54">
        <v>11</v>
      </c>
      <c r="R131" s="54">
        <v>95</v>
      </c>
      <c r="S131" s="54" t="s">
        <v>479</v>
      </c>
      <c r="T131" s="54"/>
      <c r="U131" s="54" t="s">
        <v>480</v>
      </c>
      <c r="V131" s="54" t="s">
        <v>481</v>
      </c>
      <c r="W131" s="54" t="b">
        <v>0</v>
      </c>
      <c r="X131" s="54"/>
      <c r="Y131" s="57" t="s">
        <v>1858</v>
      </c>
      <c r="Z131" s="54" t="s">
        <v>1850</v>
      </c>
      <c r="AA131" s="54"/>
      <c r="AB131" s="54" t="s">
        <v>482</v>
      </c>
      <c r="AC131" s="56" t="b">
        <v>1</v>
      </c>
      <c r="AD131" s="56" t="b">
        <v>0</v>
      </c>
      <c r="AE131" s="54" t="s">
        <v>302</v>
      </c>
      <c r="AF131" s="58">
        <v>46235</v>
      </c>
      <c r="AG131" s="62" t="s">
        <v>293</v>
      </c>
      <c r="AH131" s="54">
        <v>0</v>
      </c>
      <c r="AI131" s="54"/>
      <c r="AJ131" s="54"/>
      <c r="AK131" s="54"/>
      <c r="AL131" s="54"/>
      <c r="AM131" s="54">
        <v>0</v>
      </c>
      <c r="AN131" s="54"/>
      <c r="AO131" s="54"/>
      <c r="AP131" s="54"/>
      <c r="AQ131" s="54"/>
      <c r="AR131" s="54"/>
      <c r="AS131" s="54"/>
      <c r="AT131" s="54"/>
      <c r="AU131" s="54"/>
      <c r="AV131" s="54"/>
      <c r="AW131" s="54"/>
      <c r="AX131" s="59"/>
      <c r="AY131" s="59"/>
      <c r="AZ131" s="59"/>
      <c r="BA131" s="59"/>
      <c r="BB131" s="59">
        <v>6.7173999999999998E-2</v>
      </c>
      <c r="BC131" s="60"/>
      <c r="BD131" s="61"/>
      <c r="BE131" s="62" t="s">
        <v>293</v>
      </c>
      <c r="BF131" s="35">
        <f t="shared" si="0"/>
        <v>4.0600000000000005</v>
      </c>
      <c r="BG131" s="35">
        <f t="shared" si="0"/>
        <v>6.0295000000000001E-2</v>
      </c>
      <c r="BH131" s="35" t="str">
        <f t="shared" si="209"/>
        <v>Low</v>
      </c>
      <c r="BI131" s="110">
        <f t="shared" si="210"/>
        <v>0</v>
      </c>
      <c r="BJ131" s="83">
        <f>VLOOKUP($F131,REP_Info!$D$6:$H$250,5,FALSE)</f>
        <v>1.8160000000000001</v>
      </c>
      <c r="BK131" s="30">
        <f t="shared" si="1"/>
        <v>13.5589</v>
      </c>
      <c r="BL131" s="30">
        <f t="shared" si="1"/>
        <v>13.152899999999999</v>
      </c>
      <c r="BM131" s="30">
        <f t="shared" si="1"/>
        <v>12.9499</v>
      </c>
      <c r="BN131" s="29">
        <f t="shared" si="1"/>
        <v>12.882233333333332</v>
      </c>
      <c r="BO131" s="85" t="str">
        <f t="shared" si="2"/>
        <v>$$$</v>
      </c>
      <c r="BP131" s="88" t="str">
        <f t="shared" si="211"/>
        <v>$$$</v>
      </c>
      <c r="BQ131" s="88" t="str">
        <f t="shared" si="4"/>
        <v>$$$</v>
      </c>
      <c r="BR131" s="88" t="str">
        <f t="shared" si="5"/>
        <v>$$$</v>
      </c>
      <c r="BS131" s="29" t="e">
        <f t="shared" si="218"/>
        <v>#N/A</v>
      </c>
      <c r="BT131" s="29" t="e">
        <f t="shared" si="218"/>
        <v>#N/A</v>
      </c>
      <c r="BU131" s="29" t="e">
        <f t="shared" si="218"/>
        <v>#N/A</v>
      </c>
      <c r="BV131" s="29" t="e">
        <f t="shared" si="218"/>
        <v>#N/A</v>
      </c>
      <c r="BW131" s="29" t="e">
        <f t="shared" si="218"/>
        <v>#N/A</v>
      </c>
      <c r="BX131" s="29" t="e">
        <f t="shared" si="218"/>
        <v>#N/A</v>
      </c>
      <c r="BY131" s="29" t="e">
        <f t="shared" si="218"/>
        <v>#N/A</v>
      </c>
      <c r="BZ131" s="29" t="e">
        <f t="shared" si="218"/>
        <v>#N/A</v>
      </c>
      <c r="CA131" s="29" t="e">
        <f t="shared" si="218"/>
        <v>#N/A</v>
      </c>
      <c r="CB131" s="29" t="e">
        <f t="shared" si="218"/>
        <v>#N/A</v>
      </c>
      <c r="CC131" s="29" t="e">
        <f t="shared" si="218"/>
        <v>#N/A</v>
      </c>
      <c r="CD131" s="29" t="e">
        <f t="shared" si="218"/>
        <v>#N/A</v>
      </c>
      <c r="CE131" s="6" t="str">
        <f t="shared" si="196"/>
        <v/>
      </c>
      <c r="CF131" s="27" t="e">
        <f>IF(AND(CI131,NOT(AD131)),LOOKUP(CF$5,{0,750,1500},H131:J131),"")</f>
        <v>#N/A</v>
      </c>
      <c r="CG131" s="6" t="str">
        <f t="shared" si="197"/>
        <v/>
      </c>
      <c r="CH131" t="e">
        <f t="shared" si="212"/>
        <v>#N/A</v>
      </c>
      <c r="CI131" t="e">
        <f t="shared" si="213"/>
        <v>#N/A</v>
      </c>
      <c r="CJ131" s="6" t="e">
        <f t="shared" si="11"/>
        <v>#N/A</v>
      </c>
      <c r="CK131" s="6">
        <f t="shared" si="12"/>
        <v>1</v>
      </c>
      <c r="CL131" s="6">
        <f t="shared" si="26"/>
        <v>1</v>
      </c>
      <c r="CM131" s="6">
        <f t="shared" si="13"/>
        <v>1</v>
      </c>
      <c r="CN131" s="6">
        <f t="shared" si="14"/>
        <v>0</v>
      </c>
      <c r="CO131" s="6">
        <f t="shared" si="15"/>
        <v>1</v>
      </c>
      <c r="CP131" s="6">
        <f t="shared" si="16"/>
        <v>1</v>
      </c>
      <c r="CQ131" s="6">
        <f t="shared" si="214"/>
        <v>1</v>
      </c>
      <c r="CR131" s="81" t="str">
        <f t="shared" si="17"/>
        <v/>
      </c>
      <c r="CS131">
        <f t="shared" si="215"/>
        <v>1.6363636363636349</v>
      </c>
      <c r="CT131">
        <f t="shared" si="19"/>
        <v>95</v>
      </c>
      <c r="CU131" t="str">
        <f t="shared" si="29"/>
        <v/>
      </c>
      <c r="CV131" s="81">
        <f t="shared" si="216"/>
        <v>95</v>
      </c>
      <c r="CW131" s="81">
        <f>(CV131/25)^1.5*(Calculator!$BU$4/10000)*CW$5</f>
        <v>19.127114680457929</v>
      </c>
      <c r="CX131" t="str">
        <f t="shared" si="217"/>
        <v>$95</v>
      </c>
    </row>
    <row r="132" spans="2:102" x14ac:dyDescent="0.25">
      <c r="B132" s="115" t="s">
        <v>233</v>
      </c>
      <c r="C132" s="13">
        <v>46256.21597222222</v>
      </c>
      <c r="D132">
        <v>34902</v>
      </c>
      <c r="E132" s="54" t="s">
        <v>235</v>
      </c>
      <c r="F132" s="54" t="s">
        <v>483</v>
      </c>
      <c r="G132" s="54" t="s">
        <v>484</v>
      </c>
      <c r="H132" s="55">
        <v>10.5</v>
      </c>
      <c r="I132" s="55">
        <v>10.5</v>
      </c>
      <c r="J132" s="55">
        <v>10.6</v>
      </c>
      <c r="K132" s="54"/>
      <c r="L132" s="56" t="b">
        <v>0</v>
      </c>
      <c r="M132" s="56" t="b">
        <v>0</v>
      </c>
      <c r="N132" s="54">
        <v>1</v>
      </c>
      <c r="O132" s="54" t="s">
        <v>228</v>
      </c>
      <c r="P132" s="54">
        <v>100</v>
      </c>
      <c r="Q132" s="54">
        <v>12</v>
      </c>
      <c r="R132" s="54" t="s">
        <v>485</v>
      </c>
      <c r="S132" s="54" t="s">
        <v>1643</v>
      </c>
      <c r="T132" s="54" t="s">
        <v>486</v>
      </c>
      <c r="U132" s="54" t="s">
        <v>487</v>
      </c>
      <c r="V132" s="54" t="s">
        <v>488</v>
      </c>
      <c r="W132" s="54" t="b">
        <v>0</v>
      </c>
      <c r="X132" s="54"/>
      <c r="Y132" s="57" t="s">
        <v>489</v>
      </c>
      <c r="Z132" s="54" t="s">
        <v>1644</v>
      </c>
      <c r="AA132" s="54"/>
      <c r="AB132" s="54" t="s">
        <v>490</v>
      </c>
      <c r="AC132" s="56" t="b">
        <v>0</v>
      </c>
      <c r="AD132" s="56" t="b">
        <v>0</v>
      </c>
      <c r="AE132" s="54" t="s">
        <v>302</v>
      </c>
      <c r="AF132" s="58">
        <v>46255</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5.5780000000000003E-2</v>
      </c>
      <c r="BC132" s="60">
        <v>4.9000000000000004</v>
      </c>
      <c r="BD132" s="61">
        <v>4.9811000000000001E-2</v>
      </c>
      <c r="BE132" s="62" t="s">
        <v>293</v>
      </c>
      <c r="BF132" s="35">
        <f t="shared" si="0"/>
        <v>4.9000000000000004</v>
      </c>
      <c r="BG132" s="35">
        <f t="shared" si="0"/>
        <v>4.9811000000000001E-2</v>
      </c>
      <c r="BH132" s="35" t="str">
        <f t="shared" si="209"/>
        <v>Low</v>
      </c>
      <c r="BI132" s="110">
        <f t="shared" si="210"/>
        <v>0</v>
      </c>
      <c r="BJ132" s="83">
        <f>VLOOKUP($F132,REP_Info!$D$6:$H$250,5,FALSE)</f>
        <v>1.5649999999999999</v>
      </c>
      <c r="BK132" s="30">
        <f t="shared" si="1"/>
        <v>10.539099999999998</v>
      </c>
      <c r="BL132" s="30">
        <f t="shared" si="1"/>
        <v>10.549100000000001</v>
      </c>
      <c r="BM132" s="30">
        <f t="shared" si="1"/>
        <v>10.5541</v>
      </c>
      <c r="BN132" s="29">
        <f t="shared" si="1"/>
        <v>10.555766666666667</v>
      </c>
      <c r="BO132" s="85" t="str">
        <f t="shared" si="2"/>
        <v>$$$</v>
      </c>
      <c r="BP132" s="88" t="str">
        <f t="shared" si="211"/>
        <v>$$$</v>
      </c>
      <c r="BQ132" s="88" t="str">
        <f t="shared" si="4"/>
        <v>$$$</v>
      </c>
      <c r="BR132" s="88" t="str">
        <f t="shared" si="5"/>
        <v>$$$</v>
      </c>
      <c r="BS132" s="29" t="e">
        <f t="shared" si="218"/>
        <v>#N/A</v>
      </c>
      <c r="BT132" s="29" t="e">
        <f t="shared" si="218"/>
        <v>#N/A</v>
      </c>
      <c r="BU132" s="29" t="e">
        <f t="shared" si="218"/>
        <v>#N/A</v>
      </c>
      <c r="BV132" s="29" t="e">
        <f t="shared" si="218"/>
        <v>#N/A</v>
      </c>
      <c r="BW132" s="29" t="e">
        <f t="shared" si="218"/>
        <v>#N/A</v>
      </c>
      <c r="BX132" s="29" t="e">
        <f t="shared" si="218"/>
        <v>#N/A</v>
      </c>
      <c r="BY132" s="29" t="e">
        <f t="shared" si="218"/>
        <v>#N/A</v>
      </c>
      <c r="BZ132" s="29" t="e">
        <f t="shared" si="218"/>
        <v>#N/A</v>
      </c>
      <c r="CA132" s="29" t="e">
        <f t="shared" si="218"/>
        <v>#N/A</v>
      </c>
      <c r="CB132" s="29" t="e">
        <f t="shared" si="218"/>
        <v>#N/A</v>
      </c>
      <c r="CC132" s="29" t="e">
        <f t="shared" si="218"/>
        <v>#N/A</v>
      </c>
      <c r="CD132" s="29" t="e">
        <f t="shared" si="218"/>
        <v>#N/A</v>
      </c>
      <c r="CE132" s="6" t="str">
        <f t="shared" si="196"/>
        <v/>
      </c>
      <c r="CF132" s="27" t="e">
        <f>IF(AND(CI132,NOT(AD132)),LOOKUP(CF$5,{0,750,1500},H132:J132),"")</f>
        <v>#N/A</v>
      </c>
      <c r="CG132" s="6" t="str">
        <f t="shared" si="197"/>
        <v/>
      </c>
      <c r="CH132" t="e">
        <f t="shared" si="212"/>
        <v>#N/A</v>
      </c>
      <c r="CI132" t="e">
        <f t="shared" si="213"/>
        <v>#N/A</v>
      </c>
      <c r="CJ132" s="6" t="e">
        <f t="shared" si="11"/>
        <v>#N/A</v>
      </c>
      <c r="CK132" s="6">
        <f t="shared" si="12"/>
        <v>1</v>
      </c>
      <c r="CL132" s="6">
        <f t="shared" si="26"/>
        <v>1</v>
      </c>
      <c r="CM132" s="6">
        <f t="shared" si="13"/>
        <v>1</v>
      </c>
      <c r="CN132" s="6">
        <f t="shared" si="14"/>
        <v>1</v>
      </c>
      <c r="CO132" s="6">
        <f t="shared" si="15"/>
        <v>1</v>
      </c>
      <c r="CP132" s="6">
        <f t="shared" si="16"/>
        <v>1</v>
      </c>
      <c r="CQ132" s="6">
        <f t="shared" si="214"/>
        <v>1</v>
      </c>
      <c r="CR132" s="81" t="str">
        <f t="shared" si="17"/>
        <v/>
      </c>
      <c r="CS132">
        <f t="shared" si="215"/>
        <v>0</v>
      </c>
      <c r="CT132">
        <f t="shared" si="19"/>
        <v>20</v>
      </c>
      <c r="CU132" t="str">
        <f t="shared" si="29"/>
        <v>rm</v>
      </c>
      <c r="CV132" s="81">
        <f t="shared" si="216"/>
        <v>240</v>
      </c>
      <c r="CW132" s="81">
        <f>(CV132/25)^1.5*(Calculator!$BU$4/10000)*CW$5</f>
        <v>76.803483157572401</v>
      </c>
      <c r="CX132" t="str">
        <f t="shared" si="217"/>
        <v>$20/rm</v>
      </c>
    </row>
    <row r="133" spans="2:102" x14ac:dyDescent="0.25">
      <c r="B133" s="115" t="s">
        <v>233</v>
      </c>
      <c r="C133" s="13">
        <v>46254.637499999997</v>
      </c>
      <c r="D133">
        <v>34904</v>
      </c>
      <c r="E133" s="54" t="s">
        <v>237</v>
      </c>
      <c r="F133" s="54" t="s">
        <v>483</v>
      </c>
      <c r="G133" s="54" t="s">
        <v>484</v>
      </c>
      <c r="H133" s="55">
        <v>11.700000000000001</v>
      </c>
      <c r="I133" s="55">
        <v>11.700000000000001</v>
      </c>
      <c r="J133" s="55">
        <v>11.799999999999999</v>
      </c>
      <c r="K133" s="54"/>
      <c r="L133" s="56" t="b">
        <v>0</v>
      </c>
      <c r="M133" s="56" t="b">
        <v>0</v>
      </c>
      <c r="N133" s="54">
        <v>1</v>
      </c>
      <c r="O133" s="54" t="s">
        <v>228</v>
      </c>
      <c r="P133" s="54">
        <v>100</v>
      </c>
      <c r="Q133" s="54">
        <v>12</v>
      </c>
      <c r="R133" s="54" t="s">
        <v>485</v>
      </c>
      <c r="S133" s="54" t="s">
        <v>1643</v>
      </c>
      <c r="T133" s="54" t="s">
        <v>486</v>
      </c>
      <c r="U133" s="54" t="s">
        <v>487</v>
      </c>
      <c r="V133" s="54" t="s">
        <v>488</v>
      </c>
      <c r="W133" s="54" t="b">
        <v>0</v>
      </c>
      <c r="X133" s="54"/>
      <c r="Y133" s="57" t="s">
        <v>491</v>
      </c>
      <c r="Z133" s="54" t="s">
        <v>1645</v>
      </c>
      <c r="AA133" s="54"/>
      <c r="AB133" s="54" t="s">
        <v>490</v>
      </c>
      <c r="AC133" s="56" t="b">
        <v>0</v>
      </c>
      <c r="AD133" s="56" t="b">
        <v>0</v>
      </c>
      <c r="AE133" s="54" t="s">
        <v>302</v>
      </c>
      <c r="AF133" s="58">
        <v>46254</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5.8139999999999997E-2</v>
      </c>
      <c r="BC133" s="60">
        <v>4.0599999999999996</v>
      </c>
      <c r="BD133" s="61">
        <v>6.0295000000000001E-2</v>
      </c>
      <c r="BE133" s="62" t="s">
        <v>293</v>
      </c>
      <c r="BF133" s="35">
        <f t="shared" si="0"/>
        <v>4.0600000000000005</v>
      </c>
      <c r="BG133" s="35">
        <f t="shared" si="0"/>
        <v>6.0295000000000001E-2</v>
      </c>
      <c r="BH133" s="35" t="str">
        <f t="shared" si="209"/>
        <v>Low</v>
      </c>
      <c r="BI133" s="110">
        <f t="shared" si="210"/>
        <v>0</v>
      </c>
      <c r="BJ133" s="83">
        <f>VLOOKUP($F133,REP_Info!$D$6:$H$250,5,FALSE)</f>
        <v>1.5649999999999999</v>
      </c>
      <c r="BK133" s="30">
        <f t="shared" si="1"/>
        <v>11.6555</v>
      </c>
      <c r="BL133" s="30">
        <f t="shared" si="1"/>
        <v>11.749499999999999</v>
      </c>
      <c r="BM133" s="30">
        <f t="shared" si="1"/>
        <v>11.7965</v>
      </c>
      <c r="BN133" s="29">
        <f t="shared" si="1"/>
        <v>11.812166666666666</v>
      </c>
      <c r="BO133" s="85" t="str">
        <f t="shared" si="2"/>
        <v>$$$</v>
      </c>
      <c r="BP133" s="88" t="str">
        <f t="shared" si="211"/>
        <v>$$$</v>
      </c>
      <c r="BQ133" s="88" t="str">
        <f t="shared" si="4"/>
        <v>$$$</v>
      </c>
      <c r="BR133" s="88" t="str">
        <f t="shared" si="5"/>
        <v>$$$</v>
      </c>
      <c r="BS133" s="29" t="e">
        <f t="shared" si="218"/>
        <v>#N/A</v>
      </c>
      <c r="BT133" s="29" t="e">
        <f t="shared" si="218"/>
        <v>#N/A</v>
      </c>
      <c r="BU133" s="29" t="e">
        <f t="shared" si="218"/>
        <v>#N/A</v>
      </c>
      <c r="BV133" s="29" t="e">
        <f t="shared" si="218"/>
        <v>#N/A</v>
      </c>
      <c r="BW133" s="29" t="e">
        <f t="shared" si="218"/>
        <v>#N/A</v>
      </c>
      <c r="BX133" s="29" t="e">
        <f t="shared" si="218"/>
        <v>#N/A</v>
      </c>
      <c r="BY133" s="29" t="e">
        <f t="shared" si="218"/>
        <v>#N/A</v>
      </c>
      <c r="BZ133" s="29" t="e">
        <f t="shared" si="218"/>
        <v>#N/A</v>
      </c>
      <c r="CA133" s="29" t="e">
        <f t="shared" si="218"/>
        <v>#N/A</v>
      </c>
      <c r="CB133" s="29" t="e">
        <f t="shared" si="218"/>
        <v>#N/A</v>
      </c>
      <c r="CC133" s="29" t="e">
        <f t="shared" si="218"/>
        <v>#N/A</v>
      </c>
      <c r="CD133" s="29" t="e">
        <f t="shared" si="218"/>
        <v>#N/A</v>
      </c>
      <c r="CE133" s="6" t="str">
        <f t="shared" si="196"/>
        <v/>
      </c>
      <c r="CF133" s="27" t="e">
        <f>IF(AND(CI133,NOT(AD133)),LOOKUP(CF$5,{0,750,1500},H133:J133),"")</f>
        <v>#N/A</v>
      </c>
      <c r="CG133" s="6" t="str">
        <f t="shared" si="197"/>
        <v/>
      </c>
      <c r="CH133" t="e">
        <f t="shared" si="212"/>
        <v>#N/A</v>
      </c>
      <c r="CI133" t="e">
        <f t="shared" si="213"/>
        <v>#N/A</v>
      </c>
      <c r="CJ133" s="6" t="e">
        <f t="shared" si="11"/>
        <v>#N/A</v>
      </c>
      <c r="CK133" s="6">
        <f t="shared" si="12"/>
        <v>1</v>
      </c>
      <c r="CL133" s="6">
        <f t="shared" si="26"/>
        <v>1</v>
      </c>
      <c r="CM133" s="6">
        <f t="shared" si="13"/>
        <v>1</v>
      </c>
      <c r="CN133" s="6">
        <f t="shared" si="14"/>
        <v>1</v>
      </c>
      <c r="CO133" s="6">
        <f t="shared" si="15"/>
        <v>1</v>
      </c>
      <c r="CP133" s="6">
        <f t="shared" si="16"/>
        <v>1</v>
      </c>
      <c r="CQ133" s="6">
        <f t="shared" si="214"/>
        <v>1</v>
      </c>
      <c r="CR133" s="81" t="str">
        <f t="shared" si="17"/>
        <v/>
      </c>
      <c r="CS133">
        <f t="shared" si="215"/>
        <v>0</v>
      </c>
      <c r="CT133">
        <f t="shared" si="19"/>
        <v>20</v>
      </c>
      <c r="CU133" t="str">
        <f t="shared" si="29"/>
        <v>rm</v>
      </c>
      <c r="CV133" s="81">
        <f t="shared" si="216"/>
        <v>240</v>
      </c>
      <c r="CW133" s="81">
        <f>(CV133/25)^1.5*(Calculator!$BU$4/10000)*CW$5</f>
        <v>76.803483157572401</v>
      </c>
      <c r="CX133" t="str">
        <f t="shared" si="217"/>
        <v>$20/rm</v>
      </c>
    </row>
    <row r="134" spans="2:102" x14ac:dyDescent="0.25">
      <c r="B134" s="115" t="s">
        <v>233</v>
      </c>
      <c r="C134" s="13">
        <v>46254.637499999997</v>
      </c>
      <c r="D134">
        <v>34912</v>
      </c>
      <c r="E134" s="54" t="s">
        <v>235</v>
      </c>
      <c r="F134" s="54" t="s">
        <v>483</v>
      </c>
      <c r="G134" s="54" t="s">
        <v>492</v>
      </c>
      <c r="H134" s="55">
        <v>11.899999999999999</v>
      </c>
      <c r="I134" s="55">
        <v>11.899999999999999</v>
      </c>
      <c r="J134" s="55">
        <v>12</v>
      </c>
      <c r="K134" s="54"/>
      <c r="L134" s="56" t="b">
        <v>0</v>
      </c>
      <c r="M134" s="56" t="b">
        <v>0</v>
      </c>
      <c r="N134" s="54">
        <v>1</v>
      </c>
      <c r="O134" s="54" t="s">
        <v>228</v>
      </c>
      <c r="P134" s="54">
        <v>100</v>
      </c>
      <c r="Q134" s="54">
        <v>24</v>
      </c>
      <c r="R134" s="54" t="s">
        <v>485</v>
      </c>
      <c r="S134" s="54" t="s">
        <v>1643</v>
      </c>
      <c r="T134" s="54" t="s">
        <v>486</v>
      </c>
      <c r="U134" s="54" t="s">
        <v>487</v>
      </c>
      <c r="V134" s="54" t="s">
        <v>488</v>
      </c>
      <c r="W134" s="54" t="b">
        <v>0</v>
      </c>
      <c r="X134" s="54"/>
      <c r="Y134" s="57" t="s">
        <v>493</v>
      </c>
      <c r="Z134" s="54" t="s">
        <v>1646</v>
      </c>
      <c r="AA134" s="54"/>
      <c r="AB134" s="54" t="s">
        <v>490</v>
      </c>
      <c r="AC134" s="56" t="b">
        <v>0</v>
      </c>
      <c r="AD134" s="56" t="b">
        <v>0</v>
      </c>
      <c r="AE134" s="54" t="s">
        <v>302</v>
      </c>
      <c r="AF134" s="58">
        <v>46254</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6.9779999999999995E-2</v>
      </c>
      <c r="BC134" s="60">
        <v>4.9000000000000004</v>
      </c>
      <c r="BD134" s="61">
        <v>4.9811000000000001E-2</v>
      </c>
      <c r="BE134" s="62" t="s">
        <v>293</v>
      </c>
      <c r="BF134" s="35">
        <f t="shared" si="0"/>
        <v>4.9000000000000004</v>
      </c>
      <c r="BG134" s="35">
        <f t="shared" si="0"/>
        <v>4.9811000000000001E-2</v>
      </c>
      <c r="BH134" s="35" t="str">
        <f t="shared" si="209"/>
        <v>Low</v>
      </c>
      <c r="BI134" s="110">
        <f t="shared" si="210"/>
        <v>0</v>
      </c>
      <c r="BJ134" s="83">
        <f>VLOOKUP($F134,REP_Info!$D$6:$H$250,5,FALSE)</f>
        <v>1.5649999999999999</v>
      </c>
      <c r="BK134" s="30">
        <f t="shared" si="1"/>
        <v>11.939099999999998</v>
      </c>
      <c r="BL134" s="30">
        <f t="shared" si="1"/>
        <v>11.949100000000001</v>
      </c>
      <c r="BM134" s="30">
        <f t="shared" si="1"/>
        <v>11.9541</v>
      </c>
      <c r="BN134" s="29">
        <f t="shared" si="1"/>
        <v>11.955766666666667</v>
      </c>
      <c r="BO134" s="85" t="str">
        <f t="shared" si="2"/>
        <v>$$$</v>
      </c>
      <c r="BP134" s="88" t="str">
        <f t="shared" si="211"/>
        <v>$$$</v>
      </c>
      <c r="BQ134" s="88" t="str">
        <f t="shared" si="4"/>
        <v>$$$</v>
      </c>
      <c r="BR134" s="88" t="str">
        <f t="shared" si="5"/>
        <v>$$$</v>
      </c>
      <c r="BS134" s="29" t="e">
        <f t="shared" si="218"/>
        <v>#N/A</v>
      </c>
      <c r="BT134" s="29" t="e">
        <f t="shared" si="218"/>
        <v>#N/A</v>
      </c>
      <c r="BU134" s="29" t="e">
        <f t="shared" si="218"/>
        <v>#N/A</v>
      </c>
      <c r="BV134" s="29" t="e">
        <f t="shared" si="218"/>
        <v>#N/A</v>
      </c>
      <c r="BW134" s="29" t="e">
        <f t="shared" si="218"/>
        <v>#N/A</v>
      </c>
      <c r="BX134" s="29" t="e">
        <f t="shared" si="218"/>
        <v>#N/A</v>
      </c>
      <c r="BY134" s="29" t="e">
        <f t="shared" si="218"/>
        <v>#N/A</v>
      </c>
      <c r="BZ134" s="29" t="e">
        <f t="shared" si="218"/>
        <v>#N/A</v>
      </c>
      <c r="CA134" s="29" t="e">
        <f t="shared" si="218"/>
        <v>#N/A</v>
      </c>
      <c r="CB134" s="29" t="e">
        <f t="shared" si="218"/>
        <v>#N/A</v>
      </c>
      <c r="CC134" s="29" t="e">
        <f t="shared" si="218"/>
        <v>#N/A</v>
      </c>
      <c r="CD134" s="29" t="e">
        <f t="shared" si="218"/>
        <v>#N/A</v>
      </c>
      <c r="CE134" s="6" t="str">
        <f t="shared" si="196"/>
        <v/>
      </c>
      <c r="CF134" s="27" t="e">
        <f>IF(AND(CI134,NOT(AD134)),LOOKUP(CF$5,{0,750,1500},H134:J134),"")</f>
        <v>#N/A</v>
      </c>
      <c r="CG134" s="6" t="str">
        <f t="shared" si="197"/>
        <v/>
      </c>
      <c r="CH134" t="e">
        <f t="shared" si="212"/>
        <v>#N/A</v>
      </c>
      <c r="CI134" t="e">
        <f t="shared" si="213"/>
        <v>#N/A</v>
      </c>
      <c r="CJ134" s="6" t="e">
        <f t="shared" si="11"/>
        <v>#N/A</v>
      </c>
      <c r="CK134" s="6">
        <f t="shared" si="12"/>
        <v>1</v>
      </c>
      <c r="CL134" s="6">
        <f t="shared" si="26"/>
        <v>1</v>
      </c>
      <c r="CM134" s="6">
        <f t="shared" si="13"/>
        <v>1</v>
      </c>
      <c r="CN134" s="6">
        <f t="shared" si="14"/>
        <v>1</v>
      </c>
      <c r="CO134" s="6">
        <f t="shared" si="15"/>
        <v>0</v>
      </c>
      <c r="CP134" s="6">
        <f t="shared" si="16"/>
        <v>1</v>
      </c>
      <c r="CQ134" s="6">
        <f t="shared" si="214"/>
        <v>1</v>
      </c>
      <c r="CR134" s="81" t="str">
        <f t="shared" si="17"/>
        <v/>
      </c>
      <c r="CS134">
        <f t="shared" si="215"/>
        <v>0</v>
      </c>
      <c r="CT134">
        <f t="shared" si="19"/>
        <v>20</v>
      </c>
      <c r="CU134" t="str">
        <f t="shared" si="29"/>
        <v>rm</v>
      </c>
      <c r="CV134" s="81">
        <f t="shared" si="216"/>
        <v>480</v>
      </c>
      <c r="CW134" s="81">
        <f>(CV134/25)^1.5*(Calculator!$BU$4/10000)*CW$5</f>
        <v>217.23305503786497</v>
      </c>
      <c r="CX134" t="str">
        <f t="shared" si="217"/>
        <v>$20/rm</v>
      </c>
    </row>
    <row r="135" spans="2:102" x14ac:dyDescent="0.25">
      <c r="B135" s="115" t="s">
        <v>233</v>
      </c>
      <c r="C135" s="13">
        <v>46253.410416666666</v>
      </c>
      <c r="D135">
        <v>34914</v>
      </c>
      <c r="E135" s="54" t="s">
        <v>237</v>
      </c>
      <c r="F135" s="54" t="s">
        <v>483</v>
      </c>
      <c r="G135" s="54" t="s">
        <v>492</v>
      </c>
      <c r="H135" s="55">
        <v>13.100000000000001</v>
      </c>
      <c r="I135" s="55">
        <v>13.100000000000001</v>
      </c>
      <c r="J135" s="55">
        <v>13.200000000000001</v>
      </c>
      <c r="K135" s="54"/>
      <c r="L135" s="56" t="b">
        <v>0</v>
      </c>
      <c r="M135" s="56" t="b">
        <v>0</v>
      </c>
      <c r="N135" s="54">
        <v>1</v>
      </c>
      <c r="O135" s="54" t="s">
        <v>228</v>
      </c>
      <c r="P135" s="54">
        <v>100</v>
      </c>
      <c r="Q135" s="54">
        <v>24</v>
      </c>
      <c r="R135" s="54" t="s">
        <v>485</v>
      </c>
      <c r="S135" s="54" t="s">
        <v>1643</v>
      </c>
      <c r="T135" s="54" t="s">
        <v>486</v>
      </c>
      <c r="U135" s="54" t="s">
        <v>487</v>
      </c>
      <c r="V135" s="54" t="s">
        <v>488</v>
      </c>
      <c r="W135" s="54" t="b">
        <v>0</v>
      </c>
      <c r="X135" s="54"/>
      <c r="Y135" s="57" t="s">
        <v>494</v>
      </c>
      <c r="Z135" s="54" t="s">
        <v>1647</v>
      </c>
      <c r="AA135" s="54"/>
      <c r="AB135" s="54" t="s">
        <v>490</v>
      </c>
      <c r="AC135" s="56" t="b">
        <v>0</v>
      </c>
      <c r="AD135" s="56" t="b">
        <v>0</v>
      </c>
      <c r="AE135" s="54" t="s">
        <v>302</v>
      </c>
      <c r="AF135" s="58">
        <v>46252</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7.2139999999999996E-2</v>
      </c>
      <c r="BC135" s="60">
        <v>4.0599999999999996</v>
      </c>
      <c r="BD135" s="61">
        <v>6.0295000000000001E-2</v>
      </c>
      <c r="BE135" s="62" t="s">
        <v>293</v>
      </c>
      <c r="BF135" s="35">
        <f t="shared" si="0"/>
        <v>4.0600000000000005</v>
      </c>
      <c r="BG135" s="35">
        <f t="shared" si="0"/>
        <v>6.0295000000000001E-2</v>
      </c>
      <c r="BH135" s="35" t="str">
        <f t="shared" si="209"/>
        <v>Low</v>
      </c>
      <c r="BI135" s="110">
        <f t="shared" si="210"/>
        <v>0</v>
      </c>
      <c r="BJ135" s="83">
        <f>VLOOKUP($F135,REP_Info!$D$6:$H$250,5,FALSE)</f>
        <v>1.5649999999999999</v>
      </c>
      <c r="BK135" s="30">
        <f t="shared" si="1"/>
        <v>13.0555</v>
      </c>
      <c r="BL135" s="30">
        <f t="shared" si="1"/>
        <v>13.1495</v>
      </c>
      <c r="BM135" s="30">
        <f t="shared" si="1"/>
        <v>13.1965</v>
      </c>
      <c r="BN135" s="29">
        <f t="shared" si="1"/>
        <v>13.212166666666667</v>
      </c>
      <c r="BO135" s="85" t="str">
        <f t="shared" si="2"/>
        <v>$$$</v>
      </c>
      <c r="BP135" s="88" t="str">
        <f t="shared" si="211"/>
        <v>$$$</v>
      </c>
      <c r="BQ135" s="88" t="str">
        <f t="shared" si="4"/>
        <v>$$$</v>
      </c>
      <c r="BR135" s="88" t="str">
        <f t="shared" si="5"/>
        <v>$$$</v>
      </c>
      <c r="BS135" s="29" t="e">
        <f t="shared" si="218"/>
        <v>#N/A</v>
      </c>
      <c r="BT135" s="29" t="e">
        <f t="shared" si="218"/>
        <v>#N/A</v>
      </c>
      <c r="BU135" s="29" t="e">
        <f t="shared" si="218"/>
        <v>#N/A</v>
      </c>
      <c r="BV135" s="29" t="e">
        <f t="shared" si="218"/>
        <v>#N/A</v>
      </c>
      <c r="BW135" s="29" t="e">
        <f t="shared" si="218"/>
        <v>#N/A</v>
      </c>
      <c r="BX135" s="29" t="e">
        <f t="shared" si="218"/>
        <v>#N/A</v>
      </c>
      <c r="BY135" s="29" t="e">
        <f t="shared" ref="BS135:CD156" si="219">IF($CI135,IF(BY$7&gt;0,IF(BY$4&gt;$Q135,$BF135+BY$7*(BY$5+$BG135+$BI135),LOOKUP(BY$7,$AH135:$AL135,$AM135:$AQ135)+IF($AG135="Y",SUMPRODUCT($AX135:$BB135-$AW135:$BA135,BY$7-$AR135:$AV135,N(BY$7&gt;$AR135:$AV135)),BY$7*LOOKUP(BY$7,$AR135:$AV135,$AX135:$BB135))+IF($BE135="Y",$BF135,$BC135)+BY$7*IF($BE135="Y",$BG135,$BD135))*100/BY$7,""),NA())</f>
        <v>#N/A</v>
      </c>
      <c r="BZ135" s="29" t="e">
        <f t="shared" si="219"/>
        <v>#N/A</v>
      </c>
      <c r="CA135" s="29" t="e">
        <f t="shared" si="219"/>
        <v>#N/A</v>
      </c>
      <c r="CB135" s="29" t="e">
        <f t="shared" si="219"/>
        <v>#N/A</v>
      </c>
      <c r="CC135" s="29" t="e">
        <f t="shared" si="219"/>
        <v>#N/A</v>
      </c>
      <c r="CD135" s="29" t="e">
        <f t="shared" si="219"/>
        <v>#N/A</v>
      </c>
      <c r="CE135" s="6" t="str">
        <f t="shared" si="196"/>
        <v/>
      </c>
      <c r="CF135" s="27" t="e">
        <f>IF(AND(CI135,NOT(AD135)),LOOKUP(CF$5,{0,750,1500},H135:J135),"")</f>
        <v>#N/A</v>
      </c>
      <c r="CG135" s="6" t="str">
        <f t="shared" si="197"/>
        <v/>
      </c>
      <c r="CH135" t="e">
        <f t="shared" si="212"/>
        <v>#N/A</v>
      </c>
      <c r="CI135" t="e">
        <f t="shared" si="213"/>
        <v>#N/A</v>
      </c>
      <c r="CJ135" s="6" t="e">
        <f t="shared" si="11"/>
        <v>#N/A</v>
      </c>
      <c r="CK135" s="6">
        <f t="shared" si="12"/>
        <v>1</v>
      </c>
      <c r="CL135" s="6">
        <f t="shared" si="26"/>
        <v>1</v>
      </c>
      <c r="CM135" s="6">
        <f t="shared" si="13"/>
        <v>1</v>
      </c>
      <c r="CN135" s="6">
        <f t="shared" si="14"/>
        <v>1</v>
      </c>
      <c r="CO135" s="6">
        <f t="shared" si="15"/>
        <v>0</v>
      </c>
      <c r="CP135" s="6">
        <f t="shared" si="16"/>
        <v>1</v>
      </c>
      <c r="CQ135" s="6">
        <f t="shared" si="214"/>
        <v>1</v>
      </c>
      <c r="CR135" s="81" t="str">
        <f t="shared" si="17"/>
        <v/>
      </c>
      <c r="CS135">
        <f t="shared" si="215"/>
        <v>0</v>
      </c>
      <c r="CT135">
        <f t="shared" si="19"/>
        <v>20</v>
      </c>
      <c r="CU135" t="str">
        <f t="shared" si="29"/>
        <v>rm</v>
      </c>
      <c r="CV135" s="81">
        <f t="shared" si="216"/>
        <v>480</v>
      </c>
      <c r="CW135" s="81">
        <f>(CV135/25)^1.5*(Calculator!$BU$4/10000)*CW$5</f>
        <v>217.23305503786497</v>
      </c>
      <c r="CX135" t="str">
        <f t="shared" si="217"/>
        <v>$20/rm</v>
      </c>
    </row>
    <row r="136" spans="2:102" x14ac:dyDescent="0.25">
      <c r="B136" s="115" t="s">
        <v>233</v>
      </c>
      <c r="C136" s="13">
        <v>46252.407638888886</v>
      </c>
      <c r="D136">
        <v>34922</v>
      </c>
      <c r="E136" s="54" t="s">
        <v>235</v>
      </c>
      <c r="F136" s="54" t="s">
        <v>483</v>
      </c>
      <c r="G136" s="54" t="s">
        <v>495</v>
      </c>
      <c r="H136" s="55">
        <v>12.6</v>
      </c>
      <c r="I136" s="55">
        <v>12.6</v>
      </c>
      <c r="J136" s="55">
        <v>12.6</v>
      </c>
      <c r="K136" s="54"/>
      <c r="L136" s="56" t="b">
        <v>0</v>
      </c>
      <c r="M136" s="56" t="b">
        <v>0</v>
      </c>
      <c r="N136" s="54">
        <v>1</v>
      </c>
      <c r="O136" s="54" t="s">
        <v>228</v>
      </c>
      <c r="P136" s="54">
        <v>100</v>
      </c>
      <c r="Q136" s="54">
        <v>36</v>
      </c>
      <c r="R136" s="54" t="s">
        <v>485</v>
      </c>
      <c r="S136" s="54" t="s">
        <v>1643</v>
      </c>
      <c r="T136" s="54" t="s">
        <v>486</v>
      </c>
      <c r="U136" s="54" t="s">
        <v>487</v>
      </c>
      <c r="V136" s="54" t="s">
        <v>488</v>
      </c>
      <c r="W136" s="54" t="b">
        <v>0</v>
      </c>
      <c r="X136" s="54"/>
      <c r="Y136" s="57" t="s">
        <v>496</v>
      </c>
      <c r="Z136" s="54" t="s">
        <v>1648</v>
      </c>
      <c r="AA136" s="54"/>
      <c r="AB136" s="54" t="s">
        <v>490</v>
      </c>
      <c r="AC136" s="56" t="b">
        <v>0</v>
      </c>
      <c r="AD136" s="56" t="b">
        <v>0</v>
      </c>
      <c r="AE136" s="54" t="s">
        <v>302</v>
      </c>
      <c r="AF136" s="58">
        <v>46251</v>
      </c>
      <c r="AG136" s="62" t="s">
        <v>293</v>
      </c>
      <c r="AH136" s="54">
        <v>0</v>
      </c>
      <c r="AI136" s="54"/>
      <c r="AJ136" s="54"/>
      <c r="AK136" s="54"/>
      <c r="AL136" s="54"/>
      <c r="AM136" s="54">
        <v>-5</v>
      </c>
      <c r="AN136" s="54"/>
      <c r="AO136" s="54"/>
      <c r="AP136" s="54"/>
      <c r="AQ136" s="54"/>
      <c r="AR136" s="54"/>
      <c r="AS136" s="54"/>
      <c r="AT136" s="54"/>
      <c r="AU136" s="54"/>
      <c r="AV136" s="54"/>
      <c r="AW136" s="54"/>
      <c r="AX136" s="59"/>
      <c r="AY136" s="59"/>
      <c r="AZ136" s="59"/>
      <c r="BA136" s="59"/>
      <c r="BB136" s="59">
        <v>7.6130000000000003E-2</v>
      </c>
      <c r="BC136" s="60">
        <v>4.9000000000000004</v>
      </c>
      <c r="BD136" s="61">
        <v>4.9811000000000001E-2</v>
      </c>
      <c r="BE136" s="62" t="s">
        <v>293</v>
      </c>
      <c r="BF136" s="35">
        <f t="shared" si="0"/>
        <v>4.9000000000000004</v>
      </c>
      <c r="BG136" s="35">
        <f t="shared" si="0"/>
        <v>4.9811000000000001E-2</v>
      </c>
      <c r="BH136" s="35" t="str">
        <f t="shared" si="209"/>
        <v>Low</v>
      </c>
      <c r="BI136" s="110">
        <f t="shared" si="210"/>
        <v>0</v>
      </c>
      <c r="BJ136" s="83">
        <f>VLOOKUP($F136,REP_Info!$D$6:$H$250,5,FALSE)</f>
        <v>1.5649999999999999</v>
      </c>
      <c r="BK136" s="30">
        <f t="shared" si="1"/>
        <v>12.574100000000001</v>
      </c>
      <c r="BL136" s="30">
        <f t="shared" si="1"/>
        <v>12.584100000000001</v>
      </c>
      <c r="BM136" s="30">
        <f t="shared" si="1"/>
        <v>12.589100000000002</v>
      </c>
      <c r="BN136" s="29">
        <f t="shared" si="1"/>
        <v>12.590766666666667</v>
      </c>
      <c r="BO136" s="85" t="str">
        <f t="shared" si="2"/>
        <v>$$$</v>
      </c>
      <c r="BP136" s="88" t="str">
        <f t="shared" si="211"/>
        <v>$$$</v>
      </c>
      <c r="BQ136" s="88" t="str">
        <f t="shared" si="4"/>
        <v>$$$</v>
      </c>
      <c r="BR136" s="88" t="str">
        <f t="shared" si="5"/>
        <v>$$$</v>
      </c>
      <c r="BS136" s="29" t="e">
        <f t="shared" si="219"/>
        <v>#N/A</v>
      </c>
      <c r="BT136" s="29" t="e">
        <f t="shared" si="219"/>
        <v>#N/A</v>
      </c>
      <c r="BU136" s="29" t="e">
        <f t="shared" si="219"/>
        <v>#N/A</v>
      </c>
      <c r="BV136" s="29" t="e">
        <f t="shared" si="219"/>
        <v>#N/A</v>
      </c>
      <c r="BW136" s="29" t="e">
        <f t="shared" si="219"/>
        <v>#N/A</v>
      </c>
      <c r="BX136" s="29" t="e">
        <f t="shared" si="219"/>
        <v>#N/A</v>
      </c>
      <c r="BY136" s="29" t="e">
        <f t="shared" si="219"/>
        <v>#N/A</v>
      </c>
      <c r="BZ136" s="29" t="e">
        <f t="shared" si="219"/>
        <v>#N/A</v>
      </c>
      <c r="CA136" s="29" t="e">
        <f t="shared" si="219"/>
        <v>#N/A</v>
      </c>
      <c r="CB136" s="29" t="e">
        <f t="shared" si="219"/>
        <v>#N/A</v>
      </c>
      <c r="CC136" s="29" t="e">
        <f t="shared" si="219"/>
        <v>#N/A</v>
      </c>
      <c r="CD136" s="29" t="e">
        <f t="shared" si="219"/>
        <v>#N/A</v>
      </c>
      <c r="CE136" s="6" t="str">
        <f t="shared" si="196"/>
        <v/>
      </c>
      <c r="CF136" s="27" t="e">
        <f>IF(AND(CI136,NOT(AD136)),LOOKUP(CF$5,{0,750,1500},H136:J136),"")</f>
        <v>#N/A</v>
      </c>
      <c r="CG136" s="6" t="str">
        <f t="shared" si="197"/>
        <v/>
      </c>
      <c r="CH136" t="e">
        <f t="shared" si="212"/>
        <v>#N/A</v>
      </c>
      <c r="CI136" t="e">
        <f t="shared" si="213"/>
        <v>#N/A</v>
      </c>
      <c r="CJ136" s="6" t="e">
        <f t="shared" si="11"/>
        <v>#N/A</v>
      </c>
      <c r="CK136" s="6">
        <f t="shared" si="12"/>
        <v>1</v>
      </c>
      <c r="CL136" s="6">
        <f t="shared" si="26"/>
        <v>1</v>
      </c>
      <c r="CM136" s="6">
        <f t="shared" si="13"/>
        <v>1</v>
      </c>
      <c r="CN136" s="6">
        <f t="shared" si="14"/>
        <v>1</v>
      </c>
      <c r="CO136" s="6">
        <f t="shared" si="15"/>
        <v>0</v>
      </c>
      <c r="CP136" s="6">
        <f t="shared" si="16"/>
        <v>1</v>
      </c>
      <c r="CQ136" s="6">
        <f t="shared" si="214"/>
        <v>1</v>
      </c>
      <c r="CR136" s="81" t="str">
        <f t="shared" si="17"/>
        <v/>
      </c>
      <c r="CS136">
        <f t="shared" si="215"/>
        <v>0</v>
      </c>
      <c r="CT136">
        <f t="shared" si="19"/>
        <v>20</v>
      </c>
      <c r="CU136" t="str">
        <f t="shared" si="29"/>
        <v>rm</v>
      </c>
      <c r="CV136" s="81">
        <f t="shared" si="216"/>
        <v>720</v>
      </c>
      <c r="CW136" s="81">
        <f>(CV136/25)^1.5*(Calculator!$BU$4/10000)*CW$5</f>
        <v>399.08260508152779</v>
      </c>
      <c r="CX136" t="str">
        <f t="shared" si="217"/>
        <v>$20/rm</v>
      </c>
    </row>
    <row r="137" spans="2:102" x14ac:dyDescent="0.25">
      <c r="B137" s="115" t="s">
        <v>233</v>
      </c>
      <c r="C137" s="13">
        <v>46254.637499999997</v>
      </c>
      <c r="D137">
        <v>34924</v>
      </c>
      <c r="E137" s="54" t="s">
        <v>237</v>
      </c>
      <c r="F137" s="54" t="s">
        <v>483</v>
      </c>
      <c r="G137" s="54" t="s">
        <v>495</v>
      </c>
      <c r="H137" s="55">
        <v>13.3</v>
      </c>
      <c r="I137" s="55">
        <v>13.3</v>
      </c>
      <c r="J137" s="55">
        <v>13.4</v>
      </c>
      <c r="K137" s="54"/>
      <c r="L137" s="56" t="b">
        <v>0</v>
      </c>
      <c r="M137" s="56" t="b">
        <v>0</v>
      </c>
      <c r="N137" s="54">
        <v>1</v>
      </c>
      <c r="O137" s="54" t="s">
        <v>228</v>
      </c>
      <c r="P137" s="54">
        <v>100</v>
      </c>
      <c r="Q137" s="54">
        <v>36</v>
      </c>
      <c r="R137" s="54" t="s">
        <v>485</v>
      </c>
      <c r="S137" s="54" t="s">
        <v>1643</v>
      </c>
      <c r="T137" s="54" t="s">
        <v>486</v>
      </c>
      <c r="U137" s="54" t="s">
        <v>487</v>
      </c>
      <c r="V137" s="54" t="s">
        <v>488</v>
      </c>
      <c r="W137" s="54" t="b">
        <v>0</v>
      </c>
      <c r="X137" s="54"/>
      <c r="Y137" s="57" t="s">
        <v>497</v>
      </c>
      <c r="Z137" s="54" t="s">
        <v>1649</v>
      </c>
      <c r="AA137" s="54"/>
      <c r="AB137" s="54" t="s">
        <v>490</v>
      </c>
      <c r="AC137" s="56" t="b">
        <v>0</v>
      </c>
      <c r="AD137" s="56" t="b">
        <v>0</v>
      </c>
      <c r="AE137" s="54" t="s">
        <v>302</v>
      </c>
      <c r="AF137" s="58">
        <v>46254</v>
      </c>
      <c r="AG137" s="62" t="s">
        <v>293</v>
      </c>
      <c r="AH137" s="54">
        <v>0</v>
      </c>
      <c r="AI137" s="54"/>
      <c r="AJ137" s="54"/>
      <c r="AK137" s="54"/>
      <c r="AL137" s="54"/>
      <c r="AM137" s="54">
        <v>-5</v>
      </c>
      <c r="AN137" s="54"/>
      <c r="AO137" s="54"/>
      <c r="AP137" s="54"/>
      <c r="AQ137" s="54"/>
      <c r="AR137" s="54"/>
      <c r="AS137" s="54"/>
      <c r="AT137" s="54"/>
      <c r="AU137" s="54"/>
      <c r="AV137" s="54"/>
      <c r="AW137" s="54"/>
      <c r="AX137" s="59"/>
      <c r="AY137" s="59"/>
      <c r="AZ137" s="59"/>
      <c r="BA137" s="59"/>
      <c r="BB137" s="59">
        <v>7.4139999999999998E-2</v>
      </c>
      <c r="BC137" s="60">
        <v>4.0599999999999996</v>
      </c>
      <c r="BD137" s="61">
        <v>6.0295000000000001E-2</v>
      </c>
      <c r="BE137" s="62" t="s">
        <v>293</v>
      </c>
      <c r="BF137" s="35">
        <f t="shared" si="0"/>
        <v>4.0600000000000005</v>
      </c>
      <c r="BG137" s="35">
        <f t="shared" si="0"/>
        <v>6.0295000000000001E-2</v>
      </c>
      <c r="BH137" s="35" t="str">
        <f t="shared" si="209"/>
        <v>Low</v>
      </c>
      <c r="BI137" s="110">
        <f t="shared" si="210"/>
        <v>0</v>
      </c>
      <c r="BJ137" s="83">
        <f>VLOOKUP($F137,REP_Info!$D$6:$H$250,5,FALSE)</f>
        <v>1.5649999999999999</v>
      </c>
      <c r="BK137" s="30">
        <f t="shared" si="1"/>
        <v>13.2555</v>
      </c>
      <c r="BL137" s="30">
        <f t="shared" si="1"/>
        <v>13.349500000000001</v>
      </c>
      <c r="BM137" s="30">
        <f t="shared" si="1"/>
        <v>13.3965</v>
      </c>
      <c r="BN137" s="29">
        <f t="shared" si="1"/>
        <v>13.412166666666666</v>
      </c>
      <c r="BO137" s="85" t="str">
        <f t="shared" si="2"/>
        <v>$$$</v>
      </c>
      <c r="BP137" s="88" t="str">
        <f t="shared" si="211"/>
        <v>$$$</v>
      </c>
      <c r="BQ137" s="88" t="str">
        <f t="shared" si="4"/>
        <v>$$$</v>
      </c>
      <c r="BR137" s="88" t="str">
        <f t="shared" si="5"/>
        <v>$$$</v>
      </c>
      <c r="BS137" s="29" t="e">
        <f t="shared" si="219"/>
        <v>#N/A</v>
      </c>
      <c r="BT137" s="29" t="e">
        <f t="shared" si="219"/>
        <v>#N/A</v>
      </c>
      <c r="BU137" s="29" t="e">
        <f t="shared" si="219"/>
        <v>#N/A</v>
      </c>
      <c r="BV137" s="29" t="e">
        <f t="shared" si="219"/>
        <v>#N/A</v>
      </c>
      <c r="BW137" s="29" t="e">
        <f t="shared" si="219"/>
        <v>#N/A</v>
      </c>
      <c r="BX137" s="29" t="e">
        <f t="shared" si="219"/>
        <v>#N/A</v>
      </c>
      <c r="BY137" s="29" t="e">
        <f t="shared" si="219"/>
        <v>#N/A</v>
      </c>
      <c r="BZ137" s="29" t="e">
        <f t="shared" si="219"/>
        <v>#N/A</v>
      </c>
      <c r="CA137" s="29" t="e">
        <f t="shared" si="219"/>
        <v>#N/A</v>
      </c>
      <c r="CB137" s="29" t="e">
        <f t="shared" si="219"/>
        <v>#N/A</v>
      </c>
      <c r="CC137" s="29" t="e">
        <f t="shared" si="219"/>
        <v>#N/A</v>
      </c>
      <c r="CD137" s="29" t="e">
        <f t="shared" si="219"/>
        <v>#N/A</v>
      </c>
      <c r="CE137" s="6" t="str">
        <f t="shared" si="196"/>
        <v/>
      </c>
      <c r="CF137" s="27" t="e">
        <f>IF(AND(CI137,NOT(AD137)),LOOKUP(CF$5,{0,750,1500},H137:J137),"")</f>
        <v>#N/A</v>
      </c>
      <c r="CG137" s="6" t="str">
        <f t="shared" si="197"/>
        <v/>
      </c>
      <c r="CH137" t="e">
        <f t="shared" si="212"/>
        <v>#N/A</v>
      </c>
      <c r="CI137" t="e">
        <f t="shared" si="213"/>
        <v>#N/A</v>
      </c>
      <c r="CJ137" s="6" t="e">
        <f t="shared" si="11"/>
        <v>#N/A</v>
      </c>
      <c r="CK137" s="6">
        <f t="shared" si="12"/>
        <v>1</v>
      </c>
      <c r="CL137" s="6">
        <f t="shared" si="26"/>
        <v>1</v>
      </c>
      <c r="CM137" s="6">
        <f t="shared" si="13"/>
        <v>1</v>
      </c>
      <c r="CN137" s="6">
        <f t="shared" si="14"/>
        <v>1</v>
      </c>
      <c r="CO137" s="6">
        <f t="shared" si="15"/>
        <v>0</v>
      </c>
      <c r="CP137" s="6">
        <f t="shared" si="16"/>
        <v>1</v>
      </c>
      <c r="CQ137" s="6">
        <f t="shared" si="214"/>
        <v>1</v>
      </c>
      <c r="CR137" s="81" t="str">
        <f t="shared" si="17"/>
        <v/>
      </c>
      <c r="CS137">
        <f t="shared" si="215"/>
        <v>0</v>
      </c>
      <c r="CT137">
        <f t="shared" si="19"/>
        <v>20</v>
      </c>
      <c r="CU137" t="str">
        <f t="shared" si="29"/>
        <v>rm</v>
      </c>
      <c r="CV137" s="81">
        <f t="shared" si="216"/>
        <v>720</v>
      </c>
      <c r="CW137" s="81">
        <f>(CV137/25)^1.5*(Calculator!$BU$4/10000)*CW$5</f>
        <v>399.08260508152779</v>
      </c>
      <c r="CX137" t="str">
        <f t="shared" si="217"/>
        <v>$20/rm</v>
      </c>
    </row>
    <row r="138" spans="2:102" x14ac:dyDescent="0.25">
      <c r="B138" s="115" t="s">
        <v>233</v>
      </c>
      <c r="C138" s="13">
        <v>46256.21597222222</v>
      </c>
      <c r="D138">
        <v>35029</v>
      </c>
      <c r="E138" s="54" t="s">
        <v>235</v>
      </c>
      <c r="F138" s="54" t="s">
        <v>483</v>
      </c>
      <c r="G138" s="54" t="s">
        <v>2274</v>
      </c>
      <c r="H138" s="55">
        <v>9.9</v>
      </c>
      <c r="I138" s="55">
        <v>9.9</v>
      </c>
      <c r="J138" s="55">
        <v>10</v>
      </c>
      <c r="K138" s="54"/>
      <c r="L138" s="56" t="b">
        <v>0</v>
      </c>
      <c r="M138" s="56" t="b">
        <v>0</v>
      </c>
      <c r="N138" s="54">
        <v>1</v>
      </c>
      <c r="O138" s="54" t="s">
        <v>228</v>
      </c>
      <c r="P138" s="54">
        <v>100</v>
      </c>
      <c r="Q138" s="54">
        <v>9</v>
      </c>
      <c r="R138" s="54" t="s">
        <v>485</v>
      </c>
      <c r="S138" s="54" t="s">
        <v>2275</v>
      </c>
      <c r="T138" s="54" t="s">
        <v>486</v>
      </c>
      <c r="U138" s="54" t="s">
        <v>487</v>
      </c>
      <c r="V138" s="54" t="s">
        <v>488</v>
      </c>
      <c r="W138" s="54" t="b">
        <v>0</v>
      </c>
      <c r="X138" s="54"/>
      <c r="Y138" s="57" t="s">
        <v>2276</v>
      </c>
      <c r="Z138" s="54" t="s">
        <v>2277</v>
      </c>
      <c r="AA138" s="54"/>
      <c r="AB138" s="54" t="s">
        <v>490</v>
      </c>
      <c r="AC138" s="56" t="b">
        <v>0</v>
      </c>
      <c r="AD138" s="56" t="b">
        <v>0</v>
      </c>
      <c r="AE138" s="54" t="s">
        <v>302</v>
      </c>
      <c r="AF138" s="58">
        <v>46255</v>
      </c>
      <c r="AG138" s="62" t="s">
        <v>293</v>
      </c>
      <c r="AH138" s="54">
        <v>0</v>
      </c>
      <c r="AI138" s="54"/>
      <c r="AJ138" s="54"/>
      <c r="AK138" s="54"/>
      <c r="AL138" s="54"/>
      <c r="AM138" s="54">
        <v>-5</v>
      </c>
      <c r="AN138" s="54"/>
      <c r="AO138" s="54"/>
      <c r="AP138" s="54"/>
      <c r="AQ138" s="54"/>
      <c r="AR138" s="54"/>
      <c r="AS138" s="54"/>
      <c r="AT138" s="54"/>
      <c r="AU138" s="54"/>
      <c r="AV138" s="54"/>
      <c r="AW138" s="54"/>
      <c r="AX138" s="59"/>
      <c r="AY138" s="59"/>
      <c r="AZ138" s="59"/>
      <c r="BA138" s="59"/>
      <c r="BB138" s="59">
        <v>4.9779999999999998E-2</v>
      </c>
      <c r="BC138" s="60">
        <v>4.9000000000000004</v>
      </c>
      <c r="BD138" s="61">
        <v>4.9811000000000001E-2</v>
      </c>
      <c r="BE138" s="62" t="s">
        <v>293</v>
      </c>
      <c r="BF138" s="35">
        <f t="shared" si="0"/>
        <v>4.9000000000000004</v>
      </c>
      <c r="BG138" s="35">
        <f t="shared" si="0"/>
        <v>4.9811000000000001E-2</v>
      </c>
      <c r="BH138" s="35" t="str">
        <f t="shared" si="209"/>
        <v>Low</v>
      </c>
      <c r="BI138" s="110">
        <f t="shared" si="210"/>
        <v>0</v>
      </c>
      <c r="BJ138" s="83">
        <f>VLOOKUP($F138,REP_Info!$D$6:$H$250,5,FALSE)</f>
        <v>1.5649999999999999</v>
      </c>
      <c r="BK138" s="30">
        <f t="shared" si="1"/>
        <v>9.939099999999998</v>
      </c>
      <c r="BL138" s="30">
        <f t="shared" si="1"/>
        <v>9.9490999999999996</v>
      </c>
      <c r="BM138" s="30">
        <f t="shared" si="1"/>
        <v>9.9541000000000004</v>
      </c>
      <c r="BN138" s="29">
        <f t="shared" si="1"/>
        <v>9.9557666666666655</v>
      </c>
      <c r="BO138" s="85" t="str">
        <f t="shared" si="2"/>
        <v>$$$</v>
      </c>
      <c r="BP138" s="88" t="str">
        <f t="shared" si="211"/>
        <v>$$$</v>
      </c>
      <c r="BQ138" s="88" t="str">
        <f t="shared" si="4"/>
        <v>$$$</v>
      </c>
      <c r="BR138" s="88" t="str">
        <f t="shared" si="5"/>
        <v>$$$</v>
      </c>
      <c r="BS138" s="29" t="e">
        <f t="shared" si="219"/>
        <v>#N/A</v>
      </c>
      <c r="BT138" s="29" t="e">
        <f t="shared" si="219"/>
        <v>#N/A</v>
      </c>
      <c r="BU138" s="29" t="e">
        <f t="shared" si="219"/>
        <v>#N/A</v>
      </c>
      <c r="BV138" s="29" t="e">
        <f t="shared" si="219"/>
        <v>#N/A</v>
      </c>
      <c r="BW138" s="29" t="e">
        <f t="shared" si="219"/>
        <v>#N/A</v>
      </c>
      <c r="BX138" s="29" t="e">
        <f t="shared" si="219"/>
        <v>#N/A</v>
      </c>
      <c r="BY138" s="29" t="e">
        <f t="shared" si="219"/>
        <v>#N/A</v>
      </c>
      <c r="BZ138" s="29" t="e">
        <f t="shared" si="219"/>
        <v>#N/A</v>
      </c>
      <c r="CA138" s="29" t="e">
        <f t="shared" si="219"/>
        <v>#N/A</v>
      </c>
      <c r="CB138" s="29" t="e">
        <f t="shared" si="219"/>
        <v>#N/A</v>
      </c>
      <c r="CC138" s="29" t="e">
        <f t="shared" si="219"/>
        <v>#N/A</v>
      </c>
      <c r="CD138" s="29" t="e">
        <f t="shared" si="219"/>
        <v>#N/A</v>
      </c>
      <c r="CE138" s="6" t="str">
        <f t="shared" si="196"/>
        <v/>
      </c>
      <c r="CF138" s="27" t="e">
        <f>IF(AND(CI138,NOT(AD138)),LOOKUP(CF$5,{0,750,1500},H138:J138),"")</f>
        <v>#N/A</v>
      </c>
      <c r="CG138" s="6" t="str">
        <f t="shared" si="197"/>
        <v/>
      </c>
      <c r="CH138" t="e">
        <f t="shared" si="212"/>
        <v>#N/A</v>
      </c>
      <c r="CI138" t="e">
        <f t="shared" si="213"/>
        <v>#N/A</v>
      </c>
      <c r="CJ138" s="6" t="e">
        <f t="shared" si="11"/>
        <v>#N/A</v>
      </c>
      <c r="CK138" s="6">
        <f t="shared" si="12"/>
        <v>1</v>
      </c>
      <c r="CL138" s="6">
        <f t="shared" si="26"/>
        <v>1</v>
      </c>
      <c r="CM138" s="6">
        <f t="shared" si="13"/>
        <v>1</v>
      </c>
      <c r="CN138" s="6">
        <f t="shared" si="14"/>
        <v>0</v>
      </c>
      <c r="CO138" s="6">
        <f t="shared" si="15"/>
        <v>1</v>
      </c>
      <c r="CP138" s="6">
        <f t="shared" si="16"/>
        <v>1</v>
      </c>
      <c r="CQ138" s="6">
        <f t="shared" si="214"/>
        <v>1</v>
      </c>
      <c r="CR138" s="81" t="str">
        <f t="shared" si="17"/>
        <v/>
      </c>
      <c r="CS138">
        <f t="shared" si="215"/>
        <v>5.9999999999999982</v>
      </c>
      <c r="CT138">
        <f t="shared" si="19"/>
        <v>20</v>
      </c>
      <c r="CU138" t="str">
        <f t="shared" si="29"/>
        <v>rm</v>
      </c>
      <c r="CV138" s="81">
        <f t="shared" si="216"/>
        <v>180</v>
      </c>
      <c r="CW138" s="81">
        <f>(CV138/25)^1.5*(Calculator!$BU$4/10000)*CW$5</f>
        <v>49.885325635190988</v>
      </c>
      <c r="CX138" t="str">
        <f t="shared" si="217"/>
        <v>$20/rm</v>
      </c>
    </row>
    <row r="139" spans="2:102" x14ac:dyDescent="0.25">
      <c r="B139" s="115" t="s">
        <v>233</v>
      </c>
      <c r="C139" s="13">
        <v>46256.21597222222</v>
      </c>
      <c r="D139">
        <v>35031</v>
      </c>
      <c r="E139" s="54" t="s">
        <v>237</v>
      </c>
      <c r="F139" s="54" t="s">
        <v>483</v>
      </c>
      <c r="G139" s="54" t="s">
        <v>2274</v>
      </c>
      <c r="H139" s="55">
        <v>10.7</v>
      </c>
      <c r="I139" s="55">
        <v>10.7</v>
      </c>
      <c r="J139" s="55">
        <v>10.8</v>
      </c>
      <c r="K139" s="54"/>
      <c r="L139" s="56" t="b">
        <v>0</v>
      </c>
      <c r="M139" s="56" t="b">
        <v>0</v>
      </c>
      <c r="N139" s="54">
        <v>1</v>
      </c>
      <c r="O139" s="54" t="s">
        <v>228</v>
      </c>
      <c r="P139" s="54">
        <v>100</v>
      </c>
      <c r="Q139" s="54">
        <v>9</v>
      </c>
      <c r="R139" s="54" t="s">
        <v>485</v>
      </c>
      <c r="S139" s="54" t="s">
        <v>2275</v>
      </c>
      <c r="T139" s="54" t="s">
        <v>486</v>
      </c>
      <c r="U139" s="54" t="s">
        <v>487</v>
      </c>
      <c r="V139" s="54" t="s">
        <v>488</v>
      </c>
      <c r="W139" s="54" t="b">
        <v>0</v>
      </c>
      <c r="X139" s="54"/>
      <c r="Y139" s="57" t="s">
        <v>2278</v>
      </c>
      <c r="Z139" s="54" t="s">
        <v>2279</v>
      </c>
      <c r="AA139" s="54"/>
      <c r="AB139" s="54" t="s">
        <v>490</v>
      </c>
      <c r="AC139" s="56" t="b">
        <v>0</v>
      </c>
      <c r="AD139" s="56" t="b">
        <v>0</v>
      </c>
      <c r="AE139" s="54" t="s">
        <v>302</v>
      </c>
      <c r="AF139" s="58">
        <v>46255</v>
      </c>
      <c r="AG139" s="62" t="s">
        <v>293</v>
      </c>
      <c r="AH139" s="54">
        <v>0</v>
      </c>
      <c r="AI139" s="54"/>
      <c r="AJ139" s="54"/>
      <c r="AK139" s="54"/>
      <c r="AL139" s="54"/>
      <c r="AM139" s="54">
        <v>-5</v>
      </c>
      <c r="AN139" s="54"/>
      <c r="AO139" s="54"/>
      <c r="AP139" s="54"/>
      <c r="AQ139" s="54"/>
      <c r="AR139" s="54"/>
      <c r="AS139" s="54"/>
      <c r="AT139" s="54"/>
      <c r="AU139" s="54"/>
      <c r="AV139" s="54"/>
      <c r="AW139" s="54"/>
      <c r="AX139" s="59"/>
      <c r="AY139" s="59"/>
      <c r="AZ139" s="59"/>
      <c r="BA139" s="59"/>
      <c r="BB139" s="59">
        <v>4.8140000000000002E-2</v>
      </c>
      <c r="BC139" s="60">
        <v>4.0599999999999996</v>
      </c>
      <c r="BD139" s="61">
        <v>6.0295000000000001E-2</v>
      </c>
      <c r="BE139" s="62" t="s">
        <v>293</v>
      </c>
      <c r="BF139" s="35">
        <f t="shared" si="0"/>
        <v>4.0600000000000005</v>
      </c>
      <c r="BG139" s="35">
        <f t="shared" si="0"/>
        <v>6.0295000000000001E-2</v>
      </c>
      <c r="BH139" s="35" t="str">
        <f t="shared" si="209"/>
        <v>Low</v>
      </c>
      <c r="BI139" s="110">
        <f t="shared" si="210"/>
        <v>0</v>
      </c>
      <c r="BJ139" s="83">
        <f>VLOOKUP($F139,REP_Info!$D$6:$H$250,5,FALSE)</f>
        <v>1.5649999999999999</v>
      </c>
      <c r="BK139" s="30">
        <f t="shared" si="1"/>
        <v>10.6555</v>
      </c>
      <c r="BL139" s="30">
        <f t="shared" si="1"/>
        <v>10.749499999999999</v>
      </c>
      <c r="BM139" s="30">
        <f t="shared" si="1"/>
        <v>10.7965</v>
      </c>
      <c r="BN139" s="29">
        <f t="shared" si="1"/>
        <v>10.812166666666666</v>
      </c>
      <c r="BO139" s="85" t="str">
        <f t="shared" si="2"/>
        <v>$$$</v>
      </c>
      <c r="BP139" s="88" t="str">
        <f t="shared" si="211"/>
        <v>$$$</v>
      </c>
      <c r="BQ139" s="88" t="str">
        <f t="shared" si="4"/>
        <v>$$$</v>
      </c>
      <c r="BR139" s="88" t="str">
        <f t="shared" si="5"/>
        <v>$$$</v>
      </c>
      <c r="BS139" s="29" t="e">
        <f t="shared" si="219"/>
        <v>#N/A</v>
      </c>
      <c r="BT139" s="29" t="e">
        <f t="shared" si="219"/>
        <v>#N/A</v>
      </c>
      <c r="BU139" s="29" t="e">
        <f t="shared" si="219"/>
        <v>#N/A</v>
      </c>
      <c r="BV139" s="29" t="e">
        <f t="shared" si="219"/>
        <v>#N/A</v>
      </c>
      <c r="BW139" s="29" t="e">
        <f t="shared" si="219"/>
        <v>#N/A</v>
      </c>
      <c r="BX139" s="29" t="e">
        <f t="shared" si="219"/>
        <v>#N/A</v>
      </c>
      <c r="BY139" s="29" t="e">
        <f t="shared" si="219"/>
        <v>#N/A</v>
      </c>
      <c r="BZ139" s="29" t="e">
        <f t="shared" si="219"/>
        <v>#N/A</v>
      </c>
      <c r="CA139" s="29" t="e">
        <f t="shared" si="219"/>
        <v>#N/A</v>
      </c>
      <c r="CB139" s="29" t="e">
        <f t="shared" si="219"/>
        <v>#N/A</v>
      </c>
      <c r="CC139" s="29" t="e">
        <f t="shared" si="219"/>
        <v>#N/A</v>
      </c>
      <c r="CD139" s="29" t="e">
        <f t="shared" si="219"/>
        <v>#N/A</v>
      </c>
      <c r="CE139" s="6" t="str">
        <f t="shared" si="196"/>
        <v/>
      </c>
      <c r="CF139" s="27" t="e">
        <f>IF(AND(CI139,NOT(AD139)),LOOKUP(CF$5,{0,750,1500},H139:J139),"")</f>
        <v>#N/A</v>
      </c>
      <c r="CG139" s="6" t="str">
        <f t="shared" si="197"/>
        <v/>
      </c>
      <c r="CH139" t="e">
        <f t="shared" si="212"/>
        <v>#N/A</v>
      </c>
      <c r="CI139" t="e">
        <f t="shared" si="213"/>
        <v>#N/A</v>
      </c>
      <c r="CJ139" s="6" t="e">
        <f t="shared" si="11"/>
        <v>#N/A</v>
      </c>
      <c r="CK139" s="6">
        <f t="shared" si="12"/>
        <v>1</v>
      </c>
      <c r="CL139" s="6">
        <f t="shared" si="26"/>
        <v>1</v>
      </c>
      <c r="CM139" s="6">
        <f t="shared" si="13"/>
        <v>1</v>
      </c>
      <c r="CN139" s="6">
        <f t="shared" si="14"/>
        <v>0</v>
      </c>
      <c r="CO139" s="6">
        <f t="shared" si="15"/>
        <v>1</v>
      </c>
      <c r="CP139" s="6">
        <f t="shared" si="16"/>
        <v>1</v>
      </c>
      <c r="CQ139" s="6">
        <f t="shared" si="214"/>
        <v>1</v>
      </c>
      <c r="CR139" s="81" t="str">
        <f t="shared" si="17"/>
        <v/>
      </c>
      <c r="CS139">
        <f t="shared" si="215"/>
        <v>5.9999999999999982</v>
      </c>
      <c r="CT139">
        <f t="shared" si="19"/>
        <v>20</v>
      </c>
      <c r="CU139" t="str">
        <f t="shared" si="29"/>
        <v>rm</v>
      </c>
      <c r="CV139" s="81">
        <f t="shared" si="216"/>
        <v>180</v>
      </c>
      <c r="CW139" s="81">
        <f>(CV139/25)^1.5*(Calculator!$BU$4/10000)*CW$5</f>
        <v>49.885325635190988</v>
      </c>
      <c r="CX139" t="str">
        <f t="shared" si="217"/>
        <v>$20/rm</v>
      </c>
    </row>
    <row r="140" spans="2:102" x14ac:dyDescent="0.25">
      <c r="B140" s="115" t="s">
        <v>233</v>
      </c>
      <c r="C140" s="13">
        <v>46252.407638888886</v>
      </c>
      <c r="D140">
        <v>36363</v>
      </c>
      <c r="E140" s="54" t="s">
        <v>235</v>
      </c>
      <c r="F140" s="54" t="s">
        <v>483</v>
      </c>
      <c r="G140" s="54" t="s">
        <v>1609</v>
      </c>
      <c r="H140" s="55">
        <v>18.600000000000001</v>
      </c>
      <c r="I140" s="55">
        <v>6.1</v>
      </c>
      <c r="J140" s="55">
        <v>12.3</v>
      </c>
      <c r="K140" s="54" t="s">
        <v>1610</v>
      </c>
      <c r="L140" s="56" t="b">
        <v>0</v>
      </c>
      <c r="M140" s="56" t="b">
        <v>0</v>
      </c>
      <c r="N140" s="54">
        <v>1</v>
      </c>
      <c r="O140" s="54" t="s">
        <v>228</v>
      </c>
      <c r="P140" s="54">
        <v>100</v>
      </c>
      <c r="Q140" s="54">
        <v>12</v>
      </c>
      <c r="R140" s="54" t="s">
        <v>485</v>
      </c>
      <c r="S140" s="54" t="s">
        <v>1643</v>
      </c>
      <c r="T140" s="54" t="s">
        <v>486</v>
      </c>
      <c r="U140" s="54" t="s">
        <v>487</v>
      </c>
      <c r="V140" s="54" t="s">
        <v>488</v>
      </c>
      <c r="W140" s="54" t="b">
        <v>0</v>
      </c>
      <c r="X140" s="54"/>
      <c r="Y140" s="57" t="s">
        <v>1611</v>
      </c>
      <c r="Z140" s="54" t="s">
        <v>1650</v>
      </c>
      <c r="AA140" s="54"/>
      <c r="AB140" s="54" t="s">
        <v>490</v>
      </c>
      <c r="AC140" s="56" t="b">
        <v>0</v>
      </c>
      <c r="AD140" s="56" t="b">
        <v>1</v>
      </c>
      <c r="AE140" s="54" t="s">
        <v>302</v>
      </c>
      <c r="AF140" s="58">
        <v>46251</v>
      </c>
      <c r="AG140" s="62" t="s">
        <v>293</v>
      </c>
      <c r="AH140" s="54">
        <v>0</v>
      </c>
      <c r="AI140" s="54">
        <v>1000</v>
      </c>
      <c r="AJ140" s="54"/>
      <c r="AK140" s="54"/>
      <c r="AL140" s="54"/>
      <c r="AM140" s="54">
        <v>-5</v>
      </c>
      <c r="AN140" s="54">
        <v>-130</v>
      </c>
      <c r="AO140" s="54"/>
      <c r="AP140" s="54"/>
      <c r="AQ140" s="54"/>
      <c r="AR140" s="54"/>
      <c r="AS140" s="54"/>
      <c r="AT140" s="54"/>
      <c r="AU140" s="54"/>
      <c r="AV140" s="54"/>
      <c r="AW140" s="54"/>
      <c r="AX140" s="59"/>
      <c r="AY140" s="59"/>
      <c r="AZ140" s="59"/>
      <c r="BA140" s="59"/>
      <c r="BB140" s="59">
        <v>0.13608000000000001</v>
      </c>
      <c r="BC140" s="60">
        <v>4.9000000000000004</v>
      </c>
      <c r="BD140" s="61">
        <v>4.9811000000000001E-2</v>
      </c>
      <c r="BE140" s="62" t="s">
        <v>293</v>
      </c>
      <c r="BF140" s="35">
        <f t="shared" si="0"/>
        <v>4.9000000000000004</v>
      </c>
      <c r="BG140" s="35">
        <f t="shared" si="0"/>
        <v>4.9811000000000001E-2</v>
      </c>
      <c r="BH140" s="35" t="str">
        <f t="shared" si="209"/>
        <v>High</v>
      </c>
      <c r="BI140" s="110">
        <f t="shared" si="210"/>
        <v>0</v>
      </c>
      <c r="BJ140" s="83">
        <f>VLOOKUP($F140,REP_Info!$D$6:$H$250,5,FALSE)</f>
        <v>1.5649999999999999</v>
      </c>
      <c r="BK140" s="30">
        <f t="shared" si="1"/>
        <v>18.569100000000002</v>
      </c>
      <c r="BL140" s="30">
        <f t="shared" si="1"/>
        <v>6.0791000000000013</v>
      </c>
      <c r="BM140" s="30">
        <f t="shared" si="1"/>
        <v>12.334100000000001</v>
      </c>
      <c r="BN140" s="29">
        <f t="shared" si="1"/>
        <v>14.419099999999998</v>
      </c>
      <c r="BO140" s="85" t="str">
        <f t="shared" si="2"/>
        <v>$$$</v>
      </c>
      <c r="BP140" s="88" t="str">
        <f t="shared" si="211"/>
        <v>$$$</v>
      </c>
      <c r="BQ140" s="88" t="str">
        <f t="shared" si="4"/>
        <v>$$$</v>
      </c>
      <c r="BR140" s="88" t="str">
        <f t="shared" si="5"/>
        <v>$$$</v>
      </c>
      <c r="BS140" s="29" t="e">
        <f t="shared" si="219"/>
        <v>#N/A</v>
      </c>
      <c r="BT140" s="29" t="e">
        <f t="shared" si="219"/>
        <v>#N/A</v>
      </c>
      <c r="BU140" s="29" t="e">
        <f t="shared" si="219"/>
        <v>#N/A</v>
      </c>
      <c r="BV140" s="29" t="e">
        <f t="shared" si="219"/>
        <v>#N/A</v>
      </c>
      <c r="BW140" s="29" t="e">
        <f t="shared" si="219"/>
        <v>#N/A</v>
      </c>
      <c r="BX140" s="29" t="e">
        <f t="shared" si="219"/>
        <v>#N/A</v>
      </c>
      <c r="BY140" s="29" t="e">
        <f t="shared" si="219"/>
        <v>#N/A</v>
      </c>
      <c r="BZ140" s="29" t="e">
        <f t="shared" si="219"/>
        <v>#N/A</v>
      </c>
      <c r="CA140" s="29" t="e">
        <f t="shared" si="219"/>
        <v>#N/A</v>
      </c>
      <c r="CB140" s="29" t="e">
        <f t="shared" si="219"/>
        <v>#N/A</v>
      </c>
      <c r="CC140" s="29" t="e">
        <f t="shared" si="219"/>
        <v>#N/A</v>
      </c>
      <c r="CD140" s="29" t="e">
        <f t="shared" si="219"/>
        <v>#N/A</v>
      </c>
      <c r="CE140" s="6" t="str">
        <f t="shared" si="196"/>
        <v/>
      </c>
      <c r="CF140" s="27" t="e">
        <f>IF(AND(CI140,NOT(AD140)),LOOKUP(CF$5,{0,750,1500},H140:J140),"")</f>
        <v>#N/A</v>
      </c>
      <c r="CG140" s="6" t="str">
        <f t="shared" si="197"/>
        <v/>
      </c>
      <c r="CH140" t="e">
        <f t="shared" si="212"/>
        <v>#N/A</v>
      </c>
      <c r="CI140" t="e">
        <f t="shared" si="213"/>
        <v>#N/A</v>
      </c>
      <c r="CJ140" s="6" t="e">
        <f t="shared" si="11"/>
        <v>#N/A</v>
      </c>
      <c r="CK140" s="6">
        <f t="shared" si="12"/>
        <v>1</v>
      </c>
      <c r="CL140" s="6">
        <f t="shared" si="26"/>
        <v>1</v>
      </c>
      <c r="CM140" s="6">
        <f t="shared" si="13"/>
        <v>1</v>
      </c>
      <c r="CN140" s="6">
        <f t="shared" si="14"/>
        <v>1</v>
      </c>
      <c r="CO140" s="6">
        <f t="shared" si="15"/>
        <v>1</v>
      </c>
      <c r="CP140" s="6">
        <f t="shared" si="16"/>
        <v>1</v>
      </c>
      <c r="CQ140" s="6">
        <f t="shared" si="214"/>
        <v>1</v>
      </c>
      <c r="CR140" s="81" t="str">
        <f t="shared" si="17"/>
        <v/>
      </c>
      <c r="CS140">
        <f t="shared" si="215"/>
        <v>0</v>
      </c>
      <c r="CT140">
        <f t="shared" si="19"/>
        <v>20</v>
      </c>
      <c r="CU140" t="str">
        <f t="shared" si="29"/>
        <v>rm</v>
      </c>
      <c r="CV140" s="81">
        <f t="shared" si="216"/>
        <v>240</v>
      </c>
      <c r="CW140" s="81">
        <f>(CV140/25)^1.5*(Calculator!$BU$4/10000)*CW$5</f>
        <v>76.803483157572401</v>
      </c>
      <c r="CX140" t="str">
        <f t="shared" si="217"/>
        <v>$20/rm</v>
      </c>
    </row>
    <row r="141" spans="2:102" x14ac:dyDescent="0.25">
      <c r="B141" s="115" t="s">
        <v>233</v>
      </c>
      <c r="C141" s="13">
        <v>46247.313194444447</v>
      </c>
      <c r="D141">
        <v>36365</v>
      </c>
      <c r="E141" s="54" t="s">
        <v>237</v>
      </c>
      <c r="F141" s="54" t="s">
        <v>483</v>
      </c>
      <c r="G141" s="54" t="s">
        <v>1609</v>
      </c>
      <c r="H141" s="55">
        <v>19.3</v>
      </c>
      <c r="I141" s="55">
        <v>6.9</v>
      </c>
      <c r="J141" s="55">
        <v>13.200000000000001</v>
      </c>
      <c r="K141" s="54" t="s">
        <v>1610</v>
      </c>
      <c r="L141" s="56" t="b">
        <v>0</v>
      </c>
      <c r="M141" s="56" t="b">
        <v>0</v>
      </c>
      <c r="N141" s="54">
        <v>1</v>
      </c>
      <c r="O141" s="54" t="s">
        <v>228</v>
      </c>
      <c r="P141" s="54">
        <v>100</v>
      </c>
      <c r="Q141" s="54">
        <v>12</v>
      </c>
      <c r="R141" s="54" t="s">
        <v>485</v>
      </c>
      <c r="S141" s="54" t="s">
        <v>1643</v>
      </c>
      <c r="T141" s="54" t="s">
        <v>486</v>
      </c>
      <c r="U141" s="54" t="s">
        <v>487</v>
      </c>
      <c r="V141" s="54" t="s">
        <v>488</v>
      </c>
      <c r="W141" s="54" t="b">
        <v>0</v>
      </c>
      <c r="X141" s="54"/>
      <c r="Y141" s="57" t="s">
        <v>1612</v>
      </c>
      <c r="Z141" s="54" t="s">
        <v>1651</v>
      </c>
      <c r="AA141" s="54"/>
      <c r="AB141" s="54" t="s">
        <v>490</v>
      </c>
      <c r="AC141" s="56" t="b">
        <v>0</v>
      </c>
      <c r="AD141" s="56" t="b">
        <v>1</v>
      </c>
      <c r="AE141" s="54" t="s">
        <v>302</v>
      </c>
      <c r="AF141" s="58">
        <v>46246</v>
      </c>
      <c r="AG141" s="62" t="s">
        <v>293</v>
      </c>
      <c r="AH141" s="54">
        <v>0</v>
      </c>
      <c r="AI141" s="54">
        <v>1000</v>
      </c>
      <c r="AJ141" s="54"/>
      <c r="AK141" s="54"/>
      <c r="AL141" s="54"/>
      <c r="AM141" s="54">
        <v>-5</v>
      </c>
      <c r="AN141" s="54">
        <v>-130</v>
      </c>
      <c r="AO141" s="54"/>
      <c r="AP141" s="54"/>
      <c r="AQ141" s="54"/>
      <c r="AR141" s="54"/>
      <c r="AS141" s="54"/>
      <c r="AT141" s="54"/>
      <c r="AU141" s="54"/>
      <c r="AV141" s="54"/>
      <c r="AW141" s="54"/>
      <c r="AX141" s="59"/>
      <c r="AY141" s="59"/>
      <c r="AZ141" s="59"/>
      <c r="BA141" s="59"/>
      <c r="BB141" s="59">
        <v>0.13508000000000001</v>
      </c>
      <c r="BC141" s="60">
        <v>4.0599999999999996</v>
      </c>
      <c r="BD141" s="61">
        <v>6.0295000000000001E-2</v>
      </c>
      <c r="BE141" s="62" t="s">
        <v>293</v>
      </c>
      <c r="BF141" s="35">
        <f t="shared" si="0"/>
        <v>4.0600000000000005</v>
      </c>
      <c r="BG141" s="35">
        <f t="shared" si="0"/>
        <v>6.0295000000000001E-2</v>
      </c>
      <c r="BH141" s="35" t="str">
        <f t="shared" si="209"/>
        <v>High</v>
      </c>
      <c r="BI141" s="110">
        <f t="shared" si="210"/>
        <v>0</v>
      </c>
      <c r="BJ141" s="83">
        <f>VLOOKUP($F141,REP_Info!$D$6:$H$250,5,FALSE)</f>
        <v>1.5649999999999999</v>
      </c>
      <c r="BK141" s="30">
        <f t="shared" si="1"/>
        <v>19.349499999999999</v>
      </c>
      <c r="BL141" s="30">
        <f t="shared" si="1"/>
        <v>6.943500000000002</v>
      </c>
      <c r="BM141" s="30">
        <f t="shared" si="1"/>
        <v>13.240500000000004</v>
      </c>
      <c r="BN141" s="29">
        <f t="shared" si="1"/>
        <v>15.339499999999999</v>
      </c>
      <c r="BO141" s="85" t="str">
        <f t="shared" si="2"/>
        <v>$$$</v>
      </c>
      <c r="BP141" s="88" t="str">
        <f t="shared" si="211"/>
        <v>$$$</v>
      </c>
      <c r="BQ141" s="88" t="str">
        <f t="shared" si="4"/>
        <v>$$$</v>
      </c>
      <c r="BR141" s="88" t="str">
        <f t="shared" si="5"/>
        <v>$$$</v>
      </c>
      <c r="BS141" s="29" t="e">
        <f t="shared" si="219"/>
        <v>#N/A</v>
      </c>
      <c r="BT141" s="29" t="e">
        <f t="shared" si="219"/>
        <v>#N/A</v>
      </c>
      <c r="BU141" s="29" t="e">
        <f t="shared" si="219"/>
        <v>#N/A</v>
      </c>
      <c r="BV141" s="29" t="e">
        <f t="shared" si="219"/>
        <v>#N/A</v>
      </c>
      <c r="BW141" s="29" t="e">
        <f t="shared" si="219"/>
        <v>#N/A</v>
      </c>
      <c r="BX141" s="29" t="e">
        <f t="shared" si="219"/>
        <v>#N/A</v>
      </c>
      <c r="BY141" s="29" t="e">
        <f t="shared" si="219"/>
        <v>#N/A</v>
      </c>
      <c r="BZ141" s="29" t="e">
        <f t="shared" si="219"/>
        <v>#N/A</v>
      </c>
      <c r="CA141" s="29" t="e">
        <f t="shared" si="219"/>
        <v>#N/A</v>
      </c>
      <c r="CB141" s="29" t="e">
        <f t="shared" si="219"/>
        <v>#N/A</v>
      </c>
      <c r="CC141" s="29" t="e">
        <f t="shared" si="219"/>
        <v>#N/A</v>
      </c>
      <c r="CD141" s="29" t="e">
        <f t="shared" si="219"/>
        <v>#N/A</v>
      </c>
      <c r="CE141" s="6" t="str">
        <f t="shared" si="196"/>
        <v/>
      </c>
      <c r="CF141" s="27" t="e">
        <f>IF(AND(CI141,NOT(AD141)),LOOKUP(CF$5,{0,750,1500},H141:J141),"")</f>
        <v>#N/A</v>
      </c>
      <c r="CG141" s="6" t="str">
        <f t="shared" si="197"/>
        <v/>
      </c>
      <c r="CH141" t="e">
        <f t="shared" si="212"/>
        <v>#N/A</v>
      </c>
      <c r="CI141" t="e">
        <f t="shared" si="213"/>
        <v>#N/A</v>
      </c>
      <c r="CJ141" s="6" t="e">
        <f t="shared" si="11"/>
        <v>#N/A</v>
      </c>
      <c r="CK141" s="6">
        <f t="shared" si="12"/>
        <v>1</v>
      </c>
      <c r="CL141" s="6">
        <f t="shared" si="26"/>
        <v>1</v>
      </c>
      <c r="CM141" s="6">
        <f t="shared" si="13"/>
        <v>1</v>
      </c>
      <c r="CN141" s="6">
        <f t="shared" si="14"/>
        <v>1</v>
      </c>
      <c r="CO141" s="6">
        <f t="shared" si="15"/>
        <v>1</v>
      </c>
      <c r="CP141" s="6">
        <f t="shared" si="16"/>
        <v>1</v>
      </c>
      <c r="CQ141" s="6">
        <f t="shared" si="214"/>
        <v>1</v>
      </c>
      <c r="CR141" s="81" t="str">
        <f t="shared" si="17"/>
        <v/>
      </c>
      <c r="CS141">
        <f t="shared" si="215"/>
        <v>0</v>
      </c>
      <c r="CT141">
        <f t="shared" si="19"/>
        <v>20</v>
      </c>
      <c r="CU141" t="str">
        <f t="shared" si="29"/>
        <v>rm</v>
      </c>
      <c r="CV141" s="81">
        <f t="shared" si="216"/>
        <v>240</v>
      </c>
      <c r="CW141" s="81">
        <f>(CV141/25)^1.5*(Calculator!$BU$4/10000)*CW$5</f>
        <v>76.803483157572401</v>
      </c>
      <c r="CX141" t="str">
        <f t="shared" si="217"/>
        <v>$20/rm</v>
      </c>
    </row>
    <row r="142" spans="2:102" x14ac:dyDescent="0.25">
      <c r="B142" s="115" t="s">
        <v>233</v>
      </c>
      <c r="C142" s="13">
        <v>46242.178472222222</v>
      </c>
      <c r="D142">
        <v>21211</v>
      </c>
      <c r="E142" s="54" t="s">
        <v>237</v>
      </c>
      <c r="F142" s="54" t="s">
        <v>1336</v>
      </c>
      <c r="G142" s="54" t="s">
        <v>1715</v>
      </c>
      <c r="H142" s="55">
        <v>11.600000000000001</v>
      </c>
      <c r="I142" s="55">
        <v>11.200000000000001</v>
      </c>
      <c r="J142" s="55">
        <v>11</v>
      </c>
      <c r="K142" s="54"/>
      <c r="L142" s="56" t="b">
        <v>0</v>
      </c>
      <c r="M142" s="56" t="b">
        <v>0</v>
      </c>
      <c r="N142" s="54">
        <v>1</v>
      </c>
      <c r="O142" s="54" t="s">
        <v>228</v>
      </c>
      <c r="P142" s="54">
        <v>3</v>
      </c>
      <c r="Q142" s="54">
        <v>12</v>
      </c>
      <c r="R142" s="54" t="s">
        <v>516</v>
      </c>
      <c r="S142" s="54" t="s">
        <v>1719</v>
      </c>
      <c r="T142" s="54" t="s">
        <v>1716</v>
      </c>
      <c r="U142" s="54" t="s">
        <v>1704</v>
      </c>
      <c r="V142" s="54" t="s">
        <v>1717</v>
      </c>
      <c r="W142" s="54" t="b">
        <v>0</v>
      </c>
      <c r="X142" s="54"/>
      <c r="Y142" s="57" t="s">
        <v>1718</v>
      </c>
      <c r="Z142" s="54" t="s">
        <v>1719</v>
      </c>
      <c r="AA142" s="54"/>
      <c r="AB142" s="54" t="s">
        <v>1720</v>
      </c>
      <c r="AC142" s="56" t="b">
        <v>1</v>
      </c>
      <c r="AD142" s="56" t="b">
        <v>0</v>
      </c>
      <c r="AE142" s="54" t="s">
        <v>302</v>
      </c>
      <c r="AF142" s="58">
        <v>46242</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4.7649999999999998E-2</v>
      </c>
      <c r="BC142" s="60"/>
      <c r="BD142" s="61"/>
      <c r="BE142" s="62" t="s">
        <v>293</v>
      </c>
      <c r="BF142" s="35">
        <f t="shared" si="0"/>
        <v>4.0600000000000005</v>
      </c>
      <c r="BG142" s="35">
        <f t="shared" si="0"/>
        <v>6.0295000000000001E-2</v>
      </c>
      <c r="BH142" s="35" t="str">
        <f t="shared" si="209"/>
        <v>Low</v>
      </c>
      <c r="BI142" s="110">
        <f t="shared" si="210"/>
        <v>0</v>
      </c>
      <c r="BJ142" s="83" t="str">
        <f>VLOOKUP($F142,REP_Info!$D$6:$H$250,5,FALSE)</f>
        <v/>
      </c>
      <c r="BK142" s="30">
        <f t="shared" si="1"/>
        <v>11.6065</v>
      </c>
      <c r="BL142" s="30">
        <f t="shared" si="1"/>
        <v>11.2005</v>
      </c>
      <c r="BM142" s="30">
        <f t="shared" si="1"/>
        <v>10.9975</v>
      </c>
      <c r="BN142" s="29">
        <f t="shared" si="1"/>
        <v>10.929833333333333</v>
      </c>
      <c r="BO142" s="85" t="str">
        <f t="shared" si="2"/>
        <v>$$$</v>
      </c>
      <c r="BP142" s="88" t="str">
        <f t="shared" si="211"/>
        <v>$$$</v>
      </c>
      <c r="BQ142" s="88" t="str">
        <f t="shared" si="4"/>
        <v>$$$</v>
      </c>
      <c r="BR142" s="88" t="str">
        <f t="shared" si="5"/>
        <v>$$$</v>
      </c>
      <c r="BS142" s="29" t="e">
        <f t="shared" si="219"/>
        <v>#N/A</v>
      </c>
      <c r="BT142" s="29" t="e">
        <f t="shared" si="219"/>
        <v>#N/A</v>
      </c>
      <c r="BU142" s="29" t="e">
        <f t="shared" si="219"/>
        <v>#N/A</v>
      </c>
      <c r="BV142" s="29" t="e">
        <f t="shared" si="219"/>
        <v>#N/A</v>
      </c>
      <c r="BW142" s="29" t="e">
        <f t="shared" si="219"/>
        <v>#N/A</v>
      </c>
      <c r="BX142" s="29" t="e">
        <f t="shared" si="219"/>
        <v>#N/A</v>
      </c>
      <c r="BY142" s="29" t="e">
        <f t="shared" si="219"/>
        <v>#N/A</v>
      </c>
      <c r="BZ142" s="29" t="e">
        <f t="shared" si="219"/>
        <v>#N/A</v>
      </c>
      <c r="CA142" s="29" t="e">
        <f t="shared" si="219"/>
        <v>#N/A</v>
      </c>
      <c r="CB142" s="29" t="e">
        <f t="shared" si="219"/>
        <v>#N/A</v>
      </c>
      <c r="CC142" s="29" t="e">
        <f t="shared" si="219"/>
        <v>#N/A</v>
      </c>
      <c r="CD142" s="29" t="e">
        <f t="shared" si="219"/>
        <v>#N/A</v>
      </c>
      <c r="CE142" s="6" t="str">
        <f t="shared" si="196"/>
        <v/>
      </c>
      <c r="CF142" s="27" t="e">
        <f>IF(AND(CI142,NOT(AD142)),LOOKUP(CF$5,{0,750,1500},H142:J142),"")</f>
        <v>#N/A</v>
      </c>
      <c r="CG142" s="6" t="str">
        <f t="shared" si="197"/>
        <v/>
      </c>
      <c r="CH142" t="e">
        <f t="shared" si="212"/>
        <v>#N/A</v>
      </c>
      <c r="CI142" t="e">
        <f t="shared" si="213"/>
        <v>#N/A</v>
      </c>
      <c r="CJ142" s="6" t="e">
        <f t="shared" si="11"/>
        <v>#N/A</v>
      </c>
      <c r="CK142" s="6">
        <f t="shared" si="12"/>
        <v>1</v>
      </c>
      <c r="CL142" s="6">
        <f t="shared" si="26"/>
        <v>1</v>
      </c>
      <c r="CM142" s="6">
        <f t="shared" si="13"/>
        <v>1</v>
      </c>
      <c r="CN142" s="6">
        <f t="shared" si="14"/>
        <v>1</v>
      </c>
      <c r="CO142" s="6">
        <f t="shared" si="15"/>
        <v>1</v>
      </c>
      <c r="CP142" s="6">
        <f t="shared" si="16"/>
        <v>1</v>
      </c>
      <c r="CQ142" s="6">
        <f t="shared" si="214"/>
        <v>1</v>
      </c>
      <c r="CR142" s="81" t="str">
        <f t="shared" si="17"/>
        <v/>
      </c>
      <c r="CS142">
        <f t="shared" si="215"/>
        <v>0</v>
      </c>
      <c r="CT142">
        <f t="shared" si="19"/>
        <v>20</v>
      </c>
      <c r="CU142" t="str">
        <f t="shared" si="29"/>
        <v>rm</v>
      </c>
      <c r="CV142" s="81">
        <f t="shared" si="216"/>
        <v>240</v>
      </c>
      <c r="CW142" s="81">
        <f>(CV142/25)^1.5*(Calculator!$BU$4/10000)*CW$5</f>
        <v>76.803483157572401</v>
      </c>
      <c r="CX142" t="str">
        <f t="shared" si="217"/>
        <v>$20/rm</v>
      </c>
    </row>
    <row r="143" spans="2:102" x14ac:dyDescent="0.25">
      <c r="B143" s="115" t="s">
        <v>233</v>
      </c>
      <c r="C143" s="13">
        <v>46253.410416666666</v>
      </c>
      <c r="D143">
        <v>21212</v>
      </c>
      <c r="E143" s="54" t="s">
        <v>235</v>
      </c>
      <c r="F143" s="54" t="s">
        <v>1336</v>
      </c>
      <c r="G143" s="54" t="s">
        <v>1715</v>
      </c>
      <c r="H143" s="55">
        <v>10.8</v>
      </c>
      <c r="I143" s="55">
        <v>10.299999999999999</v>
      </c>
      <c r="J143" s="55">
        <v>10.100000000000001</v>
      </c>
      <c r="K143" s="54"/>
      <c r="L143" s="56" t="b">
        <v>0</v>
      </c>
      <c r="M143" s="56" t="b">
        <v>0</v>
      </c>
      <c r="N143" s="54">
        <v>1</v>
      </c>
      <c r="O143" s="54" t="s">
        <v>228</v>
      </c>
      <c r="P143" s="54">
        <v>3</v>
      </c>
      <c r="Q143" s="54">
        <v>12</v>
      </c>
      <c r="R143" s="54" t="s">
        <v>516</v>
      </c>
      <c r="S143" s="54" t="s">
        <v>1719</v>
      </c>
      <c r="T143" s="54" t="s">
        <v>1716</v>
      </c>
      <c r="U143" s="54" t="s">
        <v>1707</v>
      </c>
      <c r="V143" s="54" t="s">
        <v>1721</v>
      </c>
      <c r="W143" s="54" t="b">
        <v>0</v>
      </c>
      <c r="X143" s="54"/>
      <c r="Y143" s="57" t="s">
        <v>1722</v>
      </c>
      <c r="Z143" s="54" t="s">
        <v>1719</v>
      </c>
      <c r="AA143" s="54"/>
      <c r="AB143" s="54" t="s">
        <v>1720</v>
      </c>
      <c r="AC143" s="56" t="b">
        <v>1</v>
      </c>
      <c r="AD143" s="56" t="b">
        <v>0</v>
      </c>
      <c r="AE143" s="54" t="s">
        <v>302</v>
      </c>
      <c r="AF143" s="58">
        <v>46253</v>
      </c>
      <c r="AG143" s="62" t="s">
        <v>293</v>
      </c>
      <c r="AH143" s="54">
        <v>0</v>
      </c>
      <c r="AI143" s="54"/>
      <c r="AJ143" s="54"/>
      <c r="AK143" s="54"/>
      <c r="AL143" s="54"/>
      <c r="AM143" s="54">
        <v>0</v>
      </c>
      <c r="AN143" s="54"/>
      <c r="AO143" s="54"/>
      <c r="AP143" s="54"/>
      <c r="AQ143" s="54"/>
      <c r="AR143" s="54"/>
      <c r="AS143" s="54"/>
      <c r="AT143" s="54"/>
      <c r="AU143" s="54"/>
      <c r="AV143" s="54"/>
      <c r="AW143" s="54"/>
      <c r="AX143" s="59"/>
      <c r="AY143" s="59"/>
      <c r="AZ143" s="59"/>
      <c r="BA143" s="59"/>
      <c r="BB143" s="59">
        <v>4.8640000000000003E-2</v>
      </c>
      <c r="BC143" s="60"/>
      <c r="BD143" s="61"/>
      <c r="BE143" s="62" t="s">
        <v>293</v>
      </c>
      <c r="BF143" s="35">
        <f t="shared" si="0"/>
        <v>4.9000000000000004</v>
      </c>
      <c r="BG143" s="35">
        <f t="shared" si="0"/>
        <v>4.9811000000000001E-2</v>
      </c>
      <c r="BH143" s="35" t="str">
        <f t="shared" si="209"/>
        <v>Low</v>
      </c>
      <c r="BI143" s="110">
        <f t="shared" si="210"/>
        <v>0</v>
      </c>
      <c r="BJ143" s="83" t="str">
        <f>VLOOKUP($F143,REP_Info!$D$6:$H$250,5,FALSE)</f>
        <v/>
      </c>
      <c r="BK143" s="30">
        <f t="shared" si="1"/>
        <v>10.825100000000001</v>
      </c>
      <c r="BL143" s="30">
        <f t="shared" si="1"/>
        <v>10.335100000000001</v>
      </c>
      <c r="BM143" s="30">
        <f t="shared" si="1"/>
        <v>10.0901</v>
      </c>
      <c r="BN143" s="29">
        <f t="shared" si="1"/>
        <v>10.008433333333334</v>
      </c>
      <c r="BO143" s="85" t="str">
        <f t="shared" si="2"/>
        <v>$$$</v>
      </c>
      <c r="BP143" s="88" t="str">
        <f t="shared" si="211"/>
        <v>$$$</v>
      </c>
      <c r="BQ143" s="88" t="str">
        <f t="shared" si="4"/>
        <v>$$$</v>
      </c>
      <c r="BR143" s="88" t="str">
        <f t="shared" si="5"/>
        <v>$$$</v>
      </c>
      <c r="BS143" s="29" t="e">
        <f t="shared" si="219"/>
        <v>#N/A</v>
      </c>
      <c r="BT143" s="29" t="e">
        <f t="shared" si="219"/>
        <v>#N/A</v>
      </c>
      <c r="BU143" s="29" t="e">
        <f t="shared" si="219"/>
        <v>#N/A</v>
      </c>
      <c r="BV143" s="29" t="e">
        <f t="shared" si="219"/>
        <v>#N/A</v>
      </c>
      <c r="BW143" s="29" t="e">
        <f t="shared" si="219"/>
        <v>#N/A</v>
      </c>
      <c r="BX143" s="29" t="e">
        <f t="shared" si="219"/>
        <v>#N/A</v>
      </c>
      <c r="BY143" s="29" t="e">
        <f t="shared" si="219"/>
        <v>#N/A</v>
      </c>
      <c r="BZ143" s="29" t="e">
        <f t="shared" si="219"/>
        <v>#N/A</v>
      </c>
      <c r="CA143" s="29" t="e">
        <f t="shared" si="219"/>
        <v>#N/A</v>
      </c>
      <c r="CB143" s="29" t="e">
        <f t="shared" si="219"/>
        <v>#N/A</v>
      </c>
      <c r="CC143" s="29" t="e">
        <f t="shared" si="219"/>
        <v>#N/A</v>
      </c>
      <c r="CD143" s="29" t="e">
        <f t="shared" si="219"/>
        <v>#N/A</v>
      </c>
      <c r="CE143" s="6" t="str">
        <f t="shared" ref="CE143:CE206" si="220">IF(ISNUMBER(CF143),RANK($CF143,$CF$8:$CF$357,1),"")</f>
        <v/>
      </c>
      <c r="CF143" s="27" t="e">
        <f>IF(AND(CI143,NOT(AD143)),LOOKUP(CF$5,{0,750,1500},H143:J143),"")</f>
        <v>#N/A</v>
      </c>
      <c r="CG143" s="6" t="str">
        <f t="shared" ref="CG143:CG206" si="221">IF(ISNUMBER(CH143),RANK($CH143,$CH$8:$CH$357,1),"")</f>
        <v/>
      </c>
      <c r="CH143" t="e">
        <f t="shared" si="212"/>
        <v>#N/A</v>
      </c>
      <c r="CI143" t="e">
        <f t="shared" si="213"/>
        <v>#N/A</v>
      </c>
      <c r="CJ143" s="6" t="e">
        <f t="shared" si="11"/>
        <v>#N/A</v>
      </c>
      <c r="CK143" s="6">
        <f t="shared" si="12"/>
        <v>1</v>
      </c>
      <c r="CL143" s="6">
        <f t="shared" si="26"/>
        <v>1</v>
      </c>
      <c r="CM143" s="6">
        <f t="shared" si="13"/>
        <v>1</v>
      </c>
      <c r="CN143" s="6">
        <f t="shared" si="14"/>
        <v>1</v>
      </c>
      <c r="CO143" s="6">
        <f t="shared" si="15"/>
        <v>1</v>
      </c>
      <c r="CP143" s="6">
        <f t="shared" si="16"/>
        <v>1</v>
      </c>
      <c r="CQ143" s="6">
        <f t="shared" si="214"/>
        <v>1</v>
      </c>
      <c r="CR143" s="81" t="str">
        <f t="shared" si="17"/>
        <v/>
      </c>
      <c r="CS143">
        <f t="shared" si="215"/>
        <v>0</v>
      </c>
      <c r="CT143">
        <f t="shared" si="19"/>
        <v>20</v>
      </c>
      <c r="CU143" t="str">
        <f t="shared" si="29"/>
        <v>rm</v>
      </c>
      <c r="CV143" s="81">
        <f t="shared" si="216"/>
        <v>240</v>
      </c>
      <c r="CW143" s="81">
        <f>(CV143/25)^1.5*(Calculator!$BU$4/10000)*CW$5</f>
        <v>76.803483157572401</v>
      </c>
      <c r="CX143" t="str">
        <f t="shared" si="217"/>
        <v>$20/rm</v>
      </c>
    </row>
    <row r="144" spans="2:102" x14ac:dyDescent="0.25">
      <c r="B144" s="115" t="s">
        <v>233</v>
      </c>
      <c r="C144" s="13">
        <v>46237.767361111109</v>
      </c>
      <c r="D144">
        <v>36618</v>
      </c>
      <c r="E144" s="54" t="s">
        <v>237</v>
      </c>
      <c r="F144" s="54" t="s">
        <v>1336</v>
      </c>
      <c r="G144" s="54" t="s">
        <v>1723</v>
      </c>
      <c r="H144" s="55">
        <v>20.200000000000003</v>
      </c>
      <c r="I144" s="55">
        <v>7.1999999999999993</v>
      </c>
      <c r="J144" s="55">
        <v>13.3</v>
      </c>
      <c r="K144" s="54" t="s">
        <v>1724</v>
      </c>
      <c r="L144" s="56" t="b">
        <v>0</v>
      </c>
      <c r="M144" s="56" t="b">
        <v>0</v>
      </c>
      <c r="N144" s="54">
        <v>1</v>
      </c>
      <c r="O144" s="54" t="s">
        <v>228</v>
      </c>
      <c r="P144" s="54">
        <v>3</v>
      </c>
      <c r="Q144" s="54">
        <v>12</v>
      </c>
      <c r="R144" s="54" t="s">
        <v>1725</v>
      </c>
      <c r="S144" s="54" t="s">
        <v>1719</v>
      </c>
      <c r="T144" s="54"/>
      <c r="U144" s="54" t="s">
        <v>1709</v>
      </c>
      <c r="V144" s="54" t="s">
        <v>1726</v>
      </c>
      <c r="W144" s="54" t="b">
        <v>0</v>
      </c>
      <c r="X144" s="54"/>
      <c r="Y144" s="57" t="s">
        <v>1727</v>
      </c>
      <c r="Z144" s="54" t="s">
        <v>1719</v>
      </c>
      <c r="AA144" s="54"/>
      <c r="AB144" s="54" t="s">
        <v>1720</v>
      </c>
      <c r="AC144" s="56" t="b">
        <v>1</v>
      </c>
      <c r="AD144" s="56" t="b">
        <v>1</v>
      </c>
      <c r="AE144" s="54" t="s">
        <v>302</v>
      </c>
      <c r="AF144" s="58">
        <v>46237</v>
      </c>
      <c r="AG144" s="62" t="s">
        <v>293</v>
      </c>
      <c r="AH144" s="54">
        <v>0</v>
      </c>
      <c r="AI144" s="54">
        <v>1000</v>
      </c>
      <c r="AJ144" s="54"/>
      <c r="AK144" s="54"/>
      <c r="AL144" s="54"/>
      <c r="AM144" s="54">
        <v>0</v>
      </c>
      <c r="AN144" s="54">
        <v>-125</v>
      </c>
      <c r="AO144" s="54"/>
      <c r="AP144" s="54"/>
      <c r="AQ144" s="54"/>
      <c r="AR144" s="54"/>
      <c r="AS144" s="54"/>
      <c r="AT144" s="54"/>
      <c r="AU144" s="54"/>
      <c r="AV144" s="54"/>
      <c r="AW144" s="54"/>
      <c r="AX144" s="59"/>
      <c r="AY144" s="59"/>
      <c r="AZ144" s="59"/>
      <c r="BA144" s="59"/>
      <c r="BB144" s="59">
        <v>0.13314000000000001</v>
      </c>
      <c r="BC144" s="60"/>
      <c r="BD144" s="61"/>
      <c r="BE144" s="62" t="s">
        <v>293</v>
      </c>
      <c r="BF144" s="35">
        <f t="shared" si="0"/>
        <v>4.0600000000000005</v>
      </c>
      <c r="BG144" s="35">
        <f t="shared" si="0"/>
        <v>6.0295000000000001E-2</v>
      </c>
      <c r="BH144" s="35" t="str">
        <f t="shared" si="209"/>
        <v>High</v>
      </c>
      <c r="BI144" s="110">
        <f t="shared" si="210"/>
        <v>0</v>
      </c>
      <c r="BJ144" s="83" t="str">
        <f>VLOOKUP($F144,REP_Info!$D$6:$H$250,5,FALSE)</f>
        <v/>
      </c>
      <c r="BK144" s="30">
        <f t="shared" si="1"/>
        <v>20.1555</v>
      </c>
      <c r="BL144" s="30">
        <f t="shared" si="1"/>
        <v>7.2495000000000021</v>
      </c>
      <c r="BM144" s="30">
        <f t="shared" si="1"/>
        <v>13.296500000000004</v>
      </c>
      <c r="BN144" s="29">
        <f t="shared" si="1"/>
        <v>15.312166666666666</v>
      </c>
      <c r="BO144" s="85" t="str">
        <f t="shared" si="2"/>
        <v>$$$</v>
      </c>
      <c r="BP144" s="88" t="str">
        <f t="shared" si="211"/>
        <v>$$$</v>
      </c>
      <c r="BQ144" s="88" t="str">
        <f t="shared" si="4"/>
        <v>$$$</v>
      </c>
      <c r="BR144" s="88" t="str">
        <f t="shared" si="5"/>
        <v>$$$</v>
      </c>
      <c r="BS144" s="29" t="e">
        <f t="shared" si="219"/>
        <v>#N/A</v>
      </c>
      <c r="BT144" s="29" t="e">
        <f t="shared" si="219"/>
        <v>#N/A</v>
      </c>
      <c r="BU144" s="29" t="e">
        <f t="shared" si="219"/>
        <v>#N/A</v>
      </c>
      <c r="BV144" s="29" t="e">
        <f t="shared" si="219"/>
        <v>#N/A</v>
      </c>
      <c r="BW144" s="29" t="e">
        <f t="shared" si="219"/>
        <v>#N/A</v>
      </c>
      <c r="BX144" s="29" t="e">
        <f t="shared" si="219"/>
        <v>#N/A</v>
      </c>
      <c r="BY144" s="29" t="e">
        <f t="shared" si="219"/>
        <v>#N/A</v>
      </c>
      <c r="BZ144" s="29" t="e">
        <f t="shared" si="219"/>
        <v>#N/A</v>
      </c>
      <c r="CA144" s="29" t="e">
        <f t="shared" si="219"/>
        <v>#N/A</v>
      </c>
      <c r="CB144" s="29" t="e">
        <f t="shared" si="219"/>
        <v>#N/A</v>
      </c>
      <c r="CC144" s="29" t="e">
        <f t="shared" si="219"/>
        <v>#N/A</v>
      </c>
      <c r="CD144" s="29" t="e">
        <f t="shared" si="219"/>
        <v>#N/A</v>
      </c>
      <c r="CE144" s="6" t="str">
        <f t="shared" si="220"/>
        <v/>
      </c>
      <c r="CF144" s="27" t="e">
        <f>IF(AND(CI144,NOT(AD144)),LOOKUP(CF$5,{0,750,1500},H144:J144),"")</f>
        <v>#N/A</v>
      </c>
      <c r="CG144" s="6" t="str">
        <f t="shared" si="221"/>
        <v/>
      </c>
      <c r="CH144" t="e">
        <f t="shared" si="212"/>
        <v>#N/A</v>
      </c>
      <c r="CI144" t="e">
        <f t="shared" si="213"/>
        <v>#N/A</v>
      </c>
      <c r="CJ144" s="6" t="e">
        <f t="shared" si="11"/>
        <v>#N/A</v>
      </c>
      <c r="CK144" s="6">
        <f t="shared" si="12"/>
        <v>1</v>
      </c>
      <c r="CL144" s="6">
        <f t="shared" si="26"/>
        <v>1</v>
      </c>
      <c r="CM144" s="6">
        <f t="shared" si="13"/>
        <v>1</v>
      </c>
      <c r="CN144" s="6">
        <f t="shared" si="14"/>
        <v>1</v>
      </c>
      <c r="CO144" s="6">
        <f t="shared" si="15"/>
        <v>1</v>
      </c>
      <c r="CP144" s="6">
        <f t="shared" si="16"/>
        <v>1</v>
      </c>
      <c r="CQ144" s="6">
        <f t="shared" si="214"/>
        <v>1</v>
      </c>
      <c r="CR144" s="81" t="str">
        <f t="shared" si="17"/>
        <v/>
      </c>
      <c r="CS144">
        <f t="shared" si="215"/>
        <v>0</v>
      </c>
      <c r="CT144">
        <f t="shared" si="19"/>
        <v>20</v>
      </c>
      <c r="CU144" t="str">
        <f t="shared" si="29"/>
        <v>rm</v>
      </c>
      <c r="CV144" s="81">
        <f t="shared" si="216"/>
        <v>240</v>
      </c>
      <c r="CW144" s="81">
        <f>(CV144/25)^1.5*(Calculator!$BU$4/10000)*CW$5</f>
        <v>76.803483157572401</v>
      </c>
      <c r="CX144" t="str">
        <f t="shared" si="217"/>
        <v>$20/rm</v>
      </c>
    </row>
    <row r="145" spans="2:102" x14ac:dyDescent="0.25">
      <c r="B145" s="115" t="s">
        <v>233</v>
      </c>
      <c r="C145" s="13">
        <v>46251.443749999999</v>
      </c>
      <c r="D145">
        <v>36619</v>
      </c>
      <c r="E145" s="54" t="s">
        <v>235</v>
      </c>
      <c r="F145" s="54" t="s">
        <v>1336</v>
      </c>
      <c r="G145" s="54" t="s">
        <v>1723</v>
      </c>
      <c r="H145" s="55">
        <v>19.600000000000001</v>
      </c>
      <c r="I145" s="55">
        <v>6.6000000000000005</v>
      </c>
      <c r="J145" s="55">
        <v>12.6</v>
      </c>
      <c r="K145" s="54" t="s">
        <v>1724</v>
      </c>
      <c r="L145" s="56" t="b">
        <v>0</v>
      </c>
      <c r="M145" s="56" t="b">
        <v>0</v>
      </c>
      <c r="N145" s="54">
        <v>1</v>
      </c>
      <c r="O145" s="54" t="s">
        <v>228</v>
      </c>
      <c r="P145" s="54">
        <v>3</v>
      </c>
      <c r="Q145" s="54">
        <v>12</v>
      </c>
      <c r="R145" s="54" t="s">
        <v>1725</v>
      </c>
      <c r="S145" s="54" t="s">
        <v>1719</v>
      </c>
      <c r="T145" s="54"/>
      <c r="U145" s="54" t="s">
        <v>1711</v>
      </c>
      <c r="V145" s="54" t="s">
        <v>1728</v>
      </c>
      <c r="W145" s="54" t="b">
        <v>0</v>
      </c>
      <c r="X145" s="54"/>
      <c r="Y145" s="57" t="s">
        <v>1729</v>
      </c>
      <c r="Z145" s="54" t="s">
        <v>1719</v>
      </c>
      <c r="AA145" s="54"/>
      <c r="AB145" s="54" t="s">
        <v>1720</v>
      </c>
      <c r="AC145" s="56" t="b">
        <v>1</v>
      </c>
      <c r="AD145" s="56" t="b">
        <v>1</v>
      </c>
      <c r="AE145" s="54" t="s">
        <v>302</v>
      </c>
      <c r="AF145" s="58">
        <v>46251</v>
      </c>
      <c r="AG145" s="62" t="s">
        <v>293</v>
      </c>
      <c r="AH145" s="54">
        <v>0</v>
      </c>
      <c r="AI145" s="54">
        <v>1000</v>
      </c>
      <c r="AJ145" s="54"/>
      <c r="AK145" s="54"/>
      <c r="AL145" s="54"/>
      <c r="AM145" s="54">
        <v>0</v>
      </c>
      <c r="AN145" s="54">
        <v>-125</v>
      </c>
      <c r="AO145" s="54"/>
      <c r="AP145" s="54"/>
      <c r="AQ145" s="54"/>
      <c r="AR145" s="54"/>
      <c r="AS145" s="54"/>
      <c r="AT145" s="54"/>
      <c r="AU145" s="54"/>
      <c r="AV145" s="54"/>
      <c r="AW145" s="54"/>
      <c r="AX145" s="59"/>
      <c r="AY145" s="59"/>
      <c r="AZ145" s="59"/>
      <c r="BA145" s="59"/>
      <c r="BB145" s="59">
        <v>0.13603999999999999</v>
      </c>
      <c r="BC145" s="60"/>
      <c r="BD145" s="61"/>
      <c r="BE145" s="62" t="s">
        <v>293</v>
      </c>
      <c r="BF145" s="35">
        <f t="shared" si="0"/>
        <v>4.9000000000000004</v>
      </c>
      <c r="BG145" s="35">
        <f t="shared" si="0"/>
        <v>4.9811000000000001E-2</v>
      </c>
      <c r="BH145" s="35" t="str">
        <f t="shared" si="209"/>
        <v>High</v>
      </c>
      <c r="BI145" s="110">
        <f t="shared" si="210"/>
        <v>0</v>
      </c>
      <c r="BJ145" s="83" t="str">
        <f>VLOOKUP($F145,REP_Info!$D$6:$H$250,5,FALSE)</f>
        <v/>
      </c>
      <c r="BK145" s="30">
        <f t="shared" si="1"/>
        <v>19.565100000000001</v>
      </c>
      <c r="BL145" s="30">
        <f t="shared" si="1"/>
        <v>6.5750999999999991</v>
      </c>
      <c r="BM145" s="30">
        <f t="shared" si="1"/>
        <v>12.580099999999998</v>
      </c>
      <c r="BN145" s="29">
        <f t="shared" si="1"/>
        <v>14.581766666666665</v>
      </c>
      <c r="BO145" s="85" t="str">
        <f t="shared" si="2"/>
        <v>$$$</v>
      </c>
      <c r="BP145" s="88" t="str">
        <f t="shared" si="211"/>
        <v>$$$</v>
      </c>
      <c r="BQ145" s="88" t="str">
        <f t="shared" si="4"/>
        <v>$$$</v>
      </c>
      <c r="BR145" s="88" t="str">
        <f t="shared" si="5"/>
        <v>$$$</v>
      </c>
      <c r="BS145" s="29" t="e">
        <f t="shared" si="219"/>
        <v>#N/A</v>
      </c>
      <c r="BT145" s="29" t="e">
        <f t="shared" si="219"/>
        <v>#N/A</v>
      </c>
      <c r="BU145" s="29" t="e">
        <f t="shared" si="219"/>
        <v>#N/A</v>
      </c>
      <c r="BV145" s="29" t="e">
        <f t="shared" si="219"/>
        <v>#N/A</v>
      </c>
      <c r="BW145" s="29" t="e">
        <f t="shared" si="219"/>
        <v>#N/A</v>
      </c>
      <c r="BX145" s="29" t="e">
        <f t="shared" si="219"/>
        <v>#N/A</v>
      </c>
      <c r="BY145" s="29" t="e">
        <f t="shared" si="219"/>
        <v>#N/A</v>
      </c>
      <c r="BZ145" s="29" t="e">
        <f t="shared" si="219"/>
        <v>#N/A</v>
      </c>
      <c r="CA145" s="29" t="e">
        <f t="shared" si="219"/>
        <v>#N/A</v>
      </c>
      <c r="CB145" s="29" t="e">
        <f t="shared" si="219"/>
        <v>#N/A</v>
      </c>
      <c r="CC145" s="29" t="e">
        <f t="shared" si="219"/>
        <v>#N/A</v>
      </c>
      <c r="CD145" s="29" t="e">
        <f t="shared" si="219"/>
        <v>#N/A</v>
      </c>
      <c r="CE145" s="6" t="str">
        <f t="shared" si="220"/>
        <v/>
      </c>
      <c r="CF145" s="27" t="e">
        <f>IF(AND(CI145,NOT(AD145)),LOOKUP(CF$5,{0,750,1500},H145:J145),"")</f>
        <v>#N/A</v>
      </c>
      <c r="CG145" s="6" t="str">
        <f t="shared" si="221"/>
        <v/>
      </c>
      <c r="CH145" t="e">
        <f t="shared" si="212"/>
        <v>#N/A</v>
      </c>
      <c r="CI145" t="e">
        <f t="shared" si="213"/>
        <v>#N/A</v>
      </c>
      <c r="CJ145" s="6" t="e">
        <f t="shared" si="11"/>
        <v>#N/A</v>
      </c>
      <c r="CK145" s="6">
        <f t="shared" si="12"/>
        <v>1</v>
      </c>
      <c r="CL145" s="6">
        <f t="shared" si="26"/>
        <v>1</v>
      </c>
      <c r="CM145" s="6">
        <f t="shared" si="13"/>
        <v>1</v>
      </c>
      <c r="CN145" s="6">
        <f t="shared" si="14"/>
        <v>1</v>
      </c>
      <c r="CO145" s="6">
        <f t="shared" si="15"/>
        <v>1</v>
      </c>
      <c r="CP145" s="6">
        <f t="shared" si="16"/>
        <v>1</v>
      </c>
      <c r="CQ145" s="6">
        <f t="shared" si="214"/>
        <v>1</v>
      </c>
      <c r="CR145" s="81" t="str">
        <f t="shared" si="17"/>
        <v/>
      </c>
      <c r="CS145">
        <f t="shared" si="215"/>
        <v>0</v>
      </c>
      <c r="CT145">
        <f t="shared" si="19"/>
        <v>20</v>
      </c>
      <c r="CU145" t="str">
        <f t="shared" si="29"/>
        <v>rm</v>
      </c>
      <c r="CV145" s="81">
        <f t="shared" si="216"/>
        <v>240</v>
      </c>
      <c r="CW145" s="81">
        <f>(CV145/25)^1.5*(Calculator!$BU$4/10000)*CW$5</f>
        <v>76.803483157572401</v>
      </c>
      <c r="CX145" t="str">
        <f t="shared" si="217"/>
        <v>$20/rm</v>
      </c>
    </row>
    <row r="146" spans="2:102" x14ac:dyDescent="0.25">
      <c r="B146" s="115" t="s">
        <v>233</v>
      </c>
      <c r="C146" s="13">
        <v>46248.413194444445</v>
      </c>
      <c r="D146">
        <v>35882</v>
      </c>
      <c r="E146" s="54" t="s">
        <v>237</v>
      </c>
      <c r="F146" s="54" t="s">
        <v>498</v>
      </c>
      <c r="G146" s="54" t="s">
        <v>499</v>
      </c>
      <c r="H146" s="55">
        <v>12.4</v>
      </c>
      <c r="I146" s="55">
        <v>11.899999999999999</v>
      </c>
      <c r="J146" s="55">
        <v>11.700000000000001</v>
      </c>
      <c r="K146" s="54"/>
      <c r="L146" s="56" t="b">
        <v>0</v>
      </c>
      <c r="M146" s="56" t="b">
        <v>0</v>
      </c>
      <c r="N146" s="54">
        <v>1</v>
      </c>
      <c r="O146" s="54" t="s">
        <v>228</v>
      </c>
      <c r="P146" s="54">
        <v>30</v>
      </c>
      <c r="Q146" s="54">
        <v>12</v>
      </c>
      <c r="R146" s="54">
        <v>150</v>
      </c>
      <c r="S146" s="54" t="s">
        <v>500</v>
      </c>
      <c r="T146" s="54" t="s">
        <v>501</v>
      </c>
      <c r="U146" s="54" t="s">
        <v>502</v>
      </c>
      <c r="V146" s="54" t="s">
        <v>503</v>
      </c>
      <c r="W146" s="54" t="b">
        <v>0</v>
      </c>
      <c r="X146" s="54"/>
      <c r="Y146" s="57" t="s">
        <v>2066</v>
      </c>
      <c r="Z146" s="54" t="s">
        <v>504</v>
      </c>
      <c r="AA146" s="54"/>
      <c r="AB146" s="54" t="s">
        <v>505</v>
      </c>
      <c r="AC146" s="56" t="b">
        <v>1</v>
      </c>
      <c r="AD146" s="56" t="b">
        <v>0</v>
      </c>
      <c r="AE146" s="54" t="s">
        <v>302</v>
      </c>
      <c r="AF146" s="58">
        <v>46248</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5.5100000000000003E-2</v>
      </c>
      <c r="BC146" s="60">
        <v>4.0599999999999996</v>
      </c>
      <c r="BD146" s="61">
        <v>6.0295000000000001E-2</v>
      </c>
      <c r="BE146" s="62" t="s">
        <v>293</v>
      </c>
      <c r="BF146" s="35">
        <f t="shared" si="0"/>
        <v>4.0600000000000005</v>
      </c>
      <c r="BG146" s="35">
        <f t="shared" si="0"/>
        <v>6.0295000000000001E-2</v>
      </c>
      <c r="BH146" s="35" t="str">
        <f t="shared" si="209"/>
        <v>Low</v>
      </c>
      <c r="BI146" s="110">
        <f t="shared" si="210"/>
        <v>0</v>
      </c>
      <c r="BJ146" s="83" t="str">
        <f>VLOOKUP($F146,REP_Info!$D$6:$H$250,5,FALSE)</f>
        <v/>
      </c>
      <c r="BK146" s="30">
        <f t="shared" si="1"/>
        <v>12.3515</v>
      </c>
      <c r="BL146" s="30">
        <f t="shared" si="1"/>
        <v>11.945500000000003</v>
      </c>
      <c r="BM146" s="30">
        <f t="shared" si="1"/>
        <v>11.742500000000001</v>
      </c>
      <c r="BN146" s="29">
        <f t="shared" si="1"/>
        <v>11.674833333333334</v>
      </c>
      <c r="BO146" s="85" t="str">
        <f t="shared" si="2"/>
        <v>$$$</v>
      </c>
      <c r="BP146" s="88" t="str">
        <f t="shared" si="211"/>
        <v>$$$</v>
      </c>
      <c r="BQ146" s="88" t="str">
        <f t="shared" si="4"/>
        <v>$$$</v>
      </c>
      <c r="BR146" s="88" t="str">
        <f t="shared" si="5"/>
        <v>$$$</v>
      </c>
      <c r="BS146" s="29" t="e">
        <f t="shared" si="219"/>
        <v>#N/A</v>
      </c>
      <c r="BT146" s="29" t="e">
        <f t="shared" si="219"/>
        <v>#N/A</v>
      </c>
      <c r="BU146" s="29" t="e">
        <f t="shared" si="219"/>
        <v>#N/A</v>
      </c>
      <c r="BV146" s="29" t="e">
        <f t="shared" si="219"/>
        <v>#N/A</v>
      </c>
      <c r="BW146" s="29" t="e">
        <f t="shared" si="219"/>
        <v>#N/A</v>
      </c>
      <c r="BX146" s="29" t="e">
        <f t="shared" si="219"/>
        <v>#N/A</v>
      </c>
      <c r="BY146" s="29" t="e">
        <f t="shared" si="219"/>
        <v>#N/A</v>
      </c>
      <c r="BZ146" s="29" t="e">
        <f t="shared" si="219"/>
        <v>#N/A</v>
      </c>
      <c r="CA146" s="29" t="e">
        <f t="shared" si="219"/>
        <v>#N/A</v>
      </c>
      <c r="CB146" s="29" t="e">
        <f t="shared" si="219"/>
        <v>#N/A</v>
      </c>
      <c r="CC146" s="29" t="e">
        <f t="shared" si="219"/>
        <v>#N/A</v>
      </c>
      <c r="CD146" s="29" t="e">
        <f t="shared" si="219"/>
        <v>#N/A</v>
      </c>
      <c r="CE146" s="6" t="str">
        <f t="shared" si="220"/>
        <v/>
      </c>
      <c r="CF146" s="27" t="e">
        <f>IF(AND(CI146,NOT(AD146)),LOOKUP(CF$5,{0,750,1500},H146:J146),"")</f>
        <v>#N/A</v>
      </c>
      <c r="CG146" s="6" t="str">
        <f t="shared" si="221"/>
        <v/>
      </c>
      <c r="CH146" t="e">
        <f t="shared" si="212"/>
        <v>#N/A</v>
      </c>
      <c r="CI146" t="e">
        <f t="shared" si="213"/>
        <v>#N/A</v>
      </c>
      <c r="CJ146" s="6" t="e">
        <f t="shared" si="11"/>
        <v>#N/A</v>
      </c>
      <c r="CK146" s="6">
        <f t="shared" si="12"/>
        <v>1</v>
      </c>
      <c r="CL146" s="6">
        <f t="shared" si="26"/>
        <v>1</v>
      </c>
      <c r="CM146" s="6">
        <f t="shared" si="13"/>
        <v>1</v>
      </c>
      <c r="CN146" s="6">
        <f t="shared" si="14"/>
        <v>1</v>
      </c>
      <c r="CO146" s="6">
        <f t="shared" si="15"/>
        <v>1</v>
      </c>
      <c r="CP146" s="6">
        <f t="shared" si="16"/>
        <v>1</v>
      </c>
      <c r="CQ146" s="6">
        <f t="shared" si="214"/>
        <v>1</v>
      </c>
      <c r="CR146" s="81" t="str">
        <f t="shared" si="17"/>
        <v/>
      </c>
      <c r="CS146">
        <f t="shared" si="215"/>
        <v>0</v>
      </c>
      <c r="CT146">
        <f t="shared" si="19"/>
        <v>150</v>
      </c>
      <c r="CU146" t="str">
        <f t="shared" si="29"/>
        <v/>
      </c>
      <c r="CV146" s="81">
        <f t="shared" si="216"/>
        <v>150</v>
      </c>
      <c r="CW146" s="81">
        <f>(CV146/25)^1.5*(Calculator!$BU$4/10000)*CW$5</f>
        <v>37.949052970673385</v>
      </c>
      <c r="CX146" t="str">
        <f t="shared" si="217"/>
        <v>$150</v>
      </c>
    </row>
    <row r="147" spans="2:102" x14ac:dyDescent="0.25">
      <c r="B147" s="115" t="s">
        <v>233</v>
      </c>
      <c r="C147" s="13">
        <v>46249.28125</v>
      </c>
      <c r="D147">
        <v>35884</v>
      </c>
      <c r="E147" s="54" t="s">
        <v>235</v>
      </c>
      <c r="F147" s="54" t="s">
        <v>498</v>
      </c>
      <c r="G147" s="54" t="s">
        <v>499</v>
      </c>
      <c r="H147" s="55">
        <v>11.700000000000001</v>
      </c>
      <c r="I147" s="55">
        <v>11.200000000000001</v>
      </c>
      <c r="J147" s="55">
        <v>10.9</v>
      </c>
      <c r="K147" s="54"/>
      <c r="L147" s="56" t="b">
        <v>0</v>
      </c>
      <c r="M147" s="56" t="b">
        <v>0</v>
      </c>
      <c r="N147" s="54">
        <v>1</v>
      </c>
      <c r="O147" s="54" t="s">
        <v>228</v>
      </c>
      <c r="P147" s="54">
        <v>30</v>
      </c>
      <c r="Q147" s="54">
        <v>12</v>
      </c>
      <c r="R147" s="54">
        <v>150</v>
      </c>
      <c r="S147" s="54" t="s">
        <v>500</v>
      </c>
      <c r="T147" s="54" t="s">
        <v>501</v>
      </c>
      <c r="U147" s="54" t="s">
        <v>502</v>
      </c>
      <c r="V147" s="54" t="s">
        <v>503</v>
      </c>
      <c r="W147" s="54" t="b">
        <v>0</v>
      </c>
      <c r="X147" s="54"/>
      <c r="Y147" s="57" t="s">
        <v>2089</v>
      </c>
      <c r="Z147" s="54" t="s">
        <v>506</v>
      </c>
      <c r="AA147" s="54"/>
      <c r="AB147" s="54" t="s">
        <v>505</v>
      </c>
      <c r="AC147" s="56" t="b">
        <v>1</v>
      </c>
      <c r="AD147" s="56" t="b">
        <v>0</v>
      </c>
      <c r="AE147" s="54" t="s">
        <v>302</v>
      </c>
      <c r="AF147" s="58">
        <v>46249</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5.7000000000000002E-2</v>
      </c>
      <c r="BC147" s="60">
        <v>4.9000000000000004</v>
      </c>
      <c r="BD147" s="61">
        <v>4.9811000000000001E-2</v>
      </c>
      <c r="BE147" s="62" t="s">
        <v>293</v>
      </c>
      <c r="BF147" s="35">
        <f t="shared" si="0"/>
        <v>4.9000000000000004</v>
      </c>
      <c r="BG147" s="35">
        <f t="shared" si="0"/>
        <v>4.9811000000000001E-2</v>
      </c>
      <c r="BH147" s="35" t="str">
        <f t="shared" si="209"/>
        <v>Low</v>
      </c>
      <c r="BI147" s="110">
        <f t="shared" si="210"/>
        <v>0</v>
      </c>
      <c r="BJ147" s="83" t="str">
        <f>VLOOKUP($F147,REP_Info!$D$6:$H$250,5,FALSE)</f>
        <v/>
      </c>
      <c r="BK147" s="30">
        <f t="shared" si="1"/>
        <v>11.661099999999999</v>
      </c>
      <c r="BL147" s="30">
        <f t="shared" si="1"/>
        <v>11.171100000000001</v>
      </c>
      <c r="BM147" s="30">
        <f t="shared" si="1"/>
        <v>10.9261</v>
      </c>
      <c r="BN147" s="29">
        <f t="shared" si="1"/>
        <v>10.844433333333331</v>
      </c>
      <c r="BO147" s="85" t="str">
        <f t="shared" si="2"/>
        <v>$$$</v>
      </c>
      <c r="BP147" s="88" t="str">
        <f t="shared" si="211"/>
        <v>$$$</v>
      </c>
      <c r="BQ147" s="88" t="str">
        <f t="shared" si="4"/>
        <v>$$$</v>
      </c>
      <c r="BR147" s="88" t="str">
        <f t="shared" si="5"/>
        <v>$$$</v>
      </c>
      <c r="BS147" s="29" t="e">
        <f t="shared" si="219"/>
        <v>#N/A</v>
      </c>
      <c r="BT147" s="29" t="e">
        <f t="shared" si="219"/>
        <v>#N/A</v>
      </c>
      <c r="BU147" s="29" t="e">
        <f t="shared" si="219"/>
        <v>#N/A</v>
      </c>
      <c r="BV147" s="29" t="e">
        <f t="shared" si="219"/>
        <v>#N/A</v>
      </c>
      <c r="BW147" s="29" t="e">
        <f t="shared" si="219"/>
        <v>#N/A</v>
      </c>
      <c r="BX147" s="29" t="e">
        <f t="shared" si="219"/>
        <v>#N/A</v>
      </c>
      <c r="BY147" s="29" t="e">
        <f t="shared" si="219"/>
        <v>#N/A</v>
      </c>
      <c r="BZ147" s="29" t="e">
        <f t="shared" si="219"/>
        <v>#N/A</v>
      </c>
      <c r="CA147" s="29" t="e">
        <f t="shared" si="219"/>
        <v>#N/A</v>
      </c>
      <c r="CB147" s="29" t="e">
        <f t="shared" si="219"/>
        <v>#N/A</v>
      </c>
      <c r="CC147" s="29" t="e">
        <f t="shared" si="219"/>
        <v>#N/A</v>
      </c>
      <c r="CD147" s="29" t="e">
        <f t="shared" si="219"/>
        <v>#N/A</v>
      </c>
      <c r="CE147" s="6" t="str">
        <f t="shared" si="220"/>
        <v/>
      </c>
      <c r="CF147" s="27" t="e">
        <f>IF(AND(CI147,NOT(AD147)),LOOKUP(CF$5,{0,750,1500},H147:J147),"")</f>
        <v>#N/A</v>
      </c>
      <c r="CG147" s="6" t="str">
        <f t="shared" si="221"/>
        <v/>
      </c>
      <c r="CH147" t="e">
        <f t="shared" si="212"/>
        <v>#N/A</v>
      </c>
      <c r="CI147" t="e">
        <f t="shared" si="213"/>
        <v>#N/A</v>
      </c>
      <c r="CJ147" s="6" t="e">
        <f t="shared" si="11"/>
        <v>#N/A</v>
      </c>
      <c r="CK147" s="6">
        <f t="shared" si="12"/>
        <v>1</v>
      </c>
      <c r="CL147" s="6">
        <f t="shared" si="26"/>
        <v>1</v>
      </c>
      <c r="CM147" s="6">
        <f t="shared" si="13"/>
        <v>1</v>
      </c>
      <c r="CN147" s="6">
        <f t="shared" si="14"/>
        <v>1</v>
      </c>
      <c r="CO147" s="6">
        <f t="shared" si="15"/>
        <v>1</v>
      </c>
      <c r="CP147" s="6">
        <f t="shared" si="16"/>
        <v>1</v>
      </c>
      <c r="CQ147" s="6">
        <f t="shared" si="214"/>
        <v>1</v>
      </c>
      <c r="CR147" s="81" t="str">
        <f t="shared" si="17"/>
        <v/>
      </c>
      <c r="CS147">
        <f t="shared" si="215"/>
        <v>0</v>
      </c>
      <c r="CT147">
        <f t="shared" si="19"/>
        <v>150</v>
      </c>
      <c r="CU147" t="str">
        <f t="shared" si="29"/>
        <v/>
      </c>
      <c r="CV147" s="81">
        <f t="shared" si="216"/>
        <v>150</v>
      </c>
      <c r="CW147" s="81">
        <f>(CV147/25)^1.5*(Calculator!$BU$4/10000)*CW$5</f>
        <v>37.949052970673385</v>
      </c>
      <c r="CX147" t="str">
        <f t="shared" si="217"/>
        <v>$150</v>
      </c>
    </row>
    <row r="148" spans="2:102" x14ac:dyDescent="0.25">
      <c r="B148" s="115" t="s">
        <v>233</v>
      </c>
      <c r="C148" s="13">
        <v>46248.413194444445</v>
      </c>
      <c r="D148">
        <v>35895</v>
      </c>
      <c r="E148" s="54" t="s">
        <v>237</v>
      </c>
      <c r="F148" s="54" t="s">
        <v>498</v>
      </c>
      <c r="G148" s="54" t="s">
        <v>2067</v>
      </c>
      <c r="H148" s="55">
        <v>11.4</v>
      </c>
      <c r="I148" s="55">
        <v>10.9</v>
      </c>
      <c r="J148" s="55">
        <v>10.7</v>
      </c>
      <c r="K148" s="54"/>
      <c r="L148" s="56" t="b">
        <v>0</v>
      </c>
      <c r="M148" s="56" t="b">
        <v>0</v>
      </c>
      <c r="N148" s="54">
        <v>1</v>
      </c>
      <c r="O148" s="54" t="s">
        <v>228</v>
      </c>
      <c r="P148" s="54">
        <v>30</v>
      </c>
      <c r="Q148" s="54">
        <v>9</v>
      </c>
      <c r="R148" s="54">
        <v>150</v>
      </c>
      <c r="S148" s="54" t="s">
        <v>2068</v>
      </c>
      <c r="T148" s="54" t="s">
        <v>501</v>
      </c>
      <c r="U148" s="54" t="s">
        <v>502</v>
      </c>
      <c r="V148" s="54" t="s">
        <v>503</v>
      </c>
      <c r="W148" s="54" t="b">
        <v>0</v>
      </c>
      <c r="X148" s="54"/>
      <c r="Y148" s="57" t="s">
        <v>2069</v>
      </c>
      <c r="Z148" s="54" t="s">
        <v>2070</v>
      </c>
      <c r="AA148" s="54"/>
      <c r="AB148" s="54" t="s">
        <v>505</v>
      </c>
      <c r="AC148" s="56" t="b">
        <v>1</v>
      </c>
      <c r="AD148" s="56" t="b">
        <v>0</v>
      </c>
      <c r="AE148" s="54" t="s">
        <v>302</v>
      </c>
      <c r="AF148" s="58">
        <v>46248</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4.5100000000000001E-2</v>
      </c>
      <c r="BC148" s="60">
        <v>4.0599999999999996</v>
      </c>
      <c r="BD148" s="61">
        <v>6.0295000000000001E-2</v>
      </c>
      <c r="BE148" s="62" t="s">
        <v>293</v>
      </c>
      <c r="BF148" s="35">
        <f t="shared" si="0"/>
        <v>4.0600000000000005</v>
      </c>
      <c r="BG148" s="35">
        <f t="shared" si="0"/>
        <v>6.0295000000000001E-2</v>
      </c>
      <c r="BH148" s="35" t="str">
        <f t="shared" si="209"/>
        <v>Low</v>
      </c>
      <c r="BI148" s="110">
        <f t="shared" si="210"/>
        <v>0</v>
      </c>
      <c r="BJ148" s="83" t="str">
        <f>VLOOKUP($F148,REP_Info!$D$6:$H$250,5,FALSE)</f>
        <v/>
      </c>
      <c r="BK148" s="30">
        <f t="shared" si="1"/>
        <v>11.3515</v>
      </c>
      <c r="BL148" s="30">
        <f t="shared" si="1"/>
        <v>10.945500000000003</v>
      </c>
      <c r="BM148" s="30">
        <f t="shared" si="1"/>
        <v>10.742500000000001</v>
      </c>
      <c r="BN148" s="29">
        <f t="shared" si="1"/>
        <v>10.674833333333334</v>
      </c>
      <c r="BO148" s="85" t="str">
        <f t="shared" si="2"/>
        <v>$$$</v>
      </c>
      <c r="BP148" s="88" t="str">
        <f t="shared" si="211"/>
        <v>$$$</v>
      </c>
      <c r="BQ148" s="88" t="str">
        <f t="shared" si="4"/>
        <v>$$$</v>
      </c>
      <c r="BR148" s="88" t="str">
        <f t="shared" si="5"/>
        <v>$$$</v>
      </c>
      <c r="BS148" s="29" t="e">
        <f t="shared" si="219"/>
        <v>#N/A</v>
      </c>
      <c r="BT148" s="29" t="e">
        <f t="shared" si="219"/>
        <v>#N/A</v>
      </c>
      <c r="BU148" s="29" t="e">
        <f t="shared" si="219"/>
        <v>#N/A</v>
      </c>
      <c r="BV148" s="29" t="e">
        <f t="shared" si="219"/>
        <v>#N/A</v>
      </c>
      <c r="BW148" s="29" t="e">
        <f t="shared" si="219"/>
        <v>#N/A</v>
      </c>
      <c r="BX148" s="29" t="e">
        <f t="shared" si="219"/>
        <v>#N/A</v>
      </c>
      <c r="BY148" s="29" t="e">
        <f t="shared" si="219"/>
        <v>#N/A</v>
      </c>
      <c r="BZ148" s="29" t="e">
        <f t="shared" si="219"/>
        <v>#N/A</v>
      </c>
      <c r="CA148" s="29" t="e">
        <f t="shared" si="219"/>
        <v>#N/A</v>
      </c>
      <c r="CB148" s="29" t="e">
        <f t="shared" si="219"/>
        <v>#N/A</v>
      </c>
      <c r="CC148" s="29" t="e">
        <f t="shared" si="219"/>
        <v>#N/A</v>
      </c>
      <c r="CD148" s="29" t="e">
        <f t="shared" si="219"/>
        <v>#N/A</v>
      </c>
      <c r="CE148" s="6" t="str">
        <f t="shared" si="220"/>
        <v/>
      </c>
      <c r="CF148" s="27" t="e">
        <f>IF(AND(CI148,NOT(AD148)),LOOKUP(CF$5,{0,750,1500},H148:J148),"")</f>
        <v>#N/A</v>
      </c>
      <c r="CG148" s="6" t="str">
        <f t="shared" si="221"/>
        <v/>
      </c>
      <c r="CH148" t="e">
        <f t="shared" si="212"/>
        <v>#N/A</v>
      </c>
      <c r="CI148" t="e">
        <f t="shared" si="213"/>
        <v>#N/A</v>
      </c>
      <c r="CJ148" s="6" t="e">
        <f t="shared" si="11"/>
        <v>#N/A</v>
      </c>
      <c r="CK148" s="6">
        <f t="shared" si="12"/>
        <v>1</v>
      </c>
      <c r="CL148" s="6">
        <f t="shared" si="26"/>
        <v>1</v>
      </c>
      <c r="CM148" s="6">
        <f t="shared" si="13"/>
        <v>1</v>
      </c>
      <c r="CN148" s="6">
        <f t="shared" si="14"/>
        <v>0</v>
      </c>
      <c r="CO148" s="6">
        <f t="shared" si="15"/>
        <v>1</v>
      </c>
      <c r="CP148" s="6">
        <f t="shared" si="16"/>
        <v>1</v>
      </c>
      <c r="CQ148" s="6">
        <f t="shared" si="214"/>
        <v>1</v>
      </c>
      <c r="CR148" s="81" t="str">
        <f t="shared" si="17"/>
        <v/>
      </c>
      <c r="CS148">
        <f t="shared" si="215"/>
        <v>5.9999999999999982</v>
      </c>
      <c r="CT148">
        <f t="shared" si="19"/>
        <v>150</v>
      </c>
      <c r="CU148" t="str">
        <f t="shared" si="29"/>
        <v/>
      </c>
      <c r="CV148" s="81">
        <f t="shared" si="216"/>
        <v>150</v>
      </c>
      <c r="CW148" s="81">
        <f>(CV148/25)^1.5*(Calculator!$BU$4/10000)*CW$5</f>
        <v>37.949052970673385</v>
      </c>
      <c r="CX148" t="str">
        <f t="shared" si="217"/>
        <v>$150</v>
      </c>
    </row>
    <row r="149" spans="2:102" x14ac:dyDescent="0.25">
      <c r="B149" s="115" t="s">
        <v>233</v>
      </c>
      <c r="C149" s="13">
        <v>46249.28125</v>
      </c>
      <c r="D149">
        <v>35897</v>
      </c>
      <c r="E149" s="54" t="s">
        <v>235</v>
      </c>
      <c r="F149" s="54" t="s">
        <v>498</v>
      </c>
      <c r="G149" s="54" t="s">
        <v>2067</v>
      </c>
      <c r="H149" s="55">
        <v>10.5</v>
      </c>
      <c r="I149" s="55">
        <v>10</v>
      </c>
      <c r="J149" s="55">
        <v>9.7000000000000011</v>
      </c>
      <c r="K149" s="54"/>
      <c r="L149" s="56" t="b">
        <v>0</v>
      </c>
      <c r="M149" s="56" t="b">
        <v>0</v>
      </c>
      <c r="N149" s="54">
        <v>1</v>
      </c>
      <c r="O149" s="54" t="s">
        <v>228</v>
      </c>
      <c r="P149" s="54">
        <v>30</v>
      </c>
      <c r="Q149" s="54">
        <v>9</v>
      </c>
      <c r="R149" s="54">
        <v>150</v>
      </c>
      <c r="S149" s="54" t="s">
        <v>2068</v>
      </c>
      <c r="T149" s="54" t="s">
        <v>501</v>
      </c>
      <c r="U149" s="54" t="s">
        <v>502</v>
      </c>
      <c r="V149" s="54" t="s">
        <v>503</v>
      </c>
      <c r="W149" s="54" t="b">
        <v>0</v>
      </c>
      <c r="X149" s="54"/>
      <c r="Y149" s="57" t="s">
        <v>2090</v>
      </c>
      <c r="Z149" s="54" t="s">
        <v>2071</v>
      </c>
      <c r="AA149" s="54"/>
      <c r="AB149" s="54" t="s">
        <v>505</v>
      </c>
      <c r="AC149" s="56" t="b">
        <v>1</v>
      </c>
      <c r="AD149" s="56" t="b">
        <v>0</v>
      </c>
      <c r="AE149" s="54" t="s">
        <v>302</v>
      </c>
      <c r="AF149" s="58">
        <v>46249</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4.4999999999999998E-2</v>
      </c>
      <c r="BC149" s="60">
        <v>4.9000000000000004</v>
      </c>
      <c r="BD149" s="61">
        <v>4.9811000000000001E-2</v>
      </c>
      <c r="BE149" s="62" t="s">
        <v>293</v>
      </c>
      <c r="BF149" s="35">
        <f t="shared" si="0"/>
        <v>4.9000000000000004</v>
      </c>
      <c r="BG149" s="35">
        <f t="shared" si="0"/>
        <v>4.9811000000000001E-2</v>
      </c>
      <c r="BH149" s="35" t="str">
        <f t="shared" si="209"/>
        <v>Low</v>
      </c>
      <c r="BI149" s="110">
        <f t="shared" si="210"/>
        <v>0</v>
      </c>
      <c r="BJ149" s="83" t="str">
        <f>VLOOKUP($F149,REP_Info!$D$6:$H$250,5,FALSE)</f>
        <v/>
      </c>
      <c r="BK149" s="30">
        <f t="shared" si="1"/>
        <v>10.461099999999998</v>
      </c>
      <c r="BL149" s="30">
        <f t="shared" si="1"/>
        <v>9.9710999999999999</v>
      </c>
      <c r="BM149" s="30">
        <f t="shared" si="1"/>
        <v>9.7261000000000006</v>
      </c>
      <c r="BN149" s="29">
        <f t="shared" si="1"/>
        <v>9.6444333333333319</v>
      </c>
      <c r="BO149" s="85" t="str">
        <f t="shared" si="2"/>
        <v>$$$</v>
      </c>
      <c r="BP149" s="88" t="str">
        <f t="shared" si="211"/>
        <v>$$$</v>
      </c>
      <c r="BQ149" s="88" t="str">
        <f t="shared" si="4"/>
        <v>$$$</v>
      </c>
      <c r="BR149" s="88" t="str">
        <f t="shared" si="5"/>
        <v>$$$</v>
      </c>
      <c r="BS149" s="29" t="e">
        <f t="shared" si="219"/>
        <v>#N/A</v>
      </c>
      <c r="BT149" s="29" t="e">
        <f t="shared" si="219"/>
        <v>#N/A</v>
      </c>
      <c r="BU149" s="29" t="e">
        <f t="shared" si="219"/>
        <v>#N/A</v>
      </c>
      <c r="BV149" s="29" t="e">
        <f t="shared" si="219"/>
        <v>#N/A</v>
      </c>
      <c r="BW149" s="29" t="e">
        <f t="shared" si="219"/>
        <v>#N/A</v>
      </c>
      <c r="BX149" s="29" t="e">
        <f t="shared" si="219"/>
        <v>#N/A</v>
      </c>
      <c r="BY149" s="29" t="e">
        <f t="shared" si="219"/>
        <v>#N/A</v>
      </c>
      <c r="BZ149" s="29" t="e">
        <f t="shared" si="219"/>
        <v>#N/A</v>
      </c>
      <c r="CA149" s="29" t="e">
        <f t="shared" si="219"/>
        <v>#N/A</v>
      </c>
      <c r="CB149" s="29" t="e">
        <f t="shared" si="219"/>
        <v>#N/A</v>
      </c>
      <c r="CC149" s="29" t="e">
        <f t="shared" si="219"/>
        <v>#N/A</v>
      </c>
      <c r="CD149" s="29" t="e">
        <f t="shared" si="219"/>
        <v>#N/A</v>
      </c>
      <c r="CE149" s="6" t="str">
        <f t="shared" si="220"/>
        <v/>
      </c>
      <c r="CF149" s="27" t="e">
        <f>IF(AND(CI149,NOT(AD149)),LOOKUP(CF$5,{0,750,1500},H149:J149),"")</f>
        <v>#N/A</v>
      </c>
      <c r="CG149" s="6" t="str">
        <f t="shared" si="221"/>
        <v/>
      </c>
      <c r="CH149" t="e">
        <f t="shared" si="212"/>
        <v>#N/A</v>
      </c>
      <c r="CI149" t="e">
        <f t="shared" si="213"/>
        <v>#N/A</v>
      </c>
      <c r="CJ149" s="6" t="e">
        <f t="shared" si="11"/>
        <v>#N/A</v>
      </c>
      <c r="CK149" s="6">
        <f t="shared" si="12"/>
        <v>1</v>
      </c>
      <c r="CL149" s="6">
        <f t="shared" si="26"/>
        <v>1</v>
      </c>
      <c r="CM149" s="6">
        <f t="shared" si="13"/>
        <v>1</v>
      </c>
      <c r="CN149" s="6">
        <f t="shared" si="14"/>
        <v>0</v>
      </c>
      <c r="CO149" s="6">
        <f t="shared" si="15"/>
        <v>1</v>
      </c>
      <c r="CP149" s="6">
        <f t="shared" si="16"/>
        <v>1</v>
      </c>
      <c r="CQ149" s="6">
        <f t="shared" si="214"/>
        <v>1</v>
      </c>
      <c r="CR149" s="81" t="str">
        <f t="shared" si="17"/>
        <v/>
      </c>
      <c r="CS149">
        <f t="shared" si="215"/>
        <v>5.9999999999999982</v>
      </c>
      <c r="CT149">
        <f t="shared" si="19"/>
        <v>150</v>
      </c>
      <c r="CU149" t="str">
        <f t="shared" si="29"/>
        <v/>
      </c>
      <c r="CV149" s="81">
        <f t="shared" si="216"/>
        <v>150</v>
      </c>
      <c r="CW149" s="81">
        <f>(CV149/25)^1.5*(Calculator!$BU$4/10000)*CW$5</f>
        <v>37.949052970673385</v>
      </c>
      <c r="CX149" t="str">
        <f t="shared" si="217"/>
        <v>$150</v>
      </c>
    </row>
    <row r="150" spans="2:102" x14ac:dyDescent="0.25">
      <c r="B150" s="115" t="s">
        <v>233</v>
      </c>
      <c r="C150" s="13">
        <v>46248.413194444445</v>
      </c>
      <c r="D150">
        <v>31714</v>
      </c>
      <c r="E150" s="54" t="s">
        <v>237</v>
      </c>
      <c r="F150" s="54" t="s">
        <v>507</v>
      </c>
      <c r="G150" s="54" t="s">
        <v>508</v>
      </c>
      <c r="H150" s="55">
        <v>12.4</v>
      </c>
      <c r="I150" s="55">
        <v>11.899999999999999</v>
      </c>
      <c r="J150" s="55">
        <v>11.700000000000001</v>
      </c>
      <c r="K150" s="54"/>
      <c r="L150" s="56" t="b">
        <v>0</v>
      </c>
      <c r="M150" s="56" t="b">
        <v>0</v>
      </c>
      <c r="N150" s="54">
        <v>1</v>
      </c>
      <c r="O150" s="54" t="s">
        <v>228</v>
      </c>
      <c r="P150" s="54">
        <v>100</v>
      </c>
      <c r="Q150" s="54">
        <v>12</v>
      </c>
      <c r="R150" s="54">
        <v>150</v>
      </c>
      <c r="S150" s="54" t="s">
        <v>509</v>
      </c>
      <c r="T150" s="54" t="s">
        <v>1777</v>
      </c>
      <c r="U150" s="54" t="s">
        <v>510</v>
      </c>
      <c r="V150" s="54" t="s">
        <v>511</v>
      </c>
      <c r="W150" s="54" t="b">
        <v>0</v>
      </c>
      <c r="X150" s="54"/>
      <c r="Y150" s="57" t="s">
        <v>2072</v>
      </c>
      <c r="Z150" s="54" t="s">
        <v>512</v>
      </c>
      <c r="AA150" s="54"/>
      <c r="AB150" s="54" t="s">
        <v>513</v>
      </c>
      <c r="AC150" s="56" t="b">
        <v>1</v>
      </c>
      <c r="AD150" s="56" t="b">
        <v>0</v>
      </c>
      <c r="AE150" s="54" t="s">
        <v>302</v>
      </c>
      <c r="AF150" s="58">
        <v>46248</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5.5100000000000003E-2</v>
      </c>
      <c r="BC150" s="60">
        <v>4.0599999999999996</v>
      </c>
      <c r="BD150" s="61">
        <v>6.0295000000000001E-2</v>
      </c>
      <c r="BE150" s="62" t="s">
        <v>293</v>
      </c>
      <c r="BF150" s="35">
        <f t="shared" si="0"/>
        <v>4.0600000000000005</v>
      </c>
      <c r="BG150" s="35">
        <f t="shared" si="0"/>
        <v>6.0295000000000001E-2</v>
      </c>
      <c r="BH150" s="35" t="str">
        <f t="shared" si="209"/>
        <v>Low</v>
      </c>
      <c r="BI150" s="110">
        <f t="shared" si="210"/>
        <v>0</v>
      </c>
      <c r="BJ150" s="83">
        <f>VLOOKUP($F150,REP_Info!$D$6:$H$250,5,FALSE)</f>
        <v>1.165</v>
      </c>
      <c r="BK150" s="30">
        <f t="shared" si="1"/>
        <v>12.3515</v>
      </c>
      <c r="BL150" s="30">
        <f t="shared" si="1"/>
        <v>11.945500000000003</v>
      </c>
      <c r="BM150" s="30">
        <f t="shared" si="1"/>
        <v>11.742500000000001</v>
      </c>
      <c r="BN150" s="29">
        <f t="shared" si="1"/>
        <v>11.674833333333334</v>
      </c>
      <c r="BO150" s="85" t="str">
        <f t="shared" si="2"/>
        <v>$$$</v>
      </c>
      <c r="BP150" s="88" t="str">
        <f t="shared" si="211"/>
        <v>$$$</v>
      </c>
      <c r="BQ150" s="88" t="str">
        <f t="shared" si="4"/>
        <v>$$$</v>
      </c>
      <c r="BR150" s="88" t="str">
        <f t="shared" si="5"/>
        <v>$$$</v>
      </c>
      <c r="BS150" s="29" t="e">
        <f t="shared" si="219"/>
        <v>#N/A</v>
      </c>
      <c r="BT150" s="29" t="e">
        <f t="shared" si="219"/>
        <v>#N/A</v>
      </c>
      <c r="BU150" s="29" t="e">
        <f t="shared" si="219"/>
        <v>#N/A</v>
      </c>
      <c r="BV150" s="29" t="e">
        <f t="shared" si="219"/>
        <v>#N/A</v>
      </c>
      <c r="BW150" s="29" t="e">
        <f t="shared" si="219"/>
        <v>#N/A</v>
      </c>
      <c r="BX150" s="29" t="e">
        <f t="shared" si="219"/>
        <v>#N/A</v>
      </c>
      <c r="BY150" s="29" t="e">
        <f t="shared" si="219"/>
        <v>#N/A</v>
      </c>
      <c r="BZ150" s="29" t="e">
        <f t="shared" si="219"/>
        <v>#N/A</v>
      </c>
      <c r="CA150" s="29" t="e">
        <f t="shared" si="219"/>
        <v>#N/A</v>
      </c>
      <c r="CB150" s="29" t="e">
        <f t="shared" si="219"/>
        <v>#N/A</v>
      </c>
      <c r="CC150" s="29" t="e">
        <f t="shared" si="219"/>
        <v>#N/A</v>
      </c>
      <c r="CD150" s="29" t="e">
        <f t="shared" si="219"/>
        <v>#N/A</v>
      </c>
      <c r="CE150" s="6" t="str">
        <f t="shared" si="220"/>
        <v/>
      </c>
      <c r="CF150" s="27" t="e">
        <f>IF(AND(CI150,NOT(AD150)),LOOKUP(CF$5,{0,750,1500},H150:J150),"")</f>
        <v>#N/A</v>
      </c>
      <c r="CG150" s="6" t="str">
        <f t="shared" si="221"/>
        <v/>
      </c>
      <c r="CH150" t="e">
        <f t="shared" si="212"/>
        <v>#N/A</v>
      </c>
      <c r="CI150" t="e">
        <f t="shared" si="213"/>
        <v>#N/A</v>
      </c>
      <c r="CJ150" s="6" t="e">
        <f t="shared" si="11"/>
        <v>#N/A</v>
      </c>
      <c r="CK150" s="6">
        <f t="shared" si="12"/>
        <v>1</v>
      </c>
      <c r="CL150" s="6">
        <f t="shared" si="26"/>
        <v>1</v>
      </c>
      <c r="CM150" s="6">
        <f t="shared" si="13"/>
        <v>1</v>
      </c>
      <c r="CN150" s="6">
        <f t="shared" si="14"/>
        <v>1</v>
      </c>
      <c r="CO150" s="6">
        <f t="shared" si="15"/>
        <v>1</v>
      </c>
      <c r="CP150" s="6">
        <f t="shared" si="16"/>
        <v>1</v>
      </c>
      <c r="CQ150" s="6">
        <f t="shared" si="214"/>
        <v>1</v>
      </c>
      <c r="CR150" s="81" t="str">
        <f t="shared" si="17"/>
        <v/>
      </c>
      <c r="CS150">
        <f t="shared" si="215"/>
        <v>0</v>
      </c>
      <c r="CT150">
        <f t="shared" si="19"/>
        <v>150</v>
      </c>
      <c r="CU150" t="str">
        <f t="shared" si="29"/>
        <v/>
      </c>
      <c r="CV150" s="81">
        <f t="shared" si="216"/>
        <v>150</v>
      </c>
      <c r="CW150" s="81">
        <f>(CV150/25)^1.5*(Calculator!$BU$4/10000)*CW$5</f>
        <v>37.949052970673385</v>
      </c>
      <c r="CX150" t="str">
        <f t="shared" si="217"/>
        <v>$150</v>
      </c>
    </row>
    <row r="151" spans="2:102" x14ac:dyDescent="0.25">
      <c r="B151" s="115" t="s">
        <v>233</v>
      </c>
      <c r="C151" s="13">
        <v>46249.28125</v>
      </c>
      <c r="D151">
        <v>31716</v>
      </c>
      <c r="E151" s="54" t="s">
        <v>235</v>
      </c>
      <c r="F151" s="54" t="s">
        <v>507</v>
      </c>
      <c r="G151" s="54" t="s">
        <v>508</v>
      </c>
      <c r="H151" s="55">
        <v>11.700000000000001</v>
      </c>
      <c r="I151" s="55">
        <v>11.200000000000001</v>
      </c>
      <c r="J151" s="55">
        <v>10.9</v>
      </c>
      <c r="K151" s="54"/>
      <c r="L151" s="56" t="b">
        <v>0</v>
      </c>
      <c r="M151" s="56" t="b">
        <v>0</v>
      </c>
      <c r="N151" s="54">
        <v>1</v>
      </c>
      <c r="O151" s="54" t="s">
        <v>228</v>
      </c>
      <c r="P151" s="54">
        <v>100</v>
      </c>
      <c r="Q151" s="54">
        <v>12</v>
      </c>
      <c r="R151" s="54">
        <v>150</v>
      </c>
      <c r="S151" s="54" t="s">
        <v>509</v>
      </c>
      <c r="T151" s="54" t="s">
        <v>1777</v>
      </c>
      <c r="U151" s="54" t="s">
        <v>510</v>
      </c>
      <c r="V151" s="54" t="s">
        <v>511</v>
      </c>
      <c r="W151" s="54" t="b">
        <v>0</v>
      </c>
      <c r="X151" s="54"/>
      <c r="Y151" s="57" t="s">
        <v>2091</v>
      </c>
      <c r="Z151" s="54" t="s">
        <v>514</v>
      </c>
      <c r="AA151" s="54"/>
      <c r="AB151" s="54" t="s">
        <v>513</v>
      </c>
      <c r="AC151" s="56" t="b">
        <v>1</v>
      </c>
      <c r="AD151" s="56" t="b">
        <v>0</v>
      </c>
      <c r="AE151" s="54" t="s">
        <v>302</v>
      </c>
      <c r="AF151" s="58">
        <v>46249</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5.7000000000000002E-2</v>
      </c>
      <c r="BC151" s="60">
        <v>4.9000000000000004</v>
      </c>
      <c r="BD151" s="61">
        <v>4.9811000000000001E-2</v>
      </c>
      <c r="BE151" s="62" t="s">
        <v>293</v>
      </c>
      <c r="BF151" s="35">
        <f t="shared" si="0"/>
        <v>4.9000000000000004</v>
      </c>
      <c r="BG151" s="35">
        <f t="shared" si="0"/>
        <v>4.9811000000000001E-2</v>
      </c>
      <c r="BH151" s="35" t="str">
        <f t="shared" si="209"/>
        <v>Low</v>
      </c>
      <c r="BI151" s="110">
        <f t="shared" si="210"/>
        <v>0</v>
      </c>
      <c r="BJ151" s="83">
        <f>VLOOKUP($F151,REP_Info!$D$6:$H$250,5,FALSE)</f>
        <v>1.165</v>
      </c>
      <c r="BK151" s="30">
        <f t="shared" si="1"/>
        <v>11.661099999999999</v>
      </c>
      <c r="BL151" s="30">
        <f t="shared" si="1"/>
        <v>11.171100000000001</v>
      </c>
      <c r="BM151" s="30">
        <f t="shared" si="1"/>
        <v>10.9261</v>
      </c>
      <c r="BN151" s="29">
        <f t="shared" ref="BK151:BN159" si="222">IF(BN$7&gt;0,(LOOKUP(BN$7,$AH151:$AL151,$AM151:$AQ151)+IF($AG151="Y",SUMPRODUCT($AX151:$BB151-$AW151:$BA151,BN$7-$AR151:$AV151,N(BN$7&gt;$AR151:$AV151)),BN$7*LOOKUP(BN$7,$AR151:$AV151,$AX151:$BB151))+IF($BE151="Y",$BF151,$BC151)+BN$7*IF($BE151="Y",$BG151,$BD151))*100/BN$7,"")</f>
        <v>10.844433333333331</v>
      </c>
      <c r="BO151" s="85" t="str">
        <f t="shared" si="2"/>
        <v>$$$</v>
      </c>
      <c r="BP151" s="88" t="str">
        <f t="shared" si="211"/>
        <v>$$$</v>
      </c>
      <c r="BQ151" s="88" t="str">
        <f t="shared" si="4"/>
        <v>$$$</v>
      </c>
      <c r="BR151" s="88" t="str">
        <f t="shared" si="5"/>
        <v>$$$</v>
      </c>
      <c r="BS151" s="29" t="e">
        <f t="shared" si="219"/>
        <v>#N/A</v>
      </c>
      <c r="BT151" s="29" t="e">
        <f t="shared" si="219"/>
        <v>#N/A</v>
      </c>
      <c r="BU151" s="29" t="e">
        <f t="shared" si="219"/>
        <v>#N/A</v>
      </c>
      <c r="BV151" s="29" t="e">
        <f t="shared" si="219"/>
        <v>#N/A</v>
      </c>
      <c r="BW151" s="29" t="e">
        <f t="shared" si="219"/>
        <v>#N/A</v>
      </c>
      <c r="BX151" s="29" t="e">
        <f t="shared" si="219"/>
        <v>#N/A</v>
      </c>
      <c r="BY151" s="29" t="e">
        <f t="shared" si="219"/>
        <v>#N/A</v>
      </c>
      <c r="BZ151" s="29" t="e">
        <f t="shared" si="219"/>
        <v>#N/A</v>
      </c>
      <c r="CA151" s="29" t="e">
        <f t="shared" si="219"/>
        <v>#N/A</v>
      </c>
      <c r="CB151" s="29" t="e">
        <f t="shared" si="219"/>
        <v>#N/A</v>
      </c>
      <c r="CC151" s="29" t="e">
        <f t="shared" si="219"/>
        <v>#N/A</v>
      </c>
      <c r="CD151" s="29" t="e">
        <f t="shared" si="219"/>
        <v>#N/A</v>
      </c>
      <c r="CE151" s="6" t="str">
        <f t="shared" si="220"/>
        <v/>
      </c>
      <c r="CF151" s="27" t="e">
        <f>IF(AND(CI151,NOT(AD151)),LOOKUP(CF$5,{0,750,1500},H151:J151),"")</f>
        <v>#N/A</v>
      </c>
      <c r="CG151" s="6" t="str">
        <f t="shared" si="221"/>
        <v/>
      </c>
      <c r="CH151" t="e">
        <f t="shared" si="212"/>
        <v>#N/A</v>
      </c>
      <c r="CI151" t="e">
        <f t="shared" si="213"/>
        <v>#N/A</v>
      </c>
      <c r="CJ151" s="6" t="e">
        <f t="shared" si="11"/>
        <v>#N/A</v>
      </c>
      <c r="CK151" s="6">
        <f t="shared" si="12"/>
        <v>1</v>
      </c>
      <c r="CL151" s="6">
        <f t="shared" si="26"/>
        <v>1</v>
      </c>
      <c r="CM151" s="6">
        <f t="shared" si="13"/>
        <v>1</v>
      </c>
      <c r="CN151" s="6">
        <f t="shared" si="14"/>
        <v>1</v>
      </c>
      <c r="CO151" s="6">
        <f t="shared" si="15"/>
        <v>1</v>
      </c>
      <c r="CP151" s="6">
        <f t="shared" si="16"/>
        <v>1</v>
      </c>
      <c r="CQ151" s="6">
        <f t="shared" si="214"/>
        <v>1</v>
      </c>
      <c r="CR151" s="81" t="str">
        <f t="shared" si="17"/>
        <v/>
      </c>
      <c r="CS151">
        <f t="shared" si="215"/>
        <v>0</v>
      </c>
      <c r="CT151">
        <f t="shared" si="19"/>
        <v>150</v>
      </c>
      <c r="CU151" t="str">
        <f t="shared" si="29"/>
        <v/>
      </c>
      <c r="CV151" s="81">
        <f t="shared" si="216"/>
        <v>150</v>
      </c>
      <c r="CW151" s="81">
        <f>(CV151/25)^1.5*(Calculator!$BU$4/10000)*CW$5</f>
        <v>37.949052970673385</v>
      </c>
      <c r="CX151" t="str">
        <f t="shared" si="217"/>
        <v>$150</v>
      </c>
    </row>
    <row r="152" spans="2:102" x14ac:dyDescent="0.25">
      <c r="B152" s="115" t="s">
        <v>233</v>
      </c>
      <c r="C152" s="13">
        <v>46248.413194444445</v>
      </c>
      <c r="D152">
        <v>35918</v>
      </c>
      <c r="E152" s="54" t="s">
        <v>237</v>
      </c>
      <c r="F152" s="54" t="s">
        <v>507</v>
      </c>
      <c r="G152" s="54" t="s">
        <v>2073</v>
      </c>
      <c r="H152" s="55">
        <v>11.4</v>
      </c>
      <c r="I152" s="55">
        <v>10.9</v>
      </c>
      <c r="J152" s="55">
        <v>10.7</v>
      </c>
      <c r="K152" s="54"/>
      <c r="L152" s="56" t="b">
        <v>0</v>
      </c>
      <c r="M152" s="56" t="b">
        <v>0</v>
      </c>
      <c r="N152" s="54">
        <v>1</v>
      </c>
      <c r="O152" s="54" t="s">
        <v>228</v>
      </c>
      <c r="P152" s="54">
        <v>100</v>
      </c>
      <c r="Q152" s="54">
        <v>9</v>
      </c>
      <c r="R152" s="54">
        <v>150</v>
      </c>
      <c r="S152" s="54" t="s">
        <v>509</v>
      </c>
      <c r="T152" s="54" t="s">
        <v>1777</v>
      </c>
      <c r="U152" s="54" t="s">
        <v>510</v>
      </c>
      <c r="V152" s="54" t="s">
        <v>511</v>
      </c>
      <c r="W152" s="54" t="b">
        <v>0</v>
      </c>
      <c r="X152" s="54"/>
      <c r="Y152" s="57" t="s">
        <v>2074</v>
      </c>
      <c r="Z152" s="54" t="s">
        <v>2075</v>
      </c>
      <c r="AA152" s="54"/>
      <c r="AB152" s="54" t="s">
        <v>513</v>
      </c>
      <c r="AC152" s="56" t="b">
        <v>1</v>
      </c>
      <c r="AD152" s="56" t="b">
        <v>0</v>
      </c>
      <c r="AE152" s="54" t="s">
        <v>302</v>
      </c>
      <c r="AF152" s="58">
        <v>46248</v>
      </c>
      <c r="AG152" s="62" t="s">
        <v>293</v>
      </c>
      <c r="AH152" s="54">
        <v>0</v>
      </c>
      <c r="AI152" s="54"/>
      <c r="AJ152" s="54"/>
      <c r="AK152" s="54"/>
      <c r="AL152" s="54"/>
      <c r="AM152" s="54">
        <v>0</v>
      </c>
      <c r="AN152" s="54"/>
      <c r="AO152" s="54"/>
      <c r="AP152" s="54"/>
      <c r="AQ152" s="54"/>
      <c r="AR152" s="54"/>
      <c r="AS152" s="54"/>
      <c r="AT152" s="54"/>
      <c r="AU152" s="54"/>
      <c r="AV152" s="54"/>
      <c r="AW152" s="54"/>
      <c r="AX152" s="59"/>
      <c r="AY152" s="59"/>
      <c r="AZ152" s="59"/>
      <c r="BA152" s="59"/>
      <c r="BB152" s="59">
        <v>4.5100000000000001E-2</v>
      </c>
      <c r="BC152" s="60">
        <v>4.0599999999999996</v>
      </c>
      <c r="BD152" s="61">
        <v>6.0295000000000001E-2</v>
      </c>
      <c r="BE152" s="62" t="s">
        <v>293</v>
      </c>
      <c r="BF152" s="35">
        <f t="shared" si="0"/>
        <v>4.0600000000000005</v>
      </c>
      <c r="BG152" s="35">
        <f t="shared" si="0"/>
        <v>6.0295000000000001E-2</v>
      </c>
      <c r="BH152" s="35" t="str">
        <f t="shared" si="209"/>
        <v>Low</v>
      </c>
      <c r="BI152" s="110">
        <f t="shared" si="210"/>
        <v>0</v>
      </c>
      <c r="BJ152" s="83">
        <f>VLOOKUP($F152,REP_Info!$D$6:$H$250,5,FALSE)</f>
        <v>1.165</v>
      </c>
      <c r="BK152" s="30">
        <f t="shared" si="222"/>
        <v>11.3515</v>
      </c>
      <c r="BL152" s="30">
        <f t="shared" si="222"/>
        <v>10.945500000000003</v>
      </c>
      <c r="BM152" s="30">
        <f t="shared" si="222"/>
        <v>10.742500000000001</v>
      </c>
      <c r="BN152" s="29">
        <f t="shared" si="222"/>
        <v>10.674833333333334</v>
      </c>
      <c r="BO152" s="85" t="str">
        <f t="shared" si="2"/>
        <v>$$$</v>
      </c>
      <c r="BP152" s="88" t="str">
        <f t="shared" si="211"/>
        <v>$$$</v>
      </c>
      <c r="BQ152" s="88" t="str">
        <f t="shared" si="4"/>
        <v>$$$</v>
      </c>
      <c r="BR152" s="88" t="str">
        <f t="shared" si="5"/>
        <v>$$$</v>
      </c>
      <c r="BS152" s="29" t="e">
        <f t="shared" si="219"/>
        <v>#N/A</v>
      </c>
      <c r="BT152" s="29" t="e">
        <f t="shared" si="219"/>
        <v>#N/A</v>
      </c>
      <c r="BU152" s="29" t="e">
        <f t="shared" si="219"/>
        <v>#N/A</v>
      </c>
      <c r="BV152" s="29" t="e">
        <f t="shared" si="219"/>
        <v>#N/A</v>
      </c>
      <c r="BW152" s="29" t="e">
        <f t="shared" si="219"/>
        <v>#N/A</v>
      </c>
      <c r="BX152" s="29" t="e">
        <f t="shared" si="219"/>
        <v>#N/A</v>
      </c>
      <c r="BY152" s="29" t="e">
        <f t="shared" si="219"/>
        <v>#N/A</v>
      </c>
      <c r="BZ152" s="29" t="e">
        <f t="shared" si="219"/>
        <v>#N/A</v>
      </c>
      <c r="CA152" s="29" t="e">
        <f t="shared" si="219"/>
        <v>#N/A</v>
      </c>
      <c r="CB152" s="29" t="e">
        <f t="shared" si="219"/>
        <v>#N/A</v>
      </c>
      <c r="CC152" s="29" t="e">
        <f t="shared" si="219"/>
        <v>#N/A</v>
      </c>
      <c r="CD152" s="29" t="e">
        <f t="shared" si="219"/>
        <v>#N/A</v>
      </c>
      <c r="CE152" s="6" t="str">
        <f t="shared" si="220"/>
        <v/>
      </c>
      <c r="CF152" s="27" t="e">
        <f>IF(AND(CI152,NOT(AD152)),LOOKUP(CF$5,{0,750,1500},H152:J152),"")</f>
        <v>#N/A</v>
      </c>
      <c r="CG152" s="6" t="str">
        <f t="shared" si="221"/>
        <v/>
      </c>
      <c r="CH152" t="e">
        <f t="shared" si="212"/>
        <v>#N/A</v>
      </c>
      <c r="CI152" t="e">
        <f t="shared" si="213"/>
        <v>#N/A</v>
      </c>
      <c r="CJ152" s="6" t="e">
        <f t="shared" si="11"/>
        <v>#N/A</v>
      </c>
      <c r="CK152" s="6">
        <f t="shared" si="12"/>
        <v>1</v>
      </c>
      <c r="CL152" s="6">
        <f t="shared" si="26"/>
        <v>1</v>
      </c>
      <c r="CM152" s="6">
        <f t="shared" si="13"/>
        <v>1</v>
      </c>
      <c r="CN152" s="6">
        <f t="shared" si="14"/>
        <v>0</v>
      </c>
      <c r="CO152" s="6">
        <f t="shared" si="15"/>
        <v>1</v>
      </c>
      <c r="CP152" s="6">
        <f t="shared" si="16"/>
        <v>1</v>
      </c>
      <c r="CQ152" s="6">
        <f t="shared" si="214"/>
        <v>1</v>
      </c>
      <c r="CR152" s="81" t="str">
        <f t="shared" si="17"/>
        <v/>
      </c>
      <c r="CS152">
        <f t="shared" si="215"/>
        <v>5.9999999999999982</v>
      </c>
      <c r="CT152">
        <f t="shared" si="19"/>
        <v>150</v>
      </c>
      <c r="CU152" t="str">
        <f t="shared" si="29"/>
        <v/>
      </c>
      <c r="CV152" s="81">
        <f t="shared" si="216"/>
        <v>150</v>
      </c>
      <c r="CW152" s="81">
        <f>(CV152/25)^1.5*(Calculator!$BU$4/10000)*CW$5</f>
        <v>37.949052970673385</v>
      </c>
      <c r="CX152" t="str">
        <f t="shared" si="217"/>
        <v>$150</v>
      </c>
    </row>
    <row r="153" spans="2:102" x14ac:dyDescent="0.25">
      <c r="B153" s="115" t="s">
        <v>233</v>
      </c>
      <c r="C153" s="13">
        <v>46249.28125</v>
      </c>
      <c r="D153">
        <v>35920</v>
      </c>
      <c r="E153" s="54" t="s">
        <v>235</v>
      </c>
      <c r="F153" s="54" t="s">
        <v>507</v>
      </c>
      <c r="G153" s="54" t="s">
        <v>2073</v>
      </c>
      <c r="H153" s="55">
        <v>10.5</v>
      </c>
      <c r="I153" s="55">
        <v>10</v>
      </c>
      <c r="J153" s="55">
        <v>9.7000000000000011</v>
      </c>
      <c r="K153" s="54"/>
      <c r="L153" s="56" t="b">
        <v>0</v>
      </c>
      <c r="M153" s="56" t="b">
        <v>0</v>
      </c>
      <c r="N153" s="54">
        <v>1</v>
      </c>
      <c r="O153" s="54" t="s">
        <v>228</v>
      </c>
      <c r="P153" s="54">
        <v>100</v>
      </c>
      <c r="Q153" s="54">
        <v>9</v>
      </c>
      <c r="R153" s="54">
        <v>150</v>
      </c>
      <c r="S153" s="54" t="s">
        <v>509</v>
      </c>
      <c r="T153" s="54" t="s">
        <v>1777</v>
      </c>
      <c r="U153" s="54" t="s">
        <v>510</v>
      </c>
      <c r="V153" s="54" t="s">
        <v>511</v>
      </c>
      <c r="W153" s="54" t="b">
        <v>0</v>
      </c>
      <c r="X153" s="54"/>
      <c r="Y153" s="57" t="s">
        <v>2092</v>
      </c>
      <c r="Z153" s="54" t="s">
        <v>2076</v>
      </c>
      <c r="AA153" s="54"/>
      <c r="AB153" s="54" t="s">
        <v>513</v>
      </c>
      <c r="AC153" s="56" t="b">
        <v>1</v>
      </c>
      <c r="AD153" s="56" t="b">
        <v>0</v>
      </c>
      <c r="AE153" s="54" t="s">
        <v>302</v>
      </c>
      <c r="AF153" s="58">
        <v>46249</v>
      </c>
      <c r="AG153" s="62" t="s">
        <v>293</v>
      </c>
      <c r="AH153" s="54">
        <v>0</v>
      </c>
      <c r="AI153" s="54"/>
      <c r="AJ153" s="54"/>
      <c r="AK153" s="54"/>
      <c r="AL153" s="54"/>
      <c r="AM153" s="54">
        <v>0</v>
      </c>
      <c r="AN153" s="54"/>
      <c r="AO153" s="54"/>
      <c r="AP153" s="54"/>
      <c r="AQ153" s="54"/>
      <c r="AR153" s="54"/>
      <c r="AS153" s="54"/>
      <c r="AT153" s="54"/>
      <c r="AU153" s="54"/>
      <c r="AV153" s="54"/>
      <c r="AW153" s="54"/>
      <c r="AX153" s="59"/>
      <c r="AY153" s="59"/>
      <c r="AZ153" s="59"/>
      <c r="BA153" s="59"/>
      <c r="BB153" s="59">
        <v>4.4999999999999998E-2</v>
      </c>
      <c r="BC153" s="60">
        <v>4.9000000000000004</v>
      </c>
      <c r="BD153" s="61">
        <v>4.9811000000000001E-2</v>
      </c>
      <c r="BE153" s="62" t="s">
        <v>293</v>
      </c>
      <c r="BF153" s="35">
        <f t="shared" si="0"/>
        <v>4.9000000000000004</v>
      </c>
      <c r="BG153" s="35">
        <f t="shared" si="0"/>
        <v>4.9811000000000001E-2</v>
      </c>
      <c r="BH153" s="35" t="str">
        <f t="shared" si="209"/>
        <v>Low</v>
      </c>
      <c r="BI153" s="110">
        <f t="shared" si="210"/>
        <v>0</v>
      </c>
      <c r="BJ153" s="83">
        <f>VLOOKUP($F153,REP_Info!$D$6:$H$250,5,FALSE)</f>
        <v>1.165</v>
      </c>
      <c r="BK153" s="30">
        <f t="shared" si="222"/>
        <v>10.461099999999998</v>
      </c>
      <c r="BL153" s="30">
        <f t="shared" si="222"/>
        <v>9.9710999999999999</v>
      </c>
      <c r="BM153" s="30">
        <f t="shared" si="222"/>
        <v>9.7261000000000006</v>
      </c>
      <c r="BN153" s="29">
        <f t="shared" si="222"/>
        <v>9.6444333333333319</v>
      </c>
      <c r="BO153" s="85" t="str">
        <f t="shared" si="2"/>
        <v>$$$</v>
      </c>
      <c r="BP153" s="88" t="str">
        <f t="shared" si="211"/>
        <v>$$$</v>
      </c>
      <c r="BQ153" s="88" t="str">
        <f t="shared" si="4"/>
        <v>$$$</v>
      </c>
      <c r="BR153" s="88" t="str">
        <f t="shared" si="5"/>
        <v>$$$</v>
      </c>
      <c r="BS153" s="29" t="e">
        <f t="shared" si="219"/>
        <v>#N/A</v>
      </c>
      <c r="BT153" s="29" t="e">
        <f t="shared" si="219"/>
        <v>#N/A</v>
      </c>
      <c r="BU153" s="29" t="e">
        <f t="shared" si="219"/>
        <v>#N/A</v>
      </c>
      <c r="BV153" s="29" t="e">
        <f t="shared" si="219"/>
        <v>#N/A</v>
      </c>
      <c r="BW153" s="29" t="e">
        <f t="shared" si="219"/>
        <v>#N/A</v>
      </c>
      <c r="BX153" s="29" t="e">
        <f t="shared" si="219"/>
        <v>#N/A</v>
      </c>
      <c r="BY153" s="29" t="e">
        <f t="shared" si="219"/>
        <v>#N/A</v>
      </c>
      <c r="BZ153" s="29" t="e">
        <f t="shared" si="219"/>
        <v>#N/A</v>
      </c>
      <c r="CA153" s="29" t="e">
        <f t="shared" si="219"/>
        <v>#N/A</v>
      </c>
      <c r="CB153" s="29" t="e">
        <f t="shared" si="219"/>
        <v>#N/A</v>
      </c>
      <c r="CC153" s="29" t="e">
        <f t="shared" si="219"/>
        <v>#N/A</v>
      </c>
      <c r="CD153" s="29" t="e">
        <f t="shared" si="219"/>
        <v>#N/A</v>
      </c>
      <c r="CE153" s="6" t="str">
        <f t="shared" si="220"/>
        <v/>
      </c>
      <c r="CF153" s="27" t="e">
        <f>IF(AND(CI153,NOT(AD153)),LOOKUP(CF$5,{0,750,1500},H153:J153),"")</f>
        <v>#N/A</v>
      </c>
      <c r="CG153" s="6" t="str">
        <f t="shared" si="221"/>
        <v/>
      </c>
      <c r="CH153" t="e">
        <f t="shared" si="212"/>
        <v>#N/A</v>
      </c>
      <c r="CI153" t="e">
        <f t="shared" si="213"/>
        <v>#N/A</v>
      </c>
      <c r="CJ153" s="6" t="e">
        <f t="shared" si="11"/>
        <v>#N/A</v>
      </c>
      <c r="CK153" s="6">
        <f t="shared" si="12"/>
        <v>1</v>
      </c>
      <c r="CL153" s="6">
        <f t="shared" si="26"/>
        <v>1</v>
      </c>
      <c r="CM153" s="6">
        <f t="shared" si="13"/>
        <v>1</v>
      </c>
      <c r="CN153" s="6">
        <f t="shared" si="14"/>
        <v>0</v>
      </c>
      <c r="CO153" s="6">
        <f t="shared" si="15"/>
        <v>1</v>
      </c>
      <c r="CP153" s="6">
        <f t="shared" si="16"/>
        <v>1</v>
      </c>
      <c r="CQ153" s="6">
        <f t="shared" si="214"/>
        <v>1</v>
      </c>
      <c r="CR153" s="81" t="str">
        <f t="shared" si="17"/>
        <v/>
      </c>
      <c r="CS153">
        <f t="shared" si="215"/>
        <v>5.9999999999999982</v>
      </c>
      <c r="CT153">
        <f t="shared" si="19"/>
        <v>150</v>
      </c>
      <c r="CU153" t="str">
        <f t="shared" si="29"/>
        <v/>
      </c>
      <c r="CV153" s="81">
        <f t="shared" si="216"/>
        <v>150</v>
      </c>
      <c r="CW153" s="81">
        <f>(CV153/25)^1.5*(Calculator!$BU$4/10000)*CW$5</f>
        <v>37.949052970673385</v>
      </c>
      <c r="CX153" t="str">
        <f t="shared" si="217"/>
        <v>$150</v>
      </c>
    </row>
    <row r="154" spans="2:102" x14ac:dyDescent="0.25">
      <c r="B154" s="115" t="s">
        <v>233</v>
      </c>
      <c r="C154" s="13">
        <v>46256.21597222222</v>
      </c>
      <c r="D154">
        <v>28255</v>
      </c>
      <c r="E154" s="54" t="s">
        <v>235</v>
      </c>
      <c r="F154" s="54" t="s">
        <v>515</v>
      </c>
      <c r="G154" s="54" t="s">
        <v>2336</v>
      </c>
      <c r="H154" s="55">
        <v>13.700000000000001</v>
      </c>
      <c r="I154" s="55">
        <v>12.7</v>
      </c>
      <c r="J154" s="55">
        <v>12.2</v>
      </c>
      <c r="K154" s="54"/>
      <c r="L154" s="56" t="b">
        <v>0</v>
      </c>
      <c r="M154" s="56" t="b">
        <v>0</v>
      </c>
      <c r="N154" s="54">
        <v>1</v>
      </c>
      <c r="O154" s="54" t="s">
        <v>228</v>
      </c>
      <c r="P154" s="54">
        <v>25</v>
      </c>
      <c r="Q154" s="54">
        <v>24</v>
      </c>
      <c r="R154" s="54" t="s">
        <v>516</v>
      </c>
      <c r="S154" s="54" t="s">
        <v>2337</v>
      </c>
      <c r="T154" s="54" t="s">
        <v>2338</v>
      </c>
      <c r="U154" s="54" t="s">
        <v>2317</v>
      </c>
      <c r="V154" s="54" t="s">
        <v>2339</v>
      </c>
      <c r="W154" s="54" t="b">
        <v>0</v>
      </c>
      <c r="X154" s="54"/>
      <c r="Y154" s="57" t="s">
        <v>2340</v>
      </c>
      <c r="Z154" s="54" t="s">
        <v>2341</v>
      </c>
      <c r="AA154" s="54"/>
      <c r="AB154" s="54" t="s">
        <v>2342</v>
      </c>
      <c r="AC154" s="56" t="b">
        <v>0</v>
      </c>
      <c r="AD154" s="56" t="b">
        <v>0</v>
      </c>
      <c r="AE154" s="54" t="s">
        <v>302</v>
      </c>
      <c r="AF154" s="58">
        <v>46254</v>
      </c>
      <c r="AG154" s="62" t="s">
        <v>293</v>
      </c>
      <c r="AH154" s="54">
        <v>0</v>
      </c>
      <c r="AI154" s="54"/>
      <c r="AJ154" s="54"/>
      <c r="AK154" s="54"/>
      <c r="AL154" s="54"/>
      <c r="AM154" s="54">
        <v>4.95</v>
      </c>
      <c r="AN154" s="54"/>
      <c r="AO154" s="54"/>
      <c r="AP154" s="54"/>
      <c r="AQ154" s="54"/>
      <c r="AR154" s="54"/>
      <c r="AS154" s="54"/>
      <c r="AT154" s="54"/>
      <c r="AU154" s="54"/>
      <c r="AV154" s="54"/>
      <c r="AW154" s="54"/>
      <c r="AX154" s="59"/>
      <c r="AY154" s="59"/>
      <c r="AZ154" s="59"/>
      <c r="BA154" s="59"/>
      <c r="BB154" s="59">
        <v>6.6000000000000003E-2</v>
      </c>
      <c r="BC154" s="60">
        <v>4.9000000000000004</v>
      </c>
      <c r="BD154" s="61">
        <v>5.1461E-2</v>
      </c>
      <c r="BE154" s="62" t="s">
        <v>293</v>
      </c>
      <c r="BF154" s="35">
        <f t="shared" si="0"/>
        <v>4.9000000000000004</v>
      </c>
      <c r="BG154" s="35">
        <f t="shared" si="0"/>
        <v>4.9811000000000001E-2</v>
      </c>
      <c r="BH154" s="35" t="str">
        <f t="shared" si="209"/>
        <v>Med</v>
      </c>
      <c r="BI154" s="110">
        <f t="shared" si="210"/>
        <v>0</v>
      </c>
      <c r="BJ154" s="83" t="str">
        <f>VLOOKUP($F154,REP_Info!$D$6:$H$250,5,FALSE)</f>
        <v/>
      </c>
      <c r="BK154" s="30">
        <f t="shared" si="222"/>
        <v>13.5511</v>
      </c>
      <c r="BL154" s="30">
        <f t="shared" si="222"/>
        <v>12.5661</v>
      </c>
      <c r="BM154" s="30">
        <f t="shared" si="222"/>
        <v>12.073599999999999</v>
      </c>
      <c r="BN154" s="29">
        <f t="shared" si="222"/>
        <v>11.909433333333334</v>
      </c>
      <c r="BO154" s="85" t="str">
        <f t="shared" si="2"/>
        <v>$$$</v>
      </c>
      <c r="BP154" s="88" t="str">
        <f t="shared" si="211"/>
        <v>$$$</v>
      </c>
      <c r="BQ154" s="88" t="str">
        <f t="shared" si="4"/>
        <v>$$$</v>
      </c>
      <c r="BR154" s="88" t="str">
        <f t="shared" si="5"/>
        <v>$$$</v>
      </c>
      <c r="BS154" s="29" t="e">
        <f t="shared" si="219"/>
        <v>#N/A</v>
      </c>
      <c r="BT154" s="29" t="e">
        <f t="shared" si="219"/>
        <v>#N/A</v>
      </c>
      <c r="BU154" s="29" t="e">
        <f t="shared" si="219"/>
        <v>#N/A</v>
      </c>
      <c r="BV154" s="29" t="e">
        <f t="shared" si="219"/>
        <v>#N/A</v>
      </c>
      <c r="BW154" s="29" t="e">
        <f t="shared" si="219"/>
        <v>#N/A</v>
      </c>
      <c r="BX154" s="29" t="e">
        <f t="shared" si="219"/>
        <v>#N/A</v>
      </c>
      <c r="BY154" s="29" t="e">
        <f t="shared" si="219"/>
        <v>#N/A</v>
      </c>
      <c r="BZ154" s="29" t="e">
        <f t="shared" si="219"/>
        <v>#N/A</v>
      </c>
      <c r="CA154" s="29" t="e">
        <f t="shared" si="219"/>
        <v>#N/A</v>
      </c>
      <c r="CB154" s="29" t="e">
        <f t="shared" si="219"/>
        <v>#N/A</v>
      </c>
      <c r="CC154" s="29" t="e">
        <f t="shared" si="219"/>
        <v>#N/A</v>
      </c>
      <c r="CD154" s="29" t="e">
        <f t="shared" si="219"/>
        <v>#N/A</v>
      </c>
      <c r="CE154" s="6" t="str">
        <f t="shared" si="220"/>
        <v/>
      </c>
      <c r="CF154" s="27" t="e">
        <f>IF(AND(CI154,NOT(AD154)),LOOKUP(CF$5,{0,750,1500},H154:J154),"")</f>
        <v>#N/A</v>
      </c>
      <c r="CG154" s="6" t="str">
        <f t="shared" si="221"/>
        <v/>
      </c>
      <c r="CH154" t="e">
        <f t="shared" si="212"/>
        <v>#N/A</v>
      </c>
      <c r="CI154" t="e">
        <f t="shared" si="213"/>
        <v>#N/A</v>
      </c>
      <c r="CJ154" s="6" t="e">
        <f t="shared" si="11"/>
        <v>#N/A</v>
      </c>
      <c r="CK154" s="6">
        <f t="shared" si="12"/>
        <v>1</v>
      </c>
      <c r="CL154" s="6">
        <f t="shared" si="26"/>
        <v>1</v>
      </c>
      <c r="CM154" s="6">
        <f t="shared" si="13"/>
        <v>1</v>
      </c>
      <c r="CN154" s="6">
        <f t="shared" si="14"/>
        <v>1</v>
      </c>
      <c r="CO154" s="6">
        <f t="shared" si="15"/>
        <v>0</v>
      </c>
      <c r="CP154" s="6">
        <f t="shared" si="16"/>
        <v>1</v>
      </c>
      <c r="CQ154" s="6">
        <f t="shared" si="214"/>
        <v>1</v>
      </c>
      <c r="CR154" s="81" t="str">
        <f t="shared" si="17"/>
        <v/>
      </c>
      <c r="CS154">
        <f t="shared" si="215"/>
        <v>0</v>
      </c>
      <c r="CT154">
        <f t="shared" si="19"/>
        <v>20</v>
      </c>
      <c r="CU154" t="str">
        <f t="shared" si="29"/>
        <v>rm</v>
      </c>
      <c r="CV154" s="81">
        <f t="shared" si="216"/>
        <v>480</v>
      </c>
      <c r="CW154" s="81">
        <f>(CV154/25)^1.5*(Calculator!$BU$4/10000)*CW$5</f>
        <v>217.23305503786497</v>
      </c>
      <c r="CX154" t="str">
        <f t="shared" si="217"/>
        <v>$20/rm</v>
      </c>
    </row>
    <row r="155" spans="2:102" x14ac:dyDescent="0.25">
      <c r="B155" s="115" t="s">
        <v>233</v>
      </c>
      <c r="C155" s="13">
        <v>46256.21597222222</v>
      </c>
      <c r="D155">
        <v>28258</v>
      </c>
      <c r="E155" s="54" t="s">
        <v>237</v>
      </c>
      <c r="F155" s="54" t="s">
        <v>515</v>
      </c>
      <c r="G155" s="54" t="s">
        <v>2336</v>
      </c>
      <c r="H155" s="55">
        <v>14.399999999999999</v>
      </c>
      <c r="I155" s="55">
        <v>13.5</v>
      </c>
      <c r="J155" s="55">
        <v>13.100000000000001</v>
      </c>
      <c r="K155" s="54"/>
      <c r="L155" s="56" t="b">
        <v>0</v>
      </c>
      <c r="M155" s="56" t="b">
        <v>0</v>
      </c>
      <c r="N155" s="54">
        <v>1</v>
      </c>
      <c r="O155" s="54" t="s">
        <v>228</v>
      </c>
      <c r="P155" s="54">
        <v>25</v>
      </c>
      <c r="Q155" s="54">
        <v>24</v>
      </c>
      <c r="R155" s="54" t="s">
        <v>516</v>
      </c>
      <c r="S155" s="54" t="s">
        <v>2343</v>
      </c>
      <c r="T155" s="54" t="s">
        <v>2338</v>
      </c>
      <c r="U155" s="54" t="s">
        <v>2317</v>
      </c>
      <c r="V155" s="54" t="s">
        <v>2339</v>
      </c>
      <c r="W155" s="54" t="b">
        <v>0</v>
      </c>
      <c r="X155" s="54"/>
      <c r="Y155" s="57" t="s">
        <v>2344</v>
      </c>
      <c r="Z155" s="54" t="s">
        <v>2345</v>
      </c>
      <c r="AA155" s="54"/>
      <c r="AB155" s="54" t="s">
        <v>2346</v>
      </c>
      <c r="AC155" s="56" t="b">
        <v>0</v>
      </c>
      <c r="AD155" s="56" t="b">
        <v>0</v>
      </c>
      <c r="AE155" s="54" t="s">
        <v>302</v>
      </c>
      <c r="AF155" s="58">
        <v>46254</v>
      </c>
      <c r="AG155" s="62" t="s">
        <v>293</v>
      </c>
      <c r="AH155" s="54">
        <v>0</v>
      </c>
      <c r="AI155" s="54"/>
      <c r="AJ155" s="54"/>
      <c r="AK155" s="54"/>
      <c r="AL155" s="54"/>
      <c r="AM155" s="54">
        <v>4.95</v>
      </c>
      <c r="AN155" s="54"/>
      <c r="AO155" s="54"/>
      <c r="AP155" s="54"/>
      <c r="AQ155" s="54"/>
      <c r="AR155" s="54"/>
      <c r="AS155" s="54"/>
      <c r="AT155" s="54"/>
      <c r="AU155" s="54"/>
      <c r="AV155" s="54"/>
      <c r="AW155" s="54"/>
      <c r="AX155" s="59"/>
      <c r="AY155" s="59"/>
      <c r="AZ155" s="59"/>
      <c r="BA155" s="59"/>
      <c r="BB155" s="59">
        <v>6.6000000000000003E-2</v>
      </c>
      <c r="BC155" s="60">
        <v>4.0599999999999996</v>
      </c>
      <c r="BD155" s="61">
        <v>6.0208999999999999E-2</v>
      </c>
      <c r="BE155" s="62" t="s">
        <v>293</v>
      </c>
      <c r="BF155" s="35">
        <f t="shared" si="0"/>
        <v>4.0600000000000005</v>
      </c>
      <c r="BG155" s="35">
        <f t="shared" si="0"/>
        <v>6.0295000000000001E-2</v>
      </c>
      <c r="BH155" s="35" t="str">
        <f t="shared" si="209"/>
        <v>Med</v>
      </c>
      <c r="BI155" s="110">
        <f t="shared" si="210"/>
        <v>0</v>
      </c>
      <c r="BJ155" s="83" t="str">
        <f>VLOOKUP($F155,REP_Info!$D$6:$H$250,5,FALSE)</f>
        <v/>
      </c>
      <c r="BK155" s="30">
        <f t="shared" si="222"/>
        <v>14.4315</v>
      </c>
      <c r="BL155" s="30">
        <f t="shared" si="222"/>
        <v>13.5305</v>
      </c>
      <c r="BM155" s="30">
        <f t="shared" si="222"/>
        <v>13.080000000000002</v>
      </c>
      <c r="BN155" s="29">
        <f t="shared" si="222"/>
        <v>12.929833333333333</v>
      </c>
      <c r="BO155" s="85" t="str">
        <f t="shared" si="2"/>
        <v>$$$</v>
      </c>
      <c r="BP155" s="88" t="str">
        <f t="shared" si="211"/>
        <v>$$$</v>
      </c>
      <c r="BQ155" s="88" t="str">
        <f t="shared" si="4"/>
        <v>$$$</v>
      </c>
      <c r="BR155" s="88" t="str">
        <f t="shared" si="5"/>
        <v>$$$</v>
      </c>
      <c r="BS155" s="29" t="e">
        <f t="shared" si="219"/>
        <v>#N/A</v>
      </c>
      <c r="BT155" s="29" t="e">
        <f t="shared" si="219"/>
        <v>#N/A</v>
      </c>
      <c r="BU155" s="29" t="e">
        <f t="shared" si="219"/>
        <v>#N/A</v>
      </c>
      <c r="BV155" s="29" t="e">
        <f t="shared" si="219"/>
        <v>#N/A</v>
      </c>
      <c r="BW155" s="29" t="e">
        <f t="shared" si="219"/>
        <v>#N/A</v>
      </c>
      <c r="BX155" s="29" t="e">
        <f t="shared" si="219"/>
        <v>#N/A</v>
      </c>
      <c r="BY155" s="29" t="e">
        <f t="shared" si="219"/>
        <v>#N/A</v>
      </c>
      <c r="BZ155" s="29" t="e">
        <f t="shared" si="219"/>
        <v>#N/A</v>
      </c>
      <c r="CA155" s="29" t="e">
        <f t="shared" si="219"/>
        <v>#N/A</v>
      </c>
      <c r="CB155" s="29" t="e">
        <f t="shared" si="219"/>
        <v>#N/A</v>
      </c>
      <c r="CC155" s="29" t="e">
        <f t="shared" si="219"/>
        <v>#N/A</v>
      </c>
      <c r="CD155" s="29" t="e">
        <f t="shared" si="219"/>
        <v>#N/A</v>
      </c>
      <c r="CE155" s="6" t="str">
        <f t="shared" si="220"/>
        <v/>
      </c>
      <c r="CF155" s="27" t="e">
        <f>IF(AND(CI155,NOT(AD155)),LOOKUP(CF$5,{0,750,1500},H155:J155),"")</f>
        <v>#N/A</v>
      </c>
      <c r="CG155" s="6" t="str">
        <f t="shared" si="221"/>
        <v/>
      </c>
      <c r="CH155" t="e">
        <f t="shared" si="212"/>
        <v>#N/A</v>
      </c>
      <c r="CI155" t="e">
        <f t="shared" si="213"/>
        <v>#N/A</v>
      </c>
      <c r="CJ155" s="6" t="e">
        <f t="shared" si="11"/>
        <v>#N/A</v>
      </c>
      <c r="CK155" s="6">
        <f t="shared" si="12"/>
        <v>1</v>
      </c>
      <c r="CL155" s="6">
        <f t="shared" si="26"/>
        <v>1</v>
      </c>
      <c r="CM155" s="6">
        <f t="shared" si="13"/>
        <v>1</v>
      </c>
      <c r="CN155" s="6">
        <f t="shared" si="14"/>
        <v>1</v>
      </c>
      <c r="CO155" s="6">
        <f t="shared" si="15"/>
        <v>0</v>
      </c>
      <c r="CP155" s="6">
        <f t="shared" si="16"/>
        <v>1</v>
      </c>
      <c r="CQ155" s="6">
        <f t="shared" si="214"/>
        <v>1</v>
      </c>
      <c r="CR155" s="81" t="str">
        <f t="shared" si="17"/>
        <v/>
      </c>
      <c r="CS155">
        <f t="shared" si="215"/>
        <v>0</v>
      </c>
      <c r="CT155">
        <f t="shared" si="19"/>
        <v>20</v>
      </c>
      <c r="CU155" t="str">
        <f t="shared" si="29"/>
        <v>rm</v>
      </c>
      <c r="CV155" s="81">
        <f t="shared" si="216"/>
        <v>480</v>
      </c>
      <c r="CW155" s="81">
        <f>(CV155/25)^1.5*(Calculator!$BU$4/10000)*CW$5</f>
        <v>217.23305503786497</v>
      </c>
      <c r="CX155" t="str">
        <f t="shared" si="217"/>
        <v>$20/rm</v>
      </c>
    </row>
    <row r="156" spans="2:102" x14ac:dyDescent="0.25">
      <c r="B156" s="115" t="s">
        <v>233</v>
      </c>
      <c r="C156" s="13">
        <v>46256.21597222222</v>
      </c>
      <c r="D156">
        <v>28274</v>
      </c>
      <c r="E156" s="54" t="s">
        <v>237</v>
      </c>
      <c r="F156" s="54" t="s">
        <v>515</v>
      </c>
      <c r="G156" s="54" t="s">
        <v>2347</v>
      </c>
      <c r="H156" s="55">
        <v>13.600000000000001</v>
      </c>
      <c r="I156" s="55">
        <v>12.7</v>
      </c>
      <c r="J156" s="55">
        <v>12.3</v>
      </c>
      <c r="K156" s="54"/>
      <c r="L156" s="56" t="b">
        <v>0</v>
      </c>
      <c r="M156" s="56" t="b">
        <v>0</v>
      </c>
      <c r="N156" s="54">
        <v>1</v>
      </c>
      <c r="O156" s="54" t="s">
        <v>228</v>
      </c>
      <c r="P156" s="54">
        <v>25</v>
      </c>
      <c r="Q156" s="54">
        <v>12</v>
      </c>
      <c r="R156" s="54" t="s">
        <v>516</v>
      </c>
      <c r="S156" s="54" t="s">
        <v>2343</v>
      </c>
      <c r="T156" s="54" t="s">
        <v>2338</v>
      </c>
      <c r="U156" s="54" t="s">
        <v>2316</v>
      </c>
      <c r="V156" s="54" t="s">
        <v>2348</v>
      </c>
      <c r="W156" s="54" t="b">
        <v>0</v>
      </c>
      <c r="X156" s="54"/>
      <c r="Y156" s="57" t="s">
        <v>2349</v>
      </c>
      <c r="Z156" s="54" t="s">
        <v>2345</v>
      </c>
      <c r="AA156" s="54"/>
      <c r="AB156" s="54" t="s">
        <v>2346</v>
      </c>
      <c r="AC156" s="56" t="b">
        <v>0</v>
      </c>
      <c r="AD156" s="56" t="b">
        <v>0</v>
      </c>
      <c r="AE156" s="54" t="s">
        <v>302</v>
      </c>
      <c r="AF156" s="58">
        <v>46254</v>
      </c>
      <c r="AG156" s="62" t="s">
        <v>293</v>
      </c>
      <c r="AH156" s="54">
        <v>0</v>
      </c>
      <c r="AI156" s="54"/>
      <c r="AJ156" s="54"/>
      <c r="AK156" s="54"/>
      <c r="AL156" s="54"/>
      <c r="AM156" s="54">
        <v>4.95</v>
      </c>
      <c r="AN156" s="54"/>
      <c r="AO156" s="54"/>
      <c r="AP156" s="54"/>
      <c r="AQ156" s="54"/>
      <c r="AR156" s="54"/>
      <c r="AS156" s="54"/>
      <c r="AT156" s="54"/>
      <c r="AU156" s="54"/>
      <c r="AV156" s="54"/>
      <c r="AW156" s="54"/>
      <c r="AX156" s="59"/>
      <c r="AY156" s="59"/>
      <c r="AZ156" s="59"/>
      <c r="BA156" s="59"/>
      <c r="BB156" s="59">
        <v>5.8000000000000003E-2</v>
      </c>
      <c r="BC156" s="60">
        <v>4.0599999999999996</v>
      </c>
      <c r="BD156" s="61">
        <v>6.0208999999999999E-2</v>
      </c>
      <c r="BE156" s="62" t="s">
        <v>293</v>
      </c>
      <c r="BF156" s="35">
        <f t="shared" si="0"/>
        <v>4.0600000000000005</v>
      </c>
      <c r="BG156" s="35">
        <f t="shared" si="0"/>
        <v>6.0295000000000001E-2</v>
      </c>
      <c r="BH156" s="35" t="str">
        <f t="shared" si="209"/>
        <v>Med</v>
      </c>
      <c r="BI156" s="110">
        <f t="shared" si="210"/>
        <v>0</v>
      </c>
      <c r="BJ156" s="83" t="str">
        <f>VLOOKUP($F156,REP_Info!$D$6:$H$250,5,FALSE)</f>
        <v/>
      </c>
      <c r="BK156" s="30">
        <f t="shared" si="222"/>
        <v>13.631500000000001</v>
      </c>
      <c r="BL156" s="30">
        <f t="shared" si="222"/>
        <v>12.730499999999999</v>
      </c>
      <c r="BM156" s="30">
        <f t="shared" si="222"/>
        <v>12.280000000000001</v>
      </c>
      <c r="BN156" s="29">
        <f t="shared" si="222"/>
        <v>12.129833333333334</v>
      </c>
      <c r="BO156" s="85" t="str">
        <f t="shared" si="2"/>
        <v>$$$</v>
      </c>
      <c r="BP156" s="88" t="str">
        <f t="shared" si="211"/>
        <v>$$$</v>
      </c>
      <c r="BQ156" s="88" t="str">
        <f t="shared" si="4"/>
        <v>$$$</v>
      </c>
      <c r="BR156" s="88" t="str">
        <f t="shared" si="5"/>
        <v>$$$</v>
      </c>
      <c r="BS156" s="29" t="e">
        <f t="shared" si="219"/>
        <v>#N/A</v>
      </c>
      <c r="BT156" s="29" t="e">
        <f t="shared" si="219"/>
        <v>#N/A</v>
      </c>
      <c r="BU156" s="29" t="e">
        <f t="shared" si="219"/>
        <v>#N/A</v>
      </c>
      <c r="BV156" s="29" t="e">
        <f t="shared" si="219"/>
        <v>#N/A</v>
      </c>
      <c r="BW156" s="29" t="e">
        <f t="shared" si="219"/>
        <v>#N/A</v>
      </c>
      <c r="BX156" s="29" t="e">
        <f t="shared" si="219"/>
        <v>#N/A</v>
      </c>
      <c r="BY156" s="29" t="e">
        <f t="shared" si="219"/>
        <v>#N/A</v>
      </c>
      <c r="BZ156" s="29" t="e">
        <f t="shared" si="219"/>
        <v>#N/A</v>
      </c>
      <c r="CA156" s="29" t="e">
        <f t="shared" si="219"/>
        <v>#N/A</v>
      </c>
      <c r="CB156" s="29" t="e">
        <f t="shared" ref="BS156:CD159" si="223">IF($CI156,IF(CB$7&gt;0,IF(CB$4&gt;$Q156,$BF156+CB$7*(CB$5+$BG156+$BI156),LOOKUP(CB$7,$AH156:$AL156,$AM156:$AQ156)+IF($AG156="Y",SUMPRODUCT($AX156:$BB156-$AW156:$BA156,CB$7-$AR156:$AV156,N(CB$7&gt;$AR156:$AV156)),CB$7*LOOKUP(CB$7,$AR156:$AV156,$AX156:$BB156))+IF($BE156="Y",$BF156,$BC156)+CB$7*IF($BE156="Y",$BG156,$BD156))*100/CB$7,""),NA())</f>
        <v>#N/A</v>
      </c>
      <c r="CC156" s="29" t="e">
        <f t="shared" si="223"/>
        <v>#N/A</v>
      </c>
      <c r="CD156" s="29" t="e">
        <f t="shared" si="223"/>
        <v>#N/A</v>
      </c>
      <c r="CE156" s="6" t="str">
        <f t="shared" si="220"/>
        <v/>
      </c>
      <c r="CF156" s="27" t="e">
        <f>IF(AND(CI156,NOT(AD156)),LOOKUP(CF$5,{0,750,1500},H156:J156),"")</f>
        <v>#N/A</v>
      </c>
      <c r="CG156" s="6" t="str">
        <f t="shared" si="221"/>
        <v/>
      </c>
      <c r="CH156" t="e">
        <f t="shared" si="212"/>
        <v>#N/A</v>
      </c>
      <c r="CI156" t="e">
        <f t="shared" si="213"/>
        <v>#N/A</v>
      </c>
      <c r="CJ156" s="6" t="e">
        <f t="shared" si="11"/>
        <v>#N/A</v>
      </c>
      <c r="CK156" s="6">
        <f t="shared" si="12"/>
        <v>1</v>
      </c>
      <c r="CL156" s="6">
        <f t="shared" si="26"/>
        <v>1</v>
      </c>
      <c r="CM156" s="6">
        <f t="shared" si="13"/>
        <v>1</v>
      </c>
      <c r="CN156" s="6">
        <f t="shared" si="14"/>
        <v>1</v>
      </c>
      <c r="CO156" s="6">
        <f t="shared" si="15"/>
        <v>1</v>
      </c>
      <c r="CP156" s="6">
        <f t="shared" si="16"/>
        <v>1</v>
      </c>
      <c r="CQ156" s="6">
        <f t="shared" si="214"/>
        <v>1</v>
      </c>
      <c r="CR156" s="81" t="str">
        <f t="shared" si="17"/>
        <v/>
      </c>
      <c r="CS156">
        <f t="shared" si="215"/>
        <v>0</v>
      </c>
      <c r="CT156">
        <f t="shared" si="19"/>
        <v>20</v>
      </c>
      <c r="CU156" t="str">
        <f t="shared" si="29"/>
        <v>rm</v>
      </c>
      <c r="CV156" s="81">
        <f t="shared" si="216"/>
        <v>240</v>
      </c>
      <c r="CW156" s="81">
        <f>(CV156/25)^1.5*(Calculator!$BU$4/10000)*CW$5</f>
        <v>76.803483157572401</v>
      </c>
      <c r="CX156" t="str">
        <f t="shared" si="217"/>
        <v>$20/rm</v>
      </c>
    </row>
    <row r="157" spans="2:102" x14ac:dyDescent="0.25">
      <c r="B157" s="115" t="s">
        <v>233</v>
      </c>
      <c r="C157" s="13">
        <v>46256.21597222222</v>
      </c>
      <c r="D157">
        <v>28277</v>
      </c>
      <c r="E157" s="54" t="s">
        <v>235</v>
      </c>
      <c r="F157" s="54" t="s">
        <v>515</v>
      </c>
      <c r="G157" s="54" t="s">
        <v>2347</v>
      </c>
      <c r="H157" s="55">
        <v>12.9</v>
      </c>
      <c r="I157" s="55">
        <v>11.899999999999999</v>
      </c>
      <c r="J157" s="55">
        <v>11.4</v>
      </c>
      <c r="K157" s="54"/>
      <c r="L157" s="56" t="b">
        <v>0</v>
      </c>
      <c r="M157" s="56" t="b">
        <v>0</v>
      </c>
      <c r="N157" s="54">
        <v>1</v>
      </c>
      <c r="O157" s="54" t="s">
        <v>228</v>
      </c>
      <c r="P157" s="54">
        <v>25</v>
      </c>
      <c r="Q157" s="54">
        <v>12</v>
      </c>
      <c r="R157" s="54" t="s">
        <v>516</v>
      </c>
      <c r="S157" s="54" t="s">
        <v>2337</v>
      </c>
      <c r="T157" s="54" t="s">
        <v>2338</v>
      </c>
      <c r="U157" s="54" t="s">
        <v>2316</v>
      </c>
      <c r="V157" s="54" t="s">
        <v>2348</v>
      </c>
      <c r="W157" s="54" t="b">
        <v>0</v>
      </c>
      <c r="X157" s="54"/>
      <c r="Y157" s="57" t="s">
        <v>2350</v>
      </c>
      <c r="Z157" s="54" t="s">
        <v>2341</v>
      </c>
      <c r="AA157" s="54"/>
      <c r="AB157" s="54" t="s">
        <v>2342</v>
      </c>
      <c r="AC157" s="56" t="b">
        <v>0</v>
      </c>
      <c r="AD157" s="56" t="b">
        <v>0</v>
      </c>
      <c r="AE157" s="54" t="s">
        <v>302</v>
      </c>
      <c r="AF157" s="58">
        <v>46254</v>
      </c>
      <c r="AG157" s="62" t="s">
        <v>293</v>
      </c>
      <c r="AH157" s="54">
        <v>0</v>
      </c>
      <c r="AI157" s="54"/>
      <c r="AJ157" s="54"/>
      <c r="AK157" s="54"/>
      <c r="AL157" s="54"/>
      <c r="AM157" s="54">
        <v>4.95</v>
      </c>
      <c r="AN157" s="54"/>
      <c r="AO157" s="54"/>
      <c r="AP157" s="54"/>
      <c r="AQ157" s="54"/>
      <c r="AR157" s="54"/>
      <c r="AS157" s="54"/>
      <c r="AT157" s="54"/>
      <c r="AU157" s="54"/>
      <c r="AV157" s="54"/>
      <c r="AW157" s="54"/>
      <c r="AX157" s="59"/>
      <c r="AY157" s="59"/>
      <c r="AZ157" s="59"/>
      <c r="BA157" s="59"/>
      <c r="BB157" s="59">
        <v>5.8000000000000003E-2</v>
      </c>
      <c r="BC157" s="60">
        <v>4.9000000000000004</v>
      </c>
      <c r="BD157" s="61">
        <v>5.1461E-2</v>
      </c>
      <c r="BE157" s="62" t="s">
        <v>293</v>
      </c>
      <c r="BF157" s="35">
        <f t="shared" si="0"/>
        <v>4.9000000000000004</v>
      </c>
      <c r="BG157" s="35">
        <f t="shared" si="0"/>
        <v>4.9811000000000001E-2</v>
      </c>
      <c r="BH157" s="35" t="str">
        <f t="shared" si="209"/>
        <v>Med</v>
      </c>
      <c r="BI157" s="110">
        <f t="shared" si="210"/>
        <v>0</v>
      </c>
      <c r="BJ157" s="83" t="str">
        <f>VLOOKUP($F157,REP_Info!$D$6:$H$250,5,FALSE)</f>
        <v/>
      </c>
      <c r="BK157" s="30">
        <f t="shared" si="222"/>
        <v>12.751100000000001</v>
      </c>
      <c r="BL157" s="30">
        <f t="shared" si="222"/>
        <v>11.7661</v>
      </c>
      <c r="BM157" s="30">
        <f t="shared" si="222"/>
        <v>11.2736</v>
      </c>
      <c r="BN157" s="29">
        <f t="shared" si="222"/>
        <v>11.109433333333333</v>
      </c>
      <c r="BO157" s="85" t="str">
        <f t="shared" si="2"/>
        <v>$$$</v>
      </c>
      <c r="BP157" s="88" t="str">
        <f t="shared" si="211"/>
        <v>$$$</v>
      </c>
      <c r="BQ157" s="88" t="str">
        <f t="shared" si="4"/>
        <v>$$$</v>
      </c>
      <c r="BR157" s="88" t="str">
        <f t="shared" si="5"/>
        <v>$$$</v>
      </c>
      <c r="BS157" s="29" t="e">
        <f t="shared" si="223"/>
        <v>#N/A</v>
      </c>
      <c r="BT157" s="29" t="e">
        <f t="shared" si="223"/>
        <v>#N/A</v>
      </c>
      <c r="BU157" s="29" t="e">
        <f t="shared" si="223"/>
        <v>#N/A</v>
      </c>
      <c r="BV157" s="29" t="e">
        <f t="shared" si="223"/>
        <v>#N/A</v>
      </c>
      <c r="BW157" s="29" t="e">
        <f t="shared" si="223"/>
        <v>#N/A</v>
      </c>
      <c r="BX157" s="29" t="e">
        <f t="shared" si="223"/>
        <v>#N/A</v>
      </c>
      <c r="BY157" s="29" t="e">
        <f t="shared" si="223"/>
        <v>#N/A</v>
      </c>
      <c r="BZ157" s="29" t="e">
        <f t="shared" si="223"/>
        <v>#N/A</v>
      </c>
      <c r="CA157" s="29" t="e">
        <f t="shared" si="223"/>
        <v>#N/A</v>
      </c>
      <c r="CB157" s="29" t="e">
        <f t="shared" si="223"/>
        <v>#N/A</v>
      </c>
      <c r="CC157" s="29" t="e">
        <f t="shared" si="223"/>
        <v>#N/A</v>
      </c>
      <c r="CD157" s="29" t="e">
        <f t="shared" si="223"/>
        <v>#N/A</v>
      </c>
      <c r="CE157" s="6" t="str">
        <f t="shared" si="220"/>
        <v/>
      </c>
      <c r="CF157" s="27" t="e">
        <f>IF(AND(CI157,NOT(AD157)),LOOKUP(CF$5,{0,750,1500},H157:J157),"")</f>
        <v>#N/A</v>
      </c>
      <c r="CG157" s="6" t="str">
        <f t="shared" si="221"/>
        <v/>
      </c>
      <c r="CH157" t="e">
        <f t="shared" si="212"/>
        <v>#N/A</v>
      </c>
      <c r="CI157" t="e">
        <f t="shared" si="213"/>
        <v>#N/A</v>
      </c>
      <c r="CJ157" s="6" t="e">
        <f t="shared" si="11"/>
        <v>#N/A</v>
      </c>
      <c r="CK157" s="6">
        <f t="shared" si="12"/>
        <v>1</v>
      </c>
      <c r="CL157" s="6">
        <f t="shared" si="26"/>
        <v>1</v>
      </c>
      <c r="CM157" s="6">
        <f t="shared" si="13"/>
        <v>1</v>
      </c>
      <c r="CN157" s="6">
        <f t="shared" si="14"/>
        <v>1</v>
      </c>
      <c r="CO157" s="6">
        <f t="shared" si="15"/>
        <v>1</v>
      </c>
      <c r="CP157" s="6">
        <f t="shared" si="16"/>
        <v>1</v>
      </c>
      <c r="CQ157" s="6">
        <f t="shared" si="214"/>
        <v>1</v>
      </c>
      <c r="CR157" s="81" t="str">
        <f t="shared" si="17"/>
        <v/>
      </c>
      <c r="CS157">
        <f t="shared" si="215"/>
        <v>0</v>
      </c>
      <c r="CT157">
        <f t="shared" si="19"/>
        <v>20</v>
      </c>
      <c r="CU157" t="str">
        <f t="shared" si="29"/>
        <v>rm</v>
      </c>
      <c r="CV157" s="81">
        <f t="shared" si="216"/>
        <v>240</v>
      </c>
      <c r="CW157" s="81">
        <f>(CV157/25)^1.5*(Calculator!$BU$4/10000)*CW$5</f>
        <v>76.803483157572401</v>
      </c>
      <c r="CX157" t="str">
        <f t="shared" si="217"/>
        <v>$20/rm</v>
      </c>
    </row>
    <row r="158" spans="2:102" x14ac:dyDescent="0.25">
      <c r="B158" s="115" t="s">
        <v>233</v>
      </c>
      <c r="C158" s="13">
        <v>46237.767361111109</v>
      </c>
      <c r="D158">
        <v>28301</v>
      </c>
      <c r="E158" s="54" t="s">
        <v>237</v>
      </c>
      <c r="F158" s="54" t="s">
        <v>515</v>
      </c>
      <c r="G158" s="54" t="s">
        <v>2351</v>
      </c>
      <c r="H158" s="55">
        <v>14.7</v>
      </c>
      <c r="I158" s="55">
        <v>13.8</v>
      </c>
      <c r="J158" s="55">
        <v>13.4</v>
      </c>
      <c r="K158" s="54"/>
      <c r="L158" s="56" t="b">
        <v>0</v>
      </c>
      <c r="M158" s="56" t="b">
        <v>0</v>
      </c>
      <c r="N158" s="54">
        <v>1</v>
      </c>
      <c r="O158" s="54" t="s">
        <v>228</v>
      </c>
      <c r="P158" s="54">
        <v>25</v>
      </c>
      <c r="Q158" s="54">
        <v>36</v>
      </c>
      <c r="R158" s="54" t="s">
        <v>516</v>
      </c>
      <c r="S158" s="54" t="s">
        <v>2343</v>
      </c>
      <c r="T158" s="54" t="s">
        <v>2338</v>
      </c>
      <c r="U158" s="54" t="s">
        <v>2318</v>
      </c>
      <c r="V158" s="54" t="s">
        <v>2352</v>
      </c>
      <c r="W158" s="54" t="b">
        <v>0</v>
      </c>
      <c r="X158" s="54"/>
      <c r="Y158" s="57" t="s">
        <v>2353</v>
      </c>
      <c r="Z158" s="54" t="s">
        <v>2345</v>
      </c>
      <c r="AA158" s="54"/>
      <c r="AB158" s="54" t="s">
        <v>2346</v>
      </c>
      <c r="AC158" s="56" t="b">
        <v>0</v>
      </c>
      <c r="AD158" s="56" t="b">
        <v>0</v>
      </c>
      <c r="AE158" s="54" t="s">
        <v>302</v>
      </c>
      <c r="AF158" s="58">
        <v>46237</v>
      </c>
      <c r="AG158" s="62" t="s">
        <v>293</v>
      </c>
      <c r="AH158" s="54">
        <v>0</v>
      </c>
      <c r="AI158" s="54"/>
      <c r="AJ158" s="54"/>
      <c r="AK158" s="54"/>
      <c r="AL158" s="54"/>
      <c r="AM158" s="54">
        <v>4.95</v>
      </c>
      <c r="AN158" s="54"/>
      <c r="AO158" s="54"/>
      <c r="AP158" s="54"/>
      <c r="AQ158" s="54"/>
      <c r="AR158" s="54"/>
      <c r="AS158" s="54"/>
      <c r="AT158" s="54"/>
      <c r="AU158" s="54"/>
      <c r="AV158" s="54"/>
      <c r="AW158" s="54"/>
      <c r="AX158" s="59"/>
      <c r="AY158" s="59"/>
      <c r="AZ158" s="59"/>
      <c r="BA158" s="59"/>
      <c r="BB158" s="59">
        <v>6.9000000000000006E-2</v>
      </c>
      <c r="BC158" s="60">
        <v>4.0599999999999996</v>
      </c>
      <c r="BD158" s="61">
        <v>6.0208999999999999E-2</v>
      </c>
      <c r="BE158" s="62" t="s">
        <v>293</v>
      </c>
      <c r="BF158" s="35">
        <f t="shared" si="0"/>
        <v>4.0600000000000005</v>
      </c>
      <c r="BG158" s="35">
        <f t="shared" si="0"/>
        <v>6.0295000000000001E-2</v>
      </c>
      <c r="BH158" s="35" t="str">
        <f t="shared" si="209"/>
        <v>Med</v>
      </c>
      <c r="BI158" s="110">
        <f t="shared" si="210"/>
        <v>0</v>
      </c>
      <c r="BJ158" s="83" t="str">
        <f>VLOOKUP($F158,REP_Info!$D$6:$H$250,5,FALSE)</f>
        <v/>
      </c>
      <c r="BK158" s="30">
        <f t="shared" si="222"/>
        <v>14.7315</v>
      </c>
      <c r="BL158" s="30">
        <f t="shared" si="222"/>
        <v>13.830500000000001</v>
      </c>
      <c r="BM158" s="30">
        <f t="shared" si="222"/>
        <v>13.380000000000003</v>
      </c>
      <c r="BN158" s="29">
        <f t="shared" si="222"/>
        <v>13.229833333333334</v>
      </c>
      <c r="BO158" s="85" t="str">
        <f t="shared" si="2"/>
        <v>$$$</v>
      </c>
      <c r="BP158" s="88" t="str">
        <f t="shared" si="211"/>
        <v>$$$</v>
      </c>
      <c r="BQ158" s="88" t="str">
        <f t="shared" si="4"/>
        <v>$$$</v>
      </c>
      <c r="BR158" s="88" t="str">
        <f t="shared" si="5"/>
        <v>$$$</v>
      </c>
      <c r="BS158" s="29" t="e">
        <f t="shared" si="223"/>
        <v>#N/A</v>
      </c>
      <c r="BT158" s="29" t="e">
        <f t="shared" si="223"/>
        <v>#N/A</v>
      </c>
      <c r="BU158" s="29" t="e">
        <f t="shared" si="223"/>
        <v>#N/A</v>
      </c>
      <c r="BV158" s="29" t="e">
        <f t="shared" si="223"/>
        <v>#N/A</v>
      </c>
      <c r="BW158" s="29" t="e">
        <f t="shared" si="223"/>
        <v>#N/A</v>
      </c>
      <c r="BX158" s="29" t="e">
        <f t="shared" si="223"/>
        <v>#N/A</v>
      </c>
      <c r="BY158" s="29" t="e">
        <f t="shared" si="223"/>
        <v>#N/A</v>
      </c>
      <c r="BZ158" s="29" t="e">
        <f t="shared" si="223"/>
        <v>#N/A</v>
      </c>
      <c r="CA158" s="29" t="e">
        <f t="shared" si="223"/>
        <v>#N/A</v>
      </c>
      <c r="CB158" s="29" t="e">
        <f t="shared" si="223"/>
        <v>#N/A</v>
      </c>
      <c r="CC158" s="29" t="e">
        <f t="shared" si="223"/>
        <v>#N/A</v>
      </c>
      <c r="CD158" s="29" t="e">
        <f t="shared" si="223"/>
        <v>#N/A</v>
      </c>
      <c r="CE158" s="6" t="str">
        <f t="shared" si="220"/>
        <v/>
      </c>
      <c r="CF158" s="27" t="e">
        <f>IF(AND(CI158,NOT(AD158)),LOOKUP(CF$5,{0,750,1500},H158:J158),"")</f>
        <v>#N/A</v>
      </c>
      <c r="CG158" s="6" t="str">
        <f t="shared" si="221"/>
        <v/>
      </c>
      <c r="CH158" t="e">
        <f t="shared" si="212"/>
        <v>#N/A</v>
      </c>
      <c r="CI158" t="e">
        <f t="shared" si="213"/>
        <v>#N/A</v>
      </c>
      <c r="CJ158" s="6" t="e">
        <f t="shared" si="11"/>
        <v>#N/A</v>
      </c>
      <c r="CK158" s="6">
        <f t="shared" si="12"/>
        <v>1</v>
      </c>
      <c r="CL158" s="6">
        <f t="shared" si="26"/>
        <v>1</v>
      </c>
      <c r="CM158" s="6">
        <f t="shared" si="13"/>
        <v>1</v>
      </c>
      <c r="CN158" s="6">
        <f t="shared" si="14"/>
        <v>1</v>
      </c>
      <c r="CO158" s="6">
        <f t="shared" si="15"/>
        <v>0</v>
      </c>
      <c r="CP158" s="6">
        <f t="shared" si="16"/>
        <v>1</v>
      </c>
      <c r="CQ158" s="6">
        <f t="shared" si="214"/>
        <v>1</v>
      </c>
      <c r="CR158" s="81" t="str">
        <f t="shared" si="17"/>
        <v/>
      </c>
      <c r="CS158">
        <f t="shared" si="215"/>
        <v>0</v>
      </c>
      <c r="CT158">
        <f t="shared" si="19"/>
        <v>20</v>
      </c>
      <c r="CU158" t="str">
        <f t="shared" si="29"/>
        <v>rm</v>
      </c>
      <c r="CV158" s="81">
        <f t="shared" si="216"/>
        <v>720</v>
      </c>
      <c r="CW158" s="81">
        <f>(CV158/25)^1.5*(Calculator!$BU$4/10000)*CW$5</f>
        <v>399.08260508152779</v>
      </c>
      <c r="CX158" t="str">
        <f t="shared" si="217"/>
        <v>$20/rm</v>
      </c>
    </row>
    <row r="159" spans="2:102" x14ac:dyDescent="0.25">
      <c r="B159" s="115" t="s">
        <v>233</v>
      </c>
      <c r="C159" s="13">
        <v>46256.21597222222</v>
      </c>
      <c r="D159">
        <v>28304</v>
      </c>
      <c r="E159" s="54" t="s">
        <v>235</v>
      </c>
      <c r="F159" s="54" t="s">
        <v>515</v>
      </c>
      <c r="G159" s="54" t="s">
        <v>2351</v>
      </c>
      <c r="H159" s="55">
        <v>13.900000000000002</v>
      </c>
      <c r="I159" s="55">
        <v>12.9</v>
      </c>
      <c r="J159" s="55">
        <v>12.4</v>
      </c>
      <c r="K159" s="54"/>
      <c r="L159" s="56" t="b">
        <v>0</v>
      </c>
      <c r="M159" s="56" t="b">
        <v>0</v>
      </c>
      <c r="N159" s="54">
        <v>1</v>
      </c>
      <c r="O159" s="54" t="s">
        <v>228</v>
      </c>
      <c r="P159" s="54">
        <v>25</v>
      </c>
      <c r="Q159" s="54">
        <v>36</v>
      </c>
      <c r="R159" s="54" t="s">
        <v>516</v>
      </c>
      <c r="S159" s="54" t="s">
        <v>2337</v>
      </c>
      <c r="T159" s="54" t="s">
        <v>2338</v>
      </c>
      <c r="U159" s="54" t="s">
        <v>2318</v>
      </c>
      <c r="V159" s="54" t="s">
        <v>2352</v>
      </c>
      <c r="W159" s="54" t="b">
        <v>0</v>
      </c>
      <c r="X159" s="54"/>
      <c r="Y159" s="57" t="s">
        <v>2354</v>
      </c>
      <c r="Z159" s="54" t="s">
        <v>2341</v>
      </c>
      <c r="AA159" s="54"/>
      <c r="AB159" s="54" t="s">
        <v>2342</v>
      </c>
      <c r="AC159" s="56" t="b">
        <v>0</v>
      </c>
      <c r="AD159" s="56" t="b">
        <v>0</v>
      </c>
      <c r="AE159" s="54" t="s">
        <v>302</v>
      </c>
      <c r="AF159" s="58">
        <v>46254</v>
      </c>
      <c r="AG159" s="62" t="s">
        <v>293</v>
      </c>
      <c r="AH159" s="54">
        <v>0</v>
      </c>
      <c r="AI159" s="54"/>
      <c r="AJ159" s="54"/>
      <c r="AK159" s="54"/>
      <c r="AL159" s="54"/>
      <c r="AM159" s="54">
        <v>4.95</v>
      </c>
      <c r="AN159" s="54"/>
      <c r="AO159" s="54"/>
      <c r="AP159" s="54"/>
      <c r="AQ159" s="54"/>
      <c r="AR159" s="54"/>
      <c r="AS159" s="54"/>
      <c r="AT159" s="54"/>
      <c r="AU159" s="54"/>
      <c r="AV159" s="54"/>
      <c r="AW159" s="54"/>
      <c r="AX159" s="59"/>
      <c r="AY159" s="59"/>
      <c r="AZ159" s="59"/>
      <c r="BA159" s="59"/>
      <c r="BB159" s="59">
        <v>6.8000000000000005E-2</v>
      </c>
      <c r="BC159" s="60">
        <v>4.9000000000000004</v>
      </c>
      <c r="BD159" s="61">
        <v>5.1461E-2</v>
      </c>
      <c r="BE159" s="62" t="s">
        <v>293</v>
      </c>
      <c r="BF159" s="35">
        <f t="shared" si="0"/>
        <v>4.9000000000000004</v>
      </c>
      <c r="BG159" s="35">
        <f t="shared" si="0"/>
        <v>4.9811000000000001E-2</v>
      </c>
      <c r="BH159" s="35" t="str">
        <f t="shared" si="209"/>
        <v>Med</v>
      </c>
      <c r="BI159" s="110">
        <f t="shared" si="210"/>
        <v>0</v>
      </c>
      <c r="BJ159" s="83" t="str">
        <f>VLOOKUP($F159,REP_Info!$D$6:$H$250,5,FALSE)</f>
        <v/>
      </c>
      <c r="BK159" s="30">
        <f t="shared" si="222"/>
        <v>13.751100000000001</v>
      </c>
      <c r="BL159" s="30">
        <f t="shared" si="222"/>
        <v>12.7661</v>
      </c>
      <c r="BM159" s="30">
        <f t="shared" si="222"/>
        <v>12.273599999999998</v>
      </c>
      <c r="BN159" s="29">
        <f t="shared" si="222"/>
        <v>12.109433333333333</v>
      </c>
      <c r="BO159" s="85" t="str">
        <f t="shared" si="2"/>
        <v>$$$</v>
      </c>
      <c r="BP159" s="88" t="str">
        <f t="shared" si="211"/>
        <v>$$$</v>
      </c>
      <c r="BQ159" s="88" t="str">
        <f t="shared" si="4"/>
        <v>$$$</v>
      </c>
      <c r="BR159" s="88" t="str">
        <f t="shared" si="5"/>
        <v>$$$</v>
      </c>
      <c r="BS159" s="29" t="e">
        <f t="shared" si="223"/>
        <v>#N/A</v>
      </c>
      <c r="BT159" s="29" t="e">
        <f t="shared" si="223"/>
        <v>#N/A</v>
      </c>
      <c r="BU159" s="29" t="e">
        <f t="shared" si="223"/>
        <v>#N/A</v>
      </c>
      <c r="BV159" s="29" t="e">
        <f t="shared" si="223"/>
        <v>#N/A</v>
      </c>
      <c r="BW159" s="29" t="e">
        <f t="shared" si="223"/>
        <v>#N/A</v>
      </c>
      <c r="BX159" s="29" t="e">
        <f t="shared" si="223"/>
        <v>#N/A</v>
      </c>
      <c r="BY159" s="29" t="e">
        <f t="shared" si="223"/>
        <v>#N/A</v>
      </c>
      <c r="BZ159" s="29" t="e">
        <f t="shared" si="223"/>
        <v>#N/A</v>
      </c>
      <c r="CA159" s="29" t="e">
        <f t="shared" si="223"/>
        <v>#N/A</v>
      </c>
      <c r="CB159" s="29" t="e">
        <f t="shared" si="223"/>
        <v>#N/A</v>
      </c>
      <c r="CC159" s="29" t="e">
        <f t="shared" si="223"/>
        <v>#N/A</v>
      </c>
      <c r="CD159" s="29" t="e">
        <f t="shared" si="223"/>
        <v>#N/A</v>
      </c>
      <c r="CE159" s="6" t="str">
        <f t="shared" si="220"/>
        <v/>
      </c>
      <c r="CF159" s="27" t="e">
        <f>IF(AND(CI159,NOT(AD159)),LOOKUP(CF$5,{0,750,1500},H159:J159),"")</f>
        <v>#N/A</v>
      </c>
      <c r="CG159" s="6" t="str">
        <f t="shared" si="221"/>
        <v/>
      </c>
      <c r="CH159" t="e">
        <f t="shared" si="212"/>
        <v>#N/A</v>
      </c>
      <c r="CI159" t="e">
        <f t="shared" si="213"/>
        <v>#N/A</v>
      </c>
      <c r="CJ159" s="6" t="e">
        <f t="shared" si="11"/>
        <v>#N/A</v>
      </c>
      <c r="CK159" s="6">
        <f t="shared" si="12"/>
        <v>1</v>
      </c>
      <c r="CL159" s="6">
        <f t="shared" si="26"/>
        <v>1</v>
      </c>
      <c r="CM159" s="6">
        <f t="shared" si="13"/>
        <v>1</v>
      </c>
      <c r="CN159" s="6">
        <f t="shared" si="14"/>
        <v>1</v>
      </c>
      <c r="CO159" s="6">
        <f t="shared" si="15"/>
        <v>0</v>
      </c>
      <c r="CP159" s="6">
        <f t="shared" si="16"/>
        <v>1</v>
      </c>
      <c r="CQ159" s="6">
        <f t="shared" si="214"/>
        <v>1</v>
      </c>
      <c r="CR159" s="81" t="str">
        <f t="shared" si="17"/>
        <v/>
      </c>
      <c r="CS159">
        <f t="shared" si="215"/>
        <v>0</v>
      </c>
      <c r="CT159">
        <f t="shared" si="19"/>
        <v>20</v>
      </c>
      <c r="CU159" t="str">
        <f t="shared" si="29"/>
        <v>rm</v>
      </c>
      <c r="CV159" s="81">
        <f t="shared" si="216"/>
        <v>720</v>
      </c>
      <c r="CW159" s="81">
        <f>(CV159/25)^1.5*(Calculator!$BU$4/10000)*CW$5</f>
        <v>399.08260508152779</v>
      </c>
      <c r="CX159" t="str">
        <f t="shared" si="217"/>
        <v>$20/rm</v>
      </c>
    </row>
    <row r="160" spans="2:102" x14ac:dyDescent="0.25">
      <c r="B160" s="115" t="s">
        <v>233</v>
      </c>
      <c r="C160" s="13">
        <v>46256.21597222222</v>
      </c>
      <c r="D160">
        <v>37703</v>
      </c>
      <c r="E160" s="54" t="s">
        <v>235</v>
      </c>
      <c r="F160" s="54" t="s">
        <v>515</v>
      </c>
      <c r="G160" s="54" t="s">
        <v>2355</v>
      </c>
      <c r="H160" s="55">
        <v>12.5</v>
      </c>
      <c r="I160" s="55">
        <v>11.5</v>
      </c>
      <c r="J160" s="55">
        <v>11</v>
      </c>
      <c r="K160" s="54"/>
      <c r="L160" s="56" t="b">
        <v>0</v>
      </c>
      <c r="M160" s="56" t="b">
        <v>0</v>
      </c>
      <c r="N160" s="54">
        <v>1</v>
      </c>
      <c r="O160" s="54" t="s">
        <v>228</v>
      </c>
      <c r="P160" s="54">
        <v>25</v>
      </c>
      <c r="Q160" s="54">
        <v>9</v>
      </c>
      <c r="R160" s="54" t="s">
        <v>516</v>
      </c>
      <c r="S160" s="54" t="s">
        <v>2337</v>
      </c>
      <c r="T160" s="54" t="s">
        <v>2338</v>
      </c>
      <c r="U160" s="54" t="s">
        <v>2318</v>
      </c>
      <c r="V160" s="54" t="s">
        <v>2352</v>
      </c>
      <c r="W160" s="54" t="b">
        <v>0</v>
      </c>
      <c r="X160" s="54"/>
      <c r="Y160" s="57" t="s">
        <v>2356</v>
      </c>
      <c r="Z160" s="54" t="s">
        <v>2357</v>
      </c>
      <c r="AA160" s="54"/>
      <c r="AB160" s="54" t="s">
        <v>2342</v>
      </c>
      <c r="AC160" s="56" t="b">
        <v>0</v>
      </c>
      <c r="AD160" s="56" t="b">
        <v>0</v>
      </c>
      <c r="AE160" s="54" t="s">
        <v>302</v>
      </c>
      <c r="AF160" s="58">
        <v>46255</v>
      </c>
      <c r="AG160" s="62" t="s">
        <v>293</v>
      </c>
      <c r="AH160" s="54">
        <v>0</v>
      </c>
      <c r="AI160" s="54"/>
      <c r="AJ160" s="54"/>
      <c r="AK160" s="54"/>
      <c r="AL160" s="54"/>
      <c r="AM160" s="54">
        <v>4.95</v>
      </c>
      <c r="AN160" s="54"/>
      <c r="AO160" s="54"/>
      <c r="AP160" s="54"/>
      <c r="AQ160" s="54"/>
      <c r="AR160" s="54"/>
      <c r="AS160" s="54"/>
      <c r="AT160" s="54"/>
      <c r="AU160" s="54"/>
      <c r="AV160" s="54"/>
      <c r="AW160" s="54"/>
      <c r="AX160" s="59"/>
      <c r="AY160" s="59"/>
      <c r="AZ160" s="59"/>
      <c r="BA160" s="59"/>
      <c r="BB160" s="59">
        <v>5.3999999999999999E-2</v>
      </c>
      <c r="BC160" s="60">
        <v>4.9000000000000004</v>
      </c>
      <c r="BD160" s="61">
        <v>5.1461E-2</v>
      </c>
      <c r="BE160" s="62" t="s">
        <v>293</v>
      </c>
      <c r="BF160" s="35">
        <f t="shared" si="0"/>
        <v>4.9000000000000004</v>
      </c>
      <c r="BG160" s="35">
        <f t="shared" si="0"/>
        <v>4.9811000000000001E-2</v>
      </c>
      <c r="BH160" s="35" t="str">
        <f t="shared" ref="BH160:BH167" si="224">IF(ISTEXT(BE160),IF(AND(AV160=0,SUM(AN160:AQ160)=0),IF(AM160&lt;=0,IF(BE160="Y","Low","Flat"),"Med"),"High"),"?")</f>
        <v>Med</v>
      </c>
      <c r="BI160" s="110">
        <f t="shared" ref="BI160:BI167" si="225">IF(ISNUMBER(AH160),0*BI$5*SIN((EDATE($A$3,$Q160)-DATE(YEAR(EDATE($A$3,$Q160)),1,0)-BI$4)*2*PI()/365),"")</f>
        <v>0</v>
      </c>
      <c r="BJ160" s="83" t="str">
        <f>VLOOKUP($F160,REP_Info!$D$6:$H$250,5,FALSE)</f>
        <v/>
      </c>
      <c r="BK160" s="30">
        <f t="shared" si="1"/>
        <v>12.351100000000001</v>
      </c>
      <c r="BL160" s="30">
        <f t="shared" si="1"/>
        <v>11.366100000000001</v>
      </c>
      <c r="BM160" s="30">
        <f t="shared" si="1"/>
        <v>10.8736</v>
      </c>
      <c r="BN160" s="29">
        <f t="shared" si="1"/>
        <v>10.709433333333335</v>
      </c>
      <c r="BO160" s="85" t="str">
        <f t="shared" si="2"/>
        <v>$$$</v>
      </c>
      <c r="BP160" s="88" t="str">
        <f t="shared" ref="BP160:BP167" si="226">IFERROR(BO160*100/BO$5,"$$$")</f>
        <v>$$$</v>
      </c>
      <c r="BQ160" s="88" t="str">
        <f t="shared" si="4"/>
        <v>$$$</v>
      </c>
      <c r="BR160" s="88" t="str">
        <f t="shared" si="5"/>
        <v>$$$</v>
      </c>
      <c r="BS160" s="29" t="e">
        <f t="shared" ref="BS160:CD167" si="227">IF($CI160,IF(BS$7&gt;0,IF(BS$4&gt;$Q160,$BF160+BS$7*(BS$5+$BG160+$BI160),LOOKUP(BS$7,$AH160:$AL160,$AM160:$AQ160)+IF($AG160="Y",SUMPRODUCT($AX160:$BB160-$AW160:$BA160,BS$7-$AR160:$AV160,N(BS$7&gt;$AR160:$AV160)),BS$7*LOOKUP(BS$7,$AR160:$AV160,$AX160:$BB160))+IF($BE160="Y",$BF160,$BC160)+BS$7*IF($BE160="Y",$BG160,$BD160))*100/BS$7,""),NA())</f>
        <v>#N/A</v>
      </c>
      <c r="BT160" s="29" t="e">
        <f t="shared" si="227"/>
        <v>#N/A</v>
      </c>
      <c r="BU160" s="29" t="e">
        <f t="shared" si="227"/>
        <v>#N/A</v>
      </c>
      <c r="BV160" s="29" t="e">
        <f t="shared" si="227"/>
        <v>#N/A</v>
      </c>
      <c r="BW160" s="29" t="e">
        <f t="shared" si="227"/>
        <v>#N/A</v>
      </c>
      <c r="BX160" s="29" t="e">
        <f t="shared" si="227"/>
        <v>#N/A</v>
      </c>
      <c r="BY160" s="29" t="e">
        <f t="shared" si="227"/>
        <v>#N/A</v>
      </c>
      <c r="BZ160" s="29" t="e">
        <f t="shared" si="227"/>
        <v>#N/A</v>
      </c>
      <c r="CA160" s="29" t="e">
        <f t="shared" si="227"/>
        <v>#N/A</v>
      </c>
      <c r="CB160" s="29" t="e">
        <f t="shared" si="227"/>
        <v>#N/A</v>
      </c>
      <c r="CC160" s="29" t="e">
        <f t="shared" si="227"/>
        <v>#N/A</v>
      </c>
      <c r="CD160" s="29" t="e">
        <f t="shared" si="227"/>
        <v>#N/A</v>
      </c>
      <c r="CE160" s="6" t="str">
        <f t="shared" si="220"/>
        <v/>
      </c>
      <c r="CF160" s="27" t="e">
        <f>IF(AND(CI160,NOT(AD160)),LOOKUP(CF$5,{0,750,1500},H160:J160),"")</f>
        <v>#N/A</v>
      </c>
      <c r="CG160" s="6" t="str">
        <f t="shared" si="221"/>
        <v/>
      </c>
      <c r="CH160" t="e">
        <f t="shared" ref="CH160:CH167" si="228">IF(CI160,IF(ISNUMBER(BO160),BO160,100000)+CV160/10000+IF(ISNUMBER(BJ160),BJ160,2)/10000-P160/100000+ROW()/10000000,"")</f>
        <v>#N/A</v>
      </c>
      <c r="CI160" t="e">
        <f t="shared" ref="CI160:CI167" si="229">PRODUCT(CJ160:CQ160)</f>
        <v>#N/A</v>
      </c>
      <c r="CJ160" s="6" t="e">
        <f t="shared" si="11"/>
        <v>#N/A</v>
      </c>
      <c r="CK160" s="6">
        <f t="shared" si="12"/>
        <v>1</v>
      </c>
      <c r="CL160" s="6">
        <f t="shared" si="26"/>
        <v>1</v>
      </c>
      <c r="CM160" s="6">
        <f t="shared" si="13"/>
        <v>1</v>
      </c>
      <c r="CN160" s="6">
        <f t="shared" si="14"/>
        <v>0</v>
      </c>
      <c r="CO160" s="6">
        <f t="shared" si="15"/>
        <v>1</v>
      </c>
      <c r="CP160" s="6">
        <f t="shared" si="16"/>
        <v>1</v>
      </c>
      <c r="CQ160" s="6">
        <f t="shared" ref="CQ160:CQ167" si="230">IF(CQ$5="Any",1,IF(AND(CQ$5="Med",AV160=0,SUM(AN160:AQ160)=0),1,IF(AND(CQ$5="Low",AV160=0,SUM(AN160:AQ160)=0,AM160=0),1,IF(AND(CQ$5="Flat",AV160=0,SUM(AN160:AQ160)=0,AM160=0,IFERROR(NOT(BE160="Y"),0)),1,0))))</f>
        <v>1</v>
      </c>
      <c r="CR160" s="81" t="str">
        <f t="shared" si="17"/>
        <v/>
      </c>
      <c r="CS160">
        <f t="shared" ref="CS160:CS167" si="231">CS$5*(12/(MIN(12,Q160))-1)</f>
        <v>5.9999999999999982</v>
      </c>
      <c r="CT160">
        <f t="shared" si="19"/>
        <v>20</v>
      </c>
      <c r="CU160" t="str">
        <f t="shared" si="29"/>
        <v>rm</v>
      </c>
      <c r="CV160" s="81">
        <f t="shared" ref="CV160:CV167" si="232">CT160*IF(CU160="",1,Q160)</f>
        <v>180</v>
      </c>
      <c r="CW160" s="81">
        <f>(CV160/25)^1.5*(Calculator!$BU$4/10000)*CW$5</f>
        <v>49.885325635190988</v>
      </c>
      <c r="CX160" t="str">
        <f t="shared" ref="CX160:CX167" si="233">"$"&amp;IF(LEFT(CU160,1)="r",CT160&amp;"/"&amp;CU160,CV160)</f>
        <v>$20/rm</v>
      </c>
    </row>
    <row r="161" spans="2:102" x14ac:dyDescent="0.25">
      <c r="B161" s="115" t="s">
        <v>233</v>
      </c>
      <c r="C161" s="13">
        <v>46256.21597222222</v>
      </c>
      <c r="D161">
        <v>37705</v>
      </c>
      <c r="E161" s="54" t="s">
        <v>237</v>
      </c>
      <c r="F161" s="54" t="s">
        <v>515</v>
      </c>
      <c r="G161" s="54" t="s">
        <v>2355</v>
      </c>
      <c r="H161" s="55">
        <v>13.200000000000001</v>
      </c>
      <c r="I161" s="55">
        <v>12.3</v>
      </c>
      <c r="J161" s="55">
        <v>11.899999999999999</v>
      </c>
      <c r="K161" s="54"/>
      <c r="L161" s="56" t="b">
        <v>0</v>
      </c>
      <c r="M161" s="56" t="b">
        <v>0</v>
      </c>
      <c r="N161" s="54">
        <v>1</v>
      </c>
      <c r="O161" s="54" t="s">
        <v>228</v>
      </c>
      <c r="P161" s="54">
        <v>25</v>
      </c>
      <c r="Q161" s="54">
        <v>9</v>
      </c>
      <c r="R161" s="54" t="s">
        <v>516</v>
      </c>
      <c r="S161" s="54" t="s">
        <v>2343</v>
      </c>
      <c r="T161" s="54" t="s">
        <v>2338</v>
      </c>
      <c r="U161" s="54" t="s">
        <v>2318</v>
      </c>
      <c r="V161" s="54" t="s">
        <v>2352</v>
      </c>
      <c r="W161" s="54" t="b">
        <v>0</v>
      </c>
      <c r="X161" s="54"/>
      <c r="Y161" s="57" t="s">
        <v>2358</v>
      </c>
      <c r="Z161" s="54" t="s">
        <v>2359</v>
      </c>
      <c r="AA161" s="54"/>
      <c r="AB161" s="54" t="s">
        <v>2342</v>
      </c>
      <c r="AC161" s="56" t="b">
        <v>0</v>
      </c>
      <c r="AD161" s="56" t="b">
        <v>0</v>
      </c>
      <c r="AE161" s="54" t="s">
        <v>302</v>
      </c>
      <c r="AF161" s="58">
        <v>46255</v>
      </c>
      <c r="AG161" s="62" t="s">
        <v>293</v>
      </c>
      <c r="AH161" s="54">
        <v>0</v>
      </c>
      <c r="AI161" s="54"/>
      <c r="AJ161" s="54"/>
      <c r="AK161" s="54"/>
      <c r="AL161" s="54"/>
      <c r="AM161" s="54">
        <v>4.95</v>
      </c>
      <c r="AN161" s="54"/>
      <c r="AO161" s="54"/>
      <c r="AP161" s="54"/>
      <c r="AQ161" s="54"/>
      <c r="AR161" s="54"/>
      <c r="AS161" s="54"/>
      <c r="AT161" s="54"/>
      <c r="AU161" s="54"/>
      <c r="AV161" s="54"/>
      <c r="AW161" s="54"/>
      <c r="AX161" s="59"/>
      <c r="AY161" s="59"/>
      <c r="AZ161" s="59"/>
      <c r="BA161" s="59"/>
      <c r="BB161" s="59">
        <v>5.3999999999999999E-2</v>
      </c>
      <c r="BC161" s="60">
        <v>4.0599999999999996</v>
      </c>
      <c r="BD161" s="61">
        <v>6.0208999999999999E-2</v>
      </c>
      <c r="BE161" s="62" t="s">
        <v>293</v>
      </c>
      <c r="BF161" s="35">
        <f t="shared" si="0"/>
        <v>4.0600000000000005</v>
      </c>
      <c r="BG161" s="35">
        <f t="shared" si="0"/>
        <v>6.0295000000000001E-2</v>
      </c>
      <c r="BH161" s="35" t="str">
        <f t="shared" si="224"/>
        <v>Med</v>
      </c>
      <c r="BI161" s="110">
        <f t="shared" si="225"/>
        <v>0</v>
      </c>
      <c r="BJ161" s="83" t="str">
        <f>VLOOKUP($F161,REP_Info!$D$6:$H$250,5,FALSE)</f>
        <v/>
      </c>
      <c r="BK161" s="30">
        <f t="shared" si="1"/>
        <v>13.2315</v>
      </c>
      <c r="BL161" s="30">
        <f t="shared" si="1"/>
        <v>12.330500000000001</v>
      </c>
      <c r="BM161" s="30">
        <f t="shared" si="1"/>
        <v>11.880000000000003</v>
      </c>
      <c r="BN161" s="29">
        <f t="shared" si="1"/>
        <v>11.729833333333334</v>
      </c>
      <c r="BO161" s="85" t="str">
        <f t="shared" si="2"/>
        <v>$$$</v>
      </c>
      <c r="BP161" s="88" t="str">
        <f t="shared" si="226"/>
        <v>$$$</v>
      </c>
      <c r="BQ161" s="88" t="str">
        <f t="shared" si="4"/>
        <v>$$$</v>
      </c>
      <c r="BR161" s="88" t="str">
        <f t="shared" si="5"/>
        <v>$$$</v>
      </c>
      <c r="BS161" s="29" t="e">
        <f t="shared" si="227"/>
        <v>#N/A</v>
      </c>
      <c r="BT161" s="29" t="e">
        <f t="shared" si="227"/>
        <v>#N/A</v>
      </c>
      <c r="BU161" s="29" t="e">
        <f t="shared" si="227"/>
        <v>#N/A</v>
      </c>
      <c r="BV161" s="29" t="e">
        <f t="shared" si="227"/>
        <v>#N/A</v>
      </c>
      <c r="BW161" s="29" t="e">
        <f t="shared" si="227"/>
        <v>#N/A</v>
      </c>
      <c r="BX161" s="29" t="e">
        <f t="shared" si="227"/>
        <v>#N/A</v>
      </c>
      <c r="BY161" s="29" t="e">
        <f t="shared" si="227"/>
        <v>#N/A</v>
      </c>
      <c r="BZ161" s="29" t="e">
        <f t="shared" si="227"/>
        <v>#N/A</v>
      </c>
      <c r="CA161" s="29" t="e">
        <f t="shared" si="227"/>
        <v>#N/A</v>
      </c>
      <c r="CB161" s="29" t="e">
        <f t="shared" si="227"/>
        <v>#N/A</v>
      </c>
      <c r="CC161" s="29" t="e">
        <f t="shared" si="227"/>
        <v>#N/A</v>
      </c>
      <c r="CD161" s="29" t="e">
        <f t="shared" si="227"/>
        <v>#N/A</v>
      </c>
      <c r="CE161" s="6" t="str">
        <f t="shared" si="220"/>
        <v/>
      </c>
      <c r="CF161" s="27" t="e">
        <f>IF(AND(CI161,NOT(AD161)),LOOKUP(CF$5,{0,750,1500},H161:J161),"")</f>
        <v>#N/A</v>
      </c>
      <c r="CG161" s="6" t="str">
        <f t="shared" si="221"/>
        <v/>
      </c>
      <c r="CH161" t="e">
        <f t="shared" si="228"/>
        <v>#N/A</v>
      </c>
      <c r="CI161" t="e">
        <f t="shared" si="229"/>
        <v>#N/A</v>
      </c>
      <c r="CJ161" s="6" t="e">
        <f t="shared" si="11"/>
        <v>#N/A</v>
      </c>
      <c r="CK161" s="6">
        <f t="shared" si="12"/>
        <v>1</v>
      </c>
      <c r="CL161" s="6">
        <f t="shared" si="26"/>
        <v>1</v>
      </c>
      <c r="CM161" s="6">
        <f t="shared" si="13"/>
        <v>1</v>
      </c>
      <c r="CN161" s="6">
        <f t="shared" si="14"/>
        <v>0</v>
      </c>
      <c r="CO161" s="6">
        <f t="shared" si="15"/>
        <v>1</v>
      </c>
      <c r="CP161" s="6">
        <f t="shared" si="16"/>
        <v>1</v>
      </c>
      <c r="CQ161" s="6">
        <f t="shared" si="230"/>
        <v>1</v>
      </c>
      <c r="CR161" s="81" t="str">
        <f t="shared" si="17"/>
        <v/>
      </c>
      <c r="CS161">
        <f t="shared" si="231"/>
        <v>5.9999999999999982</v>
      </c>
      <c r="CT161">
        <f t="shared" si="19"/>
        <v>20</v>
      </c>
      <c r="CU161" t="str">
        <f t="shared" si="29"/>
        <v>rm</v>
      </c>
      <c r="CV161" s="81">
        <f t="shared" si="232"/>
        <v>180</v>
      </c>
      <c r="CW161" s="81">
        <f>(CV161/25)^1.5*(Calculator!$BU$4/10000)*CW$5</f>
        <v>49.885325635190988</v>
      </c>
      <c r="CX161" t="str">
        <f t="shared" si="233"/>
        <v>$20/rm</v>
      </c>
    </row>
    <row r="162" spans="2:102" x14ac:dyDescent="0.25">
      <c r="B162" s="115" t="s">
        <v>233</v>
      </c>
      <c r="C162" s="13">
        <v>46237.767361111109</v>
      </c>
      <c r="D162">
        <v>22010</v>
      </c>
      <c r="E162" s="54" t="s">
        <v>237</v>
      </c>
      <c r="F162" s="54" t="s">
        <v>517</v>
      </c>
      <c r="G162" s="54" t="s">
        <v>518</v>
      </c>
      <c r="H162" s="55">
        <v>16.7</v>
      </c>
      <c r="I162" s="55">
        <v>15.8</v>
      </c>
      <c r="J162" s="55">
        <v>15.4</v>
      </c>
      <c r="K162" s="54"/>
      <c r="L162" s="56" t="b">
        <v>0</v>
      </c>
      <c r="M162" s="56" t="b">
        <v>0</v>
      </c>
      <c r="N162" s="54">
        <v>1</v>
      </c>
      <c r="O162" s="54" t="s">
        <v>228</v>
      </c>
      <c r="P162" s="54">
        <v>100</v>
      </c>
      <c r="Q162" s="54">
        <v>12</v>
      </c>
      <c r="R162" s="54">
        <v>150</v>
      </c>
      <c r="S162" s="54" t="s">
        <v>519</v>
      </c>
      <c r="T162" s="54" t="s">
        <v>520</v>
      </c>
      <c r="U162" s="54" t="s">
        <v>521</v>
      </c>
      <c r="V162" s="54" t="s">
        <v>522</v>
      </c>
      <c r="W162" s="54" t="b">
        <v>0</v>
      </c>
      <c r="X162" s="54"/>
      <c r="Y162" s="57" t="s">
        <v>1859</v>
      </c>
      <c r="Z162" s="54" t="s">
        <v>1860</v>
      </c>
      <c r="AA162" s="54"/>
      <c r="AB162" s="54" t="s">
        <v>523</v>
      </c>
      <c r="AC162" s="56" t="b">
        <v>1</v>
      </c>
      <c r="AD162" s="56" t="b">
        <v>0</v>
      </c>
      <c r="AE162" s="54" t="s">
        <v>302</v>
      </c>
      <c r="AF162" s="58">
        <v>46235</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8.8701000000000002E-2</v>
      </c>
      <c r="BC162" s="60">
        <v>4.0599999999999996</v>
      </c>
      <c r="BD162" s="61">
        <v>6.0295000000000001E-2</v>
      </c>
      <c r="BE162" s="62" t="s">
        <v>293</v>
      </c>
      <c r="BF162" s="35">
        <f t="shared" si="0"/>
        <v>4.0600000000000005</v>
      </c>
      <c r="BG162" s="35">
        <f t="shared" si="0"/>
        <v>6.0295000000000001E-2</v>
      </c>
      <c r="BH162" s="35" t="str">
        <f t="shared" si="224"/>
        <v>Med</v>
      </c>
      <c r="BI162" s="110">
        <f t="shared" si="225"/>
        <v>0</v>
      </c>
      <c r="BJ162" s="83">
        <f>VLOOKUP($F162,REP_Info!$D$6:$H$250,5,FALSE)</f>
        <v>0.67800000000000005</v>
      </c>
      <c r="BK162" s="30">
        <f t="shared" si="1"/>
        <v>16.711600000000001</v>
      </c>
      <c r="BL162" s="30">
        <f t="shared" si="1"/>
        <v>15.8056</v>
      </c>
      <c r="BM162" s="30">
        <f t="shared" si="1"/>
        <v>15.352600000000001</v>
      </c>
      <c r="BN162" s="29">
        <f t="shared" si="1"/>
        <v>15.201600000000001</v>
      </c>
      <c r="BO162" s="85" t="str">
        <f t="shared" si="2"/>
        <v>$$$</v>
      </c>
      <c r="BP162" s="88" t="str">
        <f t="shared" si="226"/>
        <v>$$$</v>
      </c>
      <c r="BQ162" s="88" t="str">
        <f t="shared" si="4"/>
        <v>$$$</v>
      </c>
      <c r="BR162" s="88" t="str">
        <f t="shared" si="5"/>
        <v>$$$</v>
      </c>
      <c r="BS162" s="29" t="e">
        <f t="shared" si="227"/>
        <v>#N/A</v>
      </c>
      <c r="BT162" s="29" t="e">
        <f t="shared" si="227"/>
        <v>#N/A</v>
      </c>
      <c r="BU162" s="29" t="e">
        <f t="shared" si="227"/>
        <v>#N/A</v>
      </c>
      <c r="BV162" s="29" t="e">
        <f t="shared" si="227"/>
        <v>#N/A</v>
      </c>
      <c r="BW162" s="29" t="e">
        <f t="shared" si="227"/>
        <v>#N/A</v>
      </c>
      <c r="BX162" s="29" t="e">
        <f t="shared" si="227"/>
        <v>#N/A</v>
      </c>
      <c r="BY162" s="29" t="e">
        <f t="shared" si="227"/>
        <v>#N/A</v>
      </c>
      <c r="BZ162" s="29" t="e">
        <f t="shared" si="227"/>
        <v>#N/A</v>
      </c>
      <c r="CA162" s="29" t="e">
        <f t="shared" si="227"/>
        <v>#N/A</v>
      </c>
      <c r="CB162" s="29" t="e">
        <f t="shared" si="227"/>
        <v>#N/A</v>
      </c>
      <c r="CC162" s="29" t="e">
        <f t="shared" si="227"/>
        <v>#N/A</v>
      </c>
      <c r="CD162" s="29" t="e">
        <f t="shared" si="227"/>
        <v>#N/A</v>
      </c>
      <c r="CE162" s="6" t="str">
        <f t="shared" si="220"/>
        <v/>
      </c>
      <c r="CF162" s="27" t="e">
        <f>IF(AND(CI162,NOT(AD162)),LOOKUP(CF$5,{0,750,1500},H162:J162),"")</f>
        <v>#N/A</v>
      </c>
      <c r="CG162" s="6" t="str">
        <f t="shared" si="221"/>
        <v/>
      </c>
      <c r="CH162" t="e">
        <f t="shared" si="228"/>
        <v>#N/A</v>
      </c>
      <c r="CI162" t="e">
        <f t="shared" si="229"/>
        <v>#N/A</v>
      </c>
      <c r="CJ162" s="6" t="e">
        <f t="shared" si="11"/>
        <v>#N/A</v>
      </c>
      <c r="CK162" s="6">
        <f t="shared" si="12"/>
        <v>1</v>
      </c>
      <c r="CL162" s="6">
        <f t="shared" si="26"/>
        <v>1</v>
      </c>
      <c r="CM162" s="6">
        <f t="shared" si="13"/>
        <v>1</v>
      </c>
      <c r="CN162" s="6">
        <f t="shared" si="14"/>
        <v>1</v>
      </c>
      <c r="CO162" s="6">
        <f t="shared" si="15"/>
        <v>1</v>
      </c>
      <c r="CP162" s="6">
        <f t="shared" si="16"/>
        <v>1</v>
      </c>
      <c r="CQ162" s="6">
        <f t="shared" si="230"/>
        <v>1</v>
      </c>
      <c r="CR162" s="81" t="str">
        <f t="shared" si="17"/>
        <v/>
      </c>
      <c r="CS162">
        <f t="shared" si="231"/>
        <v>0</v>
      </c>
      <c r="CT162">
        <f t="shared" si="19"/>
        <v>150</v>
      </c>
      <c r="CU162" t="str">
        <f t="shared" si="29"/>
        <v/>
      </c>
      <c r="CV162" s="81">
        <f t="shared" si="232"/>
        <v>150</v>
      </c>
      <c r="CW162" s="81">
        <f>(CV162/25)^1.5*(Calculator!$BU$4/10000)*CW$5</f>
        <v>37.949052970673385</v>
      </c>
      <c r="CX162" t="str">
        <f t="shared" si="233"/>
        <v>$150</v>
      </c>
    </row>
    <row r="163" spans="2:102" x14ac:dyDescent="0.25">
      <c r="B163" s="115" t="s">
        <v>233</v>
      </c>
      <c r="C163" s="13">
        <v>46251.443749999999</v>
      </c>
      <c r="D163">
        <v>22013</v>
      </c>
      <c r="E163" s="54" t="s">
        <v>235</v>
      </c>
      <c r="F163" s="54" t="s">
        <v>517</v>
      </c>
      <c r="G163" s="54" t="s">
        <v>518</v>
      </c>
      <c r="H163" s="55">
        <v>15.8</v>
      </c>
      <c r="I163" s="55">
        <v>14.799999999999999</v>
      </c>
      <c r="J163" s="55">
        <v>14.299999999999999</v>
      </c>
      <c r="K163" s="54"/>
      <c r="L163" s="56" t="b">
        <v>0</v>
      </c>
      <c r="M163" s="56" t="b">
        <v>0</v>
      </c>
      <c r="N163" s="54">
        <v>1</v>
      </c>
      <c r="O163" s="54" t="s">
        <v>228</v>
      </c>
      <c r="P163" s="54">
        <v>100</v>
      </c>
      <c r="Q163" s="54">
        <v>12</v>
      </c>
      <c r="R163" s="54">
        <v>150</v>
      </c>
      <c r="S163" s="54" t="s">
        <v>519</v>
      </c>
      <c r="T163" s="54" t="s">
        <v>520</v>
      </c>
      <c r="U163" s="54" t="s">
        <v>521</v>
      </c>
      <c r="V163" s="54" t="s">
        <v>522</v>
      </c>
      <c r="W163" s="54" t="b">
        <v>0</v>
      </c>
      <c r="X163" s="54"/>
      <c r="Y163" s="57" t="s">
        <v>2110</v>
      </c>
      <c r="Z163" s="54" t="s">
        <v>2111</v>
      </c>
      <c r="AA163" s="54"/>
      <c r="AB163" s="54" t="s">
        <v>523</v>
      </c>
      <c r="AC163" s="56" t="b">
        <v>1</v>
      </c>
      <c r="AD163" s="56" t="b">
        <v>0</v>
      </c>
      <c r="AE163" s="54" t="s">
        <v>302</v>
      </c>
      <c r="AF163" s="58">
        <v>46249</v>
      </c>
      <c r="AG163" s="62" t="s">
        <v>293</v>
      </c>
      <c r="AH163" s="54">
        <v>0</v>
      </c>
      <c r="AI163" s="54"/>
      <c r="AJ163" s="54"/>
      <c r="AK163" s="54"/>
      <c r="AL163" s="54"/>
      <c r="AM163" s="54">
        <v>5</v>
      </c>
      <c r="AN163" s="54"/>
      <c r="AO163" s="54"/>
      <c r="AP163" s="54"/>
      <c r="AQ163" s="54"/>
      <c r="AR163" s="54"/>
      <c r="AS163" s="54"/>
      <c r="AT163" s="54"/>
      <c r="AU163" s="54"/>
      <c r="AV163" s="54"/>
      <c r="AW163" s="54"/>
      <c r="AX163" s="59"/>
      <c r="AY163" s="59"/>
      <c r="AZ163" s="59"/>
      <c r="BA163" s="59"/>
      <c r="BB163" s="59">
        <v>8.8555999999999996E-2</v>
      </c>
      <c r="BC163" s="60">
        <v>4.9000000000000004</v>
      </c>
      <c r="BD163" s="61">
        <v>4.9811000000000001E-2</v>
      </c>
      <c r="BE163" s="62" t="s">
        <v>293</v>
      </c>
      <c r="BF163" s="35">
        <f t="shared" si="0"/>
        <v>4.9000000000000004</v>
      </c>
      <c r="BG163" s="35">
        <f t="shared" ref="BF163:BG167" si="234">IF($E163=$E$4,BG$4,IF($E163=$E$5,BG$5,""))</f>
        <v>4.9811000000000001E-2</v>
      </c>
      <c r="BH163" s="35" t="str">
        <f t="shared" si="224"/>
        <v>Med</v>
      </c>
      <c r="BI163" s="110">
        <f t="shared" si="225"/>
        <v>0</v>
      </c>
      <c r="BJ163" s="83">
        <f>VLOOKUP($F163,REP_Info!$D$6:$H$250,5,FALSE)</f>
        <v>0.67800000000000005</v>
      </c>
      <c r="BK163" s="30">
        <f t="shared" si="1"/>
        <v>15.816700000000001</v>
      </c>
      <c r="BL163" s="30">
        <f t="shared" si="1"/>
        <v>14.826699999999999</v>
      </c>
      <c r="BM163" s="30">
        <f t="shared" si="1"/>
        <v>14.331700000000001</v>
      </c>
      <c r="BN163" s="29">
        <f t="shared" si="1"/>
        <v>14.166699999999999</v>
      </c>
      <c r="BO163" s="85" t="str">
        <f t="shared" si="2"/>
        <v>$$$</v>
      </c>
      <c r="BP163" s="88" t="str">
        <f t="shared" si="226"/>
        <v>$$$</v>
      </c>
      <c r="BQ163" s="88" t="str">
        <f t="shared" si="4"/>
        <v>$$$</v>
      </c>
      <c r="BR163" s="88" t="str">
        <f t="shared" si="5"/>
        <v>$$$</v>
      </c>
      <c r="BS163" s="29" t="e">
        <f t="shared" si="227"/>
        <v>#N/A</v>
      </c>
      <c r="BT163" s="29" t="e">
        <f t="shared" si="227"/>
        <v>#N/A</v>
      </c>
      <c r="BU163" s="29" t="e">
        <f t="shared" si="227"/>
        <v>#N/A</v>
      </c>
      <c r="BV163" s="29" t="e">
        <f t="shared" si="227"/>
        <v>#N/A</v>
      </c>
      <c r="BW163" s="29" t="e">
        <f t="shared" si="227"/>
        <v>#N/A</v>
      </c>
      <c r="BX163" s="29" t="e">
        <f t="shared" si="227"/>
        <v>#N/A</v>
      </c>
      <c r="BY163" s="29" t="e">
        <f t="shared" si="227"/>
        <v>#N/A</v>
      </c>
      <c r="BZ163" s="29" t="e">
        <f t="shared" si="227"/>
        <v>#N/A</v>
      </c>
      <c r="CA163" s="29" t="e">
        <f t="shared" si="227"/>
        <v>#N/A</v>
      </c>
      <c r="CB163" s="29" t="e">
        <f t="shared" si="227"/>
        <v>#N/A</v>
      </c>
      <c r="CC163" s="29" t="e">
        <f t="shared" si="227"/>
        <v>#N/A</v>
      </c>
      <c r="CD163" s="29" t="e">
        <f t="shared" si="227"/>
        <v>#N/A</v>
      </c>
      <c r="CE163" s="6" t="str">
        <f t="shared" si="220"/>
        <v/>
      </c>
      <c r="CF163" s="27" t="e">
        <f>IF(AND(CI163,NOT(AD163)),LOOKUP(CF$5,{0,750,1500},H163:J163),"")</f>
        <v>#N/A</v>
      </c>
      <c r="CG163" s="6" t="str">
        <f t="shared" si="221"/>
        <v/>
      </c>
      <c r="CH163" t="e">
        <f t="shared" si="228"/>
        <v>#N/A</v>
      </c>
      <c r="CI163" t="e">
        <f t="shared" si="229"/>
        <v>#N/A</v>
      </c>
      <c r="CJ163" s="6" t="e">
        <f t="shared" si="11"/>
        <v>#N/A</v>
      </c>
      <c r="CK163" s="6">
        <f t="shared" si="12"/>
        <v>1</v>
      </c>
      <c r="CL163" s="6">
        <f t="shared" si="26"/>
        <v>1</v>
      </c>
      <c r="CM163" s="6">
        <f t="shared" si="13"/>
        <v>1</v>
      </c>
      <c r="CN163" s="6">
        <f t="shared" si="14"/>
        <v>1</v>
      </c>
      <c r="CO163" s="6">
        <f t="shared" si="15"/>
        <v>1</v>
      </c>
      <c r="CP163" s="6">
        <f t="shared" si="16"/>
        <v>1</v>
      </c>
      <c r="CQ163" s="6">
        <f t="shared" si="230"/>
        <v>1</v>
      </c>
      <c r="CR163" s="81" t="str">
        <f t="shared" si="17"/>
        <v/>
      </c>
      <c r="CS163">
        <f t="shared" si="231"/>
        <v>0</v>
      </c>
      <c r="CT163">
        <f t="shared" si="19"/>
        <v>150</v>
      </c>
      <c r="CU163" t="str">
        <f t="shared" si="29"/>
        <v/>
      </c>
      <c r="CV163" s="81">
        <f t="shared" si="232"/>
        <v>150</v>
      </c>
      <c r="CW163" s="81">
        <f>(CV163/25)^1.5*(Calculator!$BU$4/10000)*CW$5</f>
        <v>37.949052970673385</v>
      </c>
      <c r="CX163" t="str">
        <f t="shared" si="233"/>
        <v>$150</v>
      </c>
    </row>
    <row r="164" spans="2:102" x14ac:dyDescent="0.25">
      <c r="B164" s="115" t="s">
        <v>233</v>
      </c>
      <c r="C164" s="13">
        <v>46251.443749999999</v>
      </c>
      <c r="D164">
        <v>22016</v>
      </c>
      <c r="E164" s="54" t="s">
        <v>235</v>
      </c>
      <c r="F164" s="54" t="s">
        <v>517</v>
      </c>
      <c r="G164" s="54" t="s">
        <v>524</v>
      </c>
      <c r="H164" s="55">
        <v>18.899999999999999</v>
      </c>
      <c r="I164" s="55">
        <v>17.899999999999999</v>
      </c>
      <c r="J164" s="55">
        <v>17.399999999999999</v>
      </c>
      <c r="K164" s="54"/>
      <c r="L164" s="56" t="b">
        <v>0</v>
      </c>
      <c r="M164" s="56" t="b">
        <v>0</v>
      </c>
      <c r="N164" s="54">
        <v>0</v>
      </c>
      <c r="O164" s="54" t="s">
        <v>238</v>
      </c>
      <c r="P164" s="54">
        <v>100</v>
      </c>
      <c r="Q164" s="54">
        <v>0</v>
      </c>
      <c r="R164" s="54">
        <v>0</v>
      </c>
      <c r="S164" s="54" t="s">
        <v>519</v>
      </c>
      <c r="T164" s="54" t="s">
        <v>525</v>
      </c>
      <c r="U164" s="54" t="s">
        <v>521</v>
      </c>
      <c r="V164" s="54" t="s">
        <v>522</v>
      </c>
      <c r="W164" s="54" t="b">
        <v>0</v>
      </c>
      <c r="X164" s="54"/>
      <c r="Y164" s="57" t="s">
        <v>2112</v>
      </c>
      <c r="Z164" s="54" t="s">
        <v>2111</v>
      </c>
      <c r="AA164" s="54"/>
      <c r="AB164" s="54" t="s">
        <v>523</v>
      </c>
      <c r="AC164" s="56" t="b">
        <v>0</v>
      </c>
      <c r="AD164" s="56" t="b">
        <v>0</v>
      </c>
      <c r="AE164" s="54"/>
      <c r="AF164" s="58"/>
      <c r="AG164" s="62" t="s">
        <v>293</v>
      </c>
      <c r="AH164" s="54"/>
      <c r="AI164" s="54"/>
      <c r="AJ164" s="54"/>
      <c r="AK164" s="54"/>
      <c r="AL164" s="54"/>
      <c r="AM164" s="54">
        <v>0</v>
      </c>
      <c r="AN164" s="54"/>
      <c r="AO164" s="54"/>
      <c r="AP164" s="54"/>
      <c r="AQ164" s="54"/>
      <c r="AR164" s="54"/>
      <c r="AS164" s="54"/>
      <c r="AT164" s="54"/>
      <c r="AU164" s="54"/>
      <c r="AV164" s="54"/>
      <c r="AW164" s="54"/>
      <c r="AX164" s="59"/>
      <c r="AY164" s="59"/>
      <c r="AZ164" s="59"/>
      <c r="BA164" s="59"/>
      <c r="BB164" s="59"/>
      <c r="BC164" s="60"/>
      <c r="BD164" s="61"/>
      <c r="BE164" s="62"/>
      <c r="BF164" s="35">
        <f t="shared" si="234"/>
        <v>4.9000000000000004</v>
      </c>
      <c r="BG164" s="35">
        <f t="shared" si="234"/>
        <v>4.9811000000000001E-2</v>
      </c>
      <c r="BH164" s="35" t="str">
        <f t="shared" si="224"/>
        <v>?</v>
      </c>
      <c r="BI164" s="110" t="str">
        <f t="shared" si="225"/>
        <v/>
      </c>
      <c r="BJ164" s="83">
        <f>VLOOKUP($F164,REP_Info!$D$6:$H$250,5,FALSE)</f>
        <v>0.67800000000000005</v>
      </c>
      <c r="BK164" s="30" t="e">
        <f t="shared" si="1"/>
        <v>#N/A</v>
      </c>
      <c r="BL164" s="30" t="e">
        <f t="shared" si="1"/>
        <v>#N/A</v>
      </c>
      <c r="BM164" s="30" t="e">
        <f t="shared" si="1"/>
        <v>#N/A</v>
      </c>
      <c r="BN164" s="29" t="e">
        <f t="shared" si="1"/>
        <v>#N/A</v>
      </c>
      <c r="BO164" s="85" t="str">
        <f t="shared" si="2"/>
        <v>$$$</v>
      </c>
      <c r="BP164" s="88" t="str">
        <f t="shared" si="226"/>
        <v>$$$</v>
      </c>
      <c r="BQ164" s="88" t="str">
        <f t="shared" si="4"/>
        <v>$$$</v>
      </c>
      <c r="BR164" s="88" t="str">
        <f t="shared" si="5"/>
        <v>$$$</v>
      </c>
      <c r="BS164" s="29" t="e">
        <f t="shared" si="227"/>
        <v>#N/A</v>
      </c>
      <c r="BT164" s="29" t="e">
        <f t="shared" si="227"/>
        <v>#N/A</v>
      </c>
      <c r="BU164" s="29" t="e">
        <f t="shared" si="227"/>
        <v>#N/A</v>
      </c>
      <c r="BV164" s="29" t="e">
        <f t="shared" si="227"/>
        <v>#N/A</v>
      </c>
      <c r="BW164" s="29" t="e">
        <f t="shared" si="227"/>
        <v>#N/A</v>
      </c>
      <c r="BX164" s="29" t="e">
        <f t="shared" si="227"/>
        <v>#N/A</v>
      </c>
      <c r="BY164" s="29" t="e">
        <f t="shared" si="227"/>
        <v>#N/A</v>
      </c>
      <c r="BZ164" s="29" t="e">
        <f t="shared" si="227"/>
        <v>#N/A</v>
      </c>
      <c r="CA164" s="29" t="e">
        <f t="shared" si="227"/>
        <v>#N/A</v>
      </c>
      <c r="CB164" s="29" t="e">
        <f t="shared" si="227"/>
        <v>#N/A</v>
      </c>
      <c r="CC164" s="29" t="e">
        <f t="shared" si="227"/>
        <v>#N/A</v>
      </c>
      <c r="CD164" s="29" t="e">
        <f t="shared" si="227"/>
        <v>#N/A</v>
      </c>
      <c r="CE164" s="6" t="str">
        <f t="shared" si="220"/>
        <v/>
      </c>
      <c r="CF164" s="27" t="e">
        <f>IF(AND(CI164,NOT(AD164)),LOOKUP(CF$5,{0,750,1500},H164:J164),"")</f>
        <v>#N/A</v>
      </c>
      <c r="CG164" s="6" t="str">
        <f t="shared" si="221"/>
        <v/>
      </c>
      <c r="CH164" t="e">
        <f t="shared" si="228"/>
        <v>#N/A</v>
      </c>
      <c r="CI164" t="e">
        <f t="shared" si="229"/>
        <v>#N/A</v>
      </c>
      <c r="CJ164" s="6" t="e">
        <f t="shared" si="11"/>
        <v>#N/A</v>
      </c>
      <c r="CK164" s="6">
        <f t="shared" si="12"/>
        <v>1</v>
      </c>
      <c r="CL164" s="6">
        <f t="shared" si="26"/>
        <v>1</v>
      </c>
      <c r="CM164" s="6">
        <f t="shared" si="13"/>
        <v>0</v>
      </c>
      <c r="CN164" s="6">
        <f t="shared" si="14"/>
        <v>0</v>
      </c>
      <c r="CO164" s="6">
        <f t="shared" si="15"/>
        <v>1</v>
      </c>
      <c r="CP164" s="6">
        <f t="shared" si="16"/>
        <v>1</v>
      </c>
      <c r="CQ164" s="6">
        <f t="shared" si="230"/>
        <v>1</v>
      </c>
      <c r="CR164" s="81" t="str">
        <f t="shared" si="17"/>
        <v/>
      </c>
      <c r="CS164" t="e">
        <f t="shared" si="231"/>
        <v>#DIV/0!</v>
      </c>
      <c r="CT164">
        <f t="shared" si="19"/>
        <v>0</v>
      </c>
      <c r="CU164" t="str">
        <f t="shared" si="29"/>
        <v/>
      </c>
      <c r="CV164" s="81">
        <f t="shared" si="232"/>
        <v>0</v>
      </c>
      <c r="CW164" s="81">
        <f>(CV164/25)^1.5*(Calculator!$BU$4/10000)*CW$5</f>
        <v>0</v>
      </c>
      <c r="CX164" t="str">
        <f t="shared" si="233"/>
        <v>$0</v>
      </c>
    </row>
    <row r="165" spans="2:102" x14ac:dyDescent="0.25">
      <c r="B165" s="115" t="s">
        <v>233</v>
      </c>
      <c r="C165" s="13">
        <v>46237.767361111109</v>
      </c>
      <c r="D165">
        <v>22020</v>
      </c>
      <c r="E165" s="54" t="s">
        <v>237</v>
      </c>
      <c r="F165" s="54" t="s">
        <v>517</v>
      </c>
      <c r="G165" s="54" t="s">
        <v>524</v>
      </c>
      <c r="H165" s="55">
        <v>19.2</v>
      </c>
      <c r="I165" s="55">
        <v>18.3</v>
      </c>
      <c r="J165" s="55">
        <v>17.899999999999999</v>
      </c>
      <c r="K165" s="54"/>
      <c r="L165" s="56" t="b">
        <v>0</v>
      </c>
      <c r="M165" s="56" t="b">
        <v>0</v>
      </c>
      <c r="N165" s="54">
        <v>0</v>
      </c>
      <c r="O165" s="54" t="s">
        <v>238</v>
      </c>
      <c r="P165" s="54">
        <v>100</v>
      </c>
      <c r="Q165" s="54">
        <v>0</v>
      </c>
      <c r="R165" s="54">
        <v>0</v>
      </c>
      <c r="S165" s="54" t="s">
        <v>519</v>
      </c>
      <c r="T165" s="54" t="s">
        <v>525</v>
      </c>
      <c r="U165" s="54" t="s">
        <v>521</v>
      </c>
      <c r="V165" s="54" t="s">
        <v>522</v>
      </c>
      <c r="W165" s="54" t="b">
        <v>0</v>
      </c>
      <c r="X165" s="54"/>
      <c r="Y165" s="57" t="s">
        <v>1861</v>
      </c>
      <c r="Z165" s="54" t="s">
        <v>1862</v>
      </c>
      <c r="AA165" s="54"/>
      <c r="AB165" s="54" t="s">
        <v>523</v>
      </c>
      <c r="AC165" s="56" t="b">
        <v>0</v>
      </c>
      <c r="AD165" s="56" t="b">
        <v>0</v>
      </c>
      <c r="AE165" s="54"/>
      <c r="AF165" s="58"/>
      <c r="AG165" s="62" t="s">
        <v>293</v>
      </c>
      <c r="AH165" s="54"/>
      <c r="AI165" s="54"/>
      <c r="AJ165" s="54"/>
      <c r="AK165" s="54"/>
      <c r="AL165" s="54"/>
      <c r="AM165" s="54">
        <v>0</v>
      </c>
      <c r="AN165" s="54"/>
      <c r="AO165" s="54"/>
      <c r="AP165" s="54"/>
      <c r="AQ165" s="54"/>
      <c r="AR165" s="54"/>
      <c r="AS165" s="54"/>
      <c r="AT165" s="54"/>
      <c r="AU165" s="54"/>
      <c r="AV165" s="54"/>
      <c r="AW165" s="54"/>
      <c r="AX165" s="59"/>
      <c r="AY165" s="59"/>
      <c r="AZ165" s="59"/>
      <c r="BA165" s="59"/>
      <c r="BB165" s="59"/>
      <c r="BC165" s="60"/>
      <c r="BD165" s="61"/>
      <c r="BE165" s="62"/>
      <c r="BF165" s="35">
        <f t="shared" si="234"/>
        <v>4.0600000000000005</v>
      </c>
      <c r="BG165" s="35">
        <f t="shared" si="234"/>
        <v>6.0295000000000001E-2</v>
      </c>
      <c r="BH165" s="35" t="str">
        <f t="shared" si="224"/>
        <v>?</v>
      </c>
      <c r="BI165" s="110" t="str">
        <f t="shared" si="225"/>
        <v/>
      </c>
      <c r="BJ165" s="83">
        <f>VLOOKUP($F165,REP_Info!$D$6:$H$250,5,FALSE)</f>
        <v>0.67800000000000005</v>
      </c>
      <c r="BK165" s="30" t="e">
        <f t="shared" ref="BK165:BN167" si="235">IF(BK$7&gt;0,(LOOKUP(BK$7,$AH165:$AL165,$AM165:$AQ165)+IF($AG165="Y",SUMPRODUCT($AX165:$BB165-$AW165:$BA165,BK$7-$AR165:$AV165,N(BK$7&gt;$AR165:$AV165)),BK$7*LOOKUP(BK$7,$AR165:$AV165,$AX165:$BB165))+IF($BE165="Y",$BF165,$BC165)+BK$7*IF($BE165="Y",$BG165,$BD165))*100/BK$7,"")</f>
        <v>#N/A</v>
      </c>
      <c r="BL165" s="30" t="e">
        <f t="shared" si="235"/>
        <v>#N/A</v>
      </c>
      <c r="BM165" s="30" t="e">
        <f t="shared" si="235"/>
        <v>#N/A</v>
      </c>
      <c r="BN165" s="29" t="e">
        <f t="shared" si="235"/>
        <v>#N/A</v>
      </c>
      <c r="BO165" s="85" t="str">
        <f t="shared" si="2"/>
        <v>$$$</v>
      </c>
      <c r="BP165" s="88" t="str">
        <f t="shared" si="226"/>
        <v>$$$</v>
      </c>
      <c r="BQ165" s="88" t="str">
        <f t="shared" si="4"/>
        <v>$$$</v>
      </c>
      <c r="BR165" s="88" t="str">
        <f t="shared" si="5"/>
        <v>$$$</v>
      </c>
      <c r="BS165" s="29" t="e">
        <f t="shared" si="227"/>
        <v>#N/A</v>
      </c>
      <c r="BT165" s="29" t="e">
        <f t="shared" si="227"/>
        <v>#N/A</v>
      </c>
      <c r="BU165" s="29" t="e">
        <f t="shared" si="227"/>
        <v>#N/A</v>
      </c>
      <c r="BV165" s="29" t="e">
        <f t="shared" si="227"/>
        <v>#N/A</v>
      </c>
      <c r="BW165" s="29" t="e">
        <f t="shared" si="227"/>
        <v>#N/A</v>
      </c>
      <c r="BX165" s="29" t="e">
        <f t="shared" si="227"/>
        <v>#N/A</v>
      </c>
      <c r="BY165" s="29" t="e">
        <f t="shared" si="227"/>
        <v>#N/A</v>
      </c>
      <c r="BZ165" s="29" t="e">
        <f t="shared" si="227"/>
        <v>#N/A</v>
      </c>
      <c r="CA165" s="29" t="e">
        <f t="shared" si="227"/>
        <v>#N/A</v>
      </c>
      <c r="CB165" s="29" t="e">
        <f t="shared" si="227"/>
        <v>#N/A</v>
      </c>
      <c r="CC165" s="29" t="e">
        <f t="shared" si="227"/>
        <v>#N/A</v>
      </c>
      <c r="CD165" s="29" t="e">
        <f t="shared" si="227"/>
        <v>#N/A</v>
      </c>
      <c r="CE165" s="6" t="str">
        <f t="shared" si="220"/>
        <v/>
      </c>
      <c r="CF165" s="27" t="e">
        <f>IF(AND(CI165,NOT(AD165)),LOOKUP(CF$5,{0,750,1500},H165:J165),"")</f>
        <v>#N/A</v>
      </c>
      <c r="CG165" s="6" t="str">
        <f t="shared" si="221"/>
        <v/>
      </c>
      <c r="CH165" t="e">
        <f t="shared" si="228"/>
        <v>#N/A</v>
      </c>
      <c r="CI165" t="e">
        <f t="shared" si="229"/>
        <v>#N/A</v>
      </c>
      <c r="CJ165" s="6" t="e">
        <f t="shared" si="11"/>
        <v>#N/A</v>
      </c>
      <c r="CK165" s="6">
        <f t="shared" si="12"/>
        <v>1</v>
      </c>
      <c r="CL165" s="6">
        <f t="shared" si="26"/>
        <v>1</v>
      </c>
      <c r="CM165" s="6">
        <f t="shared" si="13"/>
        <v>0</v>
      </c>
      <c r="CN165" s="6">
        <f t="shared" si="14"/>
        <v>0</v>
      </c>
      <c r="CO165" s="6">
        <f t="shared" si="15"/>
        <v>1</v>
      </c>
      <c r="CP165" s="6">
        <f t="shared" si="16"/>
        <v>1</v>
      </c>
      <c r="CQ165" s="6">
        <f t="shared" si="230"/>
        <v>1</v>
      </c>
      <c r="CR165" s="81" t="str">
        <f t="shared" si="17"/>
        <v/>
      </c>
      <c r="CS165" t="e">
        <f t="shared" si="231"/>
        <v>#DIV/0!</v>
      </c>
      <c r="CT165">
        <f t="shared" si="19"/>
        <v>0</v>
      </c>
      <c r="CU165" t="str">
        <f t="shared" si="29"/>
        <v/>
      </c>
      <c r="CV165" s="81">
        <f t="shared" si="232"/>
        <v>0</v>
      </c>
      <c r="CW165" s="81">
        <f>(CV165/25)^1.5*(Calculator!$BU$4/10000)*CW$5</f>
        <v>0</v>
      </c>
      <c r="CX165" t="str">
        <f t="shared" si="233"/>
        <v>$0</v>
      </c>
    </row>
    <row r="166" spans="2:102" x14ac:dyDescent="0.25">
      <c r="B166" s="115" t="s">
        <v>233</v>
      </c>
      <c r="C166" s="13">
        <v>46237.767361111109</v>
      </c>
      <c r="D166">
        <v>24534</v>
      </c>
      <c r="E166" s="54" t="s">
        <v>237</v>
      </c>
      <c r="F166" s="54" t="s">
        <v>517</v>
      </c>
      <c r="G166" s="54" t="s">
        <v>526</v>
      </c>
      <c r="H166" s="55">
        <v>17.2</v>
      </c>
      <c r="I166" s="55">
        <v>16.3</v>
      </c>
      <c r="J166" s="55">
        <v>15.9</v>
      </c>
      <c r="K166" s="54"/>
      <c r="L166" s="56" t="b">
        <v>0</v>
      </c>
      <c r="M166" s="56" t="b">
        <v>0</v>
      </c>
      <c r="N166" s="54">
        <v>1</v>
      </c>
      <c r="O166" s="54" t="s">
        <v>228</v>
      </c>
      <c r="P166" s="54">
        <v>100</v>
      </c>
      <c r="Q166" s="54">
        <v>24</v>
      </c>
      <c r="R166" s="54">
        <v>295</v>
      </c>
      <c r="S166" s="54" t="s">
        <v>519</v>
      </c>
      <c r="T166" s="54" t="s">
        <v>520</v>
      </c>
      <c r="U166" s="54" t="s">
        <v>521</v>
      </c>
      <c r="V166" s="54" t="s">
        <v>522</v>
      </c>
      <c r="W166" s="54" t="b">
        <v>0</v>
      </c>
      <c r="X166" s="54"/>
      <c r="Y166" s="57" t="s">
        <v>1863</v>
      </c>
      <c r="Z166" s="54" t="s">
        <v>1860</v>
      </c>
      <c r="AA166" s="54"/>
      <c r="AB166" s="54" t="s">
        <v>523</v>
      </c>
      <c r="AC166" s="56" t="b">
        <v>1</v>
      </c>
      <c r="AD166" s="56" t="b">
        <v>0</v>
      </c>
      <c r="AE166" s="54" t="s">
        <v>302</v>
      </c>
      <c r="AF166" s="58">
        <v>46235</v>
      </c>
      <c r="AG166" s="62" t="s">
        <v>293</v>
      </c>
      <c r="AH166" s="54">
        <v>0</v>
      </c>
      <c r="AI166" s="54"/>
      <c r="AJ166" s="54"/>
      <c r="AK166" s="54"/>
      <c r="AL166" s="54"/>
      <c r="AM166" s="54">
        <v>5</v>
      </c>
      <c r="AN166" s="54"/>
      <c r="AO166" s="54"/>
      <c r="AP166" s="54"/>
      <c r="AQ166" s="54"/>
      <c r="AR166" s="54"/>
      <c r="AS166" s="54"/>
      <c r="AT166" s="54"/>
      <c r="AU166" s="54"/>
      <c r="AV166" s="54"/>
      <c r="AW166" s="54"/>
      <c r="AX166" s="59"/>
      <c r="AY166" s="59"/>
      <c r="AZ166" s="59"/>
      <c r="BA166" s="59"/>
      <c r="BB166" s="59">
        <v>9.3701000000000007E-2</v>
      </c>
      <c r="BC166" s="60">
        <v>4.0599999999999996</v>
      </c>
      <c r="BD166" s="61">
        <v>6.0295000000000001E-2</v>
      </c>
      <c r="BE166" s="62" t="s">
        <v>293</v>
      </c>
      <c r="BF166" s="35">
        <f t="shared" si="234"/>
        <v>4.0600000000000005</v>
      </c>
      <c r="BG166" s="35">
        <f t="shared" si="234"/>
        <v>6.0295000000000001E-2</v>
      </c>
      <c r="BH166" s="35" t="str">
        <f t="shared" si="224"/>
        <v>Med</v>
      </c>
      <c r="BI166" s="110">
        <f t="shared" si="225"/>
        <v>0</v>
      </c>
      <c r="BJ166" s="83">
        <f>VLOOKUP($F166,REP_Info!$D$6:$H$250,5,FALSE)</f>
        <v>0.67800000000000005</v>
      </c>
      <c r="BK166" s="30">
        <f t="shared" si="235"/>
        <v>17.211600000000001</v>
      </c>
      <c r="BL166" s="30">
        <f t="shared" si="235"/>
        <v>16.305600000000002</v>
      </c>
      <c r="BM166" s="30">
        <f t="shared" si="235"/>
        <v>15.852600000000001</v>
      </c>
      <c r="BN166" s="29">
        <f t="shared" si="235"/>
        <v>15.701600000000001</v>
      </c>
      <c r="BO166" s="85" t="str">
        <f t="shared" si="2"/>
        <v>$$$</v>
      </c>
      <c r="BP166" s="88" t="str">
        <f t="shared" si="226"/>
        <v>$$$</v>
      </c>
      <c r="BQ166" s="88" t="str">
        <f t="shared" si="4"/>
        <v>$$$</v>
      </c>
      <c r="BR166" s="88" t="str">
        <f t="shared" si="5"/>
        <v>$$$</v>
      </c>
      <c r="BS166" s="29" t="e">
        <f t="shared" si="227"/>
        <v>#N/A</v>
      </c>
      <c r="BT166" s="29" t="e">
        <f t="shared" si="227"/>
        <v>#N/A</v>
      </c>
      <c r="BU166" s="29" t="e">
        <f t="shared" si="227"/>
        <v>#N/A</v>
      </c>
      <c r="BV166" s="29" t="e">
        <f t="shared" si="227"/>
        <v>#N/A</v>
      </c>
      <c r="BW166" s="29" t="e">
        <f t="shared" si="227"/>
        <v>#N/A</v>
      </c>
      <c r="BX166" s="29" t="e">
        <f t="shared" si="227"/>
        <v>#N/A</v>
      </c>
      <c r="BY166" s="29" t="e">
        <f t="shared" si="227"/>
        <v>#N/A</v>
      </c>
      <c r="BZ166" s="29" t="e">
        <f t="shared" si="227"/>
        <v>#N/A</v>
      </c>
      <c r="CA166" s="29" t="e">
        <f t="shared" si="227"/>
        <v>#N/A</v>
      </c>
      <c r="CB166" s="29" t="e">
        <f t="shared" si="227"/>
        <v>#N/A</v>
      </c>
      <c r="CC166" s="29" t="e">
        <f t="shared" si="227"/>
        <v>#N/A</v>
      </c>
      <c r="CD166" s="29" t="e">
        <f t="shared" si="227"/>
        <v>#N/A</v>
      </c>
      <c r="CE166" s="6" t="str">
        <f t="shared" si="220"/>
        <v/>
      </c>
      <c r="CF166" s="27" t="e">
        <f>IF(AND(CI166,NOT(AD166)),LOOKUP(CF$5,{0,750,1500},H166:J166),"")</f>
        <v>#N/A</v>
      </c>
      <c r="CG166" s="6" t="str">
        <f t="shared" si="221"/>
        <v/>
      </c>
      <c r="CH166" t="e">
        <f t="shared" si="228"/>
        <v>#N/A</v>
      </c>
      <c r="CI166" t="e">
        <f t="shared" si="229"/>
        <v>#N/A</v>
      </c>
      <c r="CJ166" s="6" t="e">
        <f t="shared" si="11"/>
        <v>#N/A</v>
      </c>
      <c r="CK166" s="6">
        <f t="shared" si="12"/>
        <v>1</v>
      </c>
      <c r="CL166" s="6">
        <f t="shared" si="26"/>
        <v>1</v>
      </c>
      <c r="CM166" s="6">
        <f t="shared" si="13"/>
        <v>1</v>
      </c>
      <c r="CN166" s="6">
        <f t="shared" si="14"/>
        <v>1</v>
      </c>
      <c r="CO166" s="6">
        <f t="shared" si="15"/>
        <v>0</v>
      </c>
      <c r="CP166" s="6">
        <f t="shared" si="16"/>
        <v>1</v>
      </c>
      <c r="CQ166" s="6">
        <f t="shared" si="230"/>
        <v>1</v>
      </c>
      <c r="CR166" s="81" t="str">
        <f t="shared" si="17"/>
        <v/>
      </c>
      <c r="CS166">
        <f t="shared" si="231"/>
        <v>0</v>
      </c>
      <c r="CT166">
        <f t="shared" si="19"/>
        <v>295</v>
      </c>
      <c r="CU166" t="str">
        <f t="shared" si="29"/>
        <v/>
      </c>
      <c r="CV166" s="81">
        <f t="shared" si="232"/>
        <v>295</v>
      </c>
      <c r="CW166" s="81">
        <f>(CV166/25)^1.5*(Calculator!$BU$4/10000)*CW$5</f>
        <v>104.66393961177546</v>
      </c>
      <c r="CX166" t="str">
        <f t="shared" si="233"/>
        <v>$295</v>
      </c>
    </row>
    <row r="167" spans="2:102" x14ac:dyDescent="0.25">
      <c r="B167" s="115" t="s">
        <v>233</v>
      </c>
      <c r="C167" s="13">
        <v>46251.443749999999</v>
      </c>
      <c r="D167">
        <v>24540</v>
      </c>
      <c r="E167" s="54" t="s">
        <v>235</v>
      </c>
      <c r="F167" s="54" t="s">
        <v>517</v>
      </c>
      <c r="G167" s="54" t="s">
        <v>526</v>
      </c>
      <c r="H167" s="55">
        <v>16.100000000000001</v>
      </c>
      <c r="I167" s="55">
        <v>15.1</v>
      </c>
      <c r="J167" s="55">
        <v>14.6</v>
      </c>
      <c r="K167" s="54"/>
      <c r="L167" s="56" t="b">
        <v>0</v>
      </c>
      <c r="M167" s="56" t="b">
        <v>0</v>
      </c>
      <c r="N167" s="54">
        <v>1</v>
      </c>
      <c r="O167" s="54" t="s">
        <v>228</v>
      </c>
      <c r="P167" s="54">
        <v>100</v>
      </c>
      <c r="Q167" s="54">
        <v>24</v>
      </c>
      <c r="R167" s="54">
        <v>295</v>
      </c>
      <c r="S167" s="54" t="s">
        <v>519</v>
      </c>
      <c r="T167" s="54" t="s">
        <v>520</v>
      </c>
      <c r="U167" s="54" t="s">
        <v>521</v>
      </c>
      <c r="V167" s="54" t="s">
        <v>522</v>
      </c>
      <c r="W167" s="54" t="b">
        <v>0</v>
      </c>
      <c r="X167" s="54"/>
      <c r="Y167" s="57" t="s">
        <v>2113</v>
      </c>
      <c r="Z167" s="54" t="s">
        <v>2111</v>
      </c>
      <c r="AA167" s="54"/>
      <c r="AB167" s="54" t="s">
        <v>523</v>
      </c>
      <c r="AC167" s="56" t="b">
        <v>1</v>
      </c>
      <c r="AD167" s="56" t="b">
        <v>0</v>
      </c>
      <c r="AE167" s="54" t="s">
        <v>302</v>
      </c>
      <c r="AF167" s="58">
        <v>46249</v>
      </c>
      <c r="AG167" s="62" t="s">
        <v>293</v>
      </c>
      <c r="AH167" s="54">
        <v>0</v>
      </c>
      <c r="AI167" s="54"/>
      <c r="AJ167" s="54"/>
      <c r="AK167" s="54"/>
      <c r="AL167" s="54"/>
      <c r="AM167" s="54">
        <v>5</v>
      </c>
      <c r="AN167" s="54"/>
      <c r="AO167" s="54"/>
      <c r="AP167" s="54"/>
      <c r="AQ167" s="54"/>
      <c r="AR167" s="54"/>
      <c r="AS167" s="54"/>
      <c r="AT167" s="54"/>
      <c r="AU167" s="54"/>
      <c r="AV167" s="54"/>
      <c r="AW167" s="54"/>
      <c r="AX167" s="59"/>
      <c r="AY167" s="59"/>
      <c r="AZ167" s="59"/>
      <c r="BA167" s="59"/>
      <c r="BB167" s="59">
        <v>9.1555999999999998E-2</v>
      </c>
      <c r="BC167" s="60">
        <v>4.9000000000000004</v>
      </c>
      <c r="BD167" s="61">
        <v>4.9811000000000001E-2</v>
      </c>
      <c r="BE167" s="62" t="s">
        <v>293</v>
      </c>
      <c r="BF167" s="35">
        <f t="shared" si="234"/>
        <v>4.9000000000000004</v>
      </c>
      <c r="BG167" s="35">
        <f t="shared" si="234"/>
        <v>4.9811000000000001E-2</v>
      </c>
      <c r="BH167" s="35" t="str">
        <f t="shared" si="224"/>
        <v>Med</v>
      </c>
      <c r="BI167" s="110">
        <f t="shared" si="225"/>
        <v>0</v>
      </c>
      <c r="BJ167" s="83">
        <f>VLOOKUP($F167,REP_Info!$D$6:$H$250,5,FALSE)</f>
        <v>0.67800000000000005</v>
      </c>
      <c r="BK167" s="30">
        <f t="shared" si="235"/>
        <v>16.116700000000002</v>
      </c>
      <c r="BL167" s="30">
        <f t="shared" si="235"/>
        <v>15.1267</v>
      </c>
      <c r="BM167" s="30">
        <f t="shared" si="235"/>
        <v>14.6317</v>
      </c>
      <c r="BN167" s="29">
        <f t="shared" si="235"/>
        <v>14.466699999999999</v>
      </c>
      <c r="BO167" s="85" t="str">
        <f t="shared" si="2"/>
        <v>$$$</v>
      </c>
      <c r="BP167" s="88" t="str">
        <f t="shared" si="226"/>
        <v>$$$</v>
      </c>
      <c r="BQ167" s="88" t="str">
        <f t="shared" si="4"/>
        <v>$$$</v>
      </c>
      <c r="BR167" s="88" t="str">
        <f t="shared" si="5"/>
        <v>$$$</v>
      </c>
      <c r="BS167" s="29" t="e">
        <f t="shared" si="227"/>
        <v>#N/A</v>
      </c>
      <c r="BT167" s="29" t="e">
        <f t="shared" si="227"/>
        <v>#N/A</v>
      </c>
      <c r="BU167" s="29" t="e">
        <f t="shared" si="227"/>
        <v>#N/A</v>
      </c>
      <c r="BV167" s="29" t="e">
        <f t="shared" si="227"/>
        <v>#N/A</v>
      </c>
      <c r="BW167" s="29" t="e">
        <f t="shared" si="227"/>
        <v>#N/A</v>
      </c>
      <c r="BX167" s="29" t="e">
        <f t="shared" si="227"/>
        <v>#N/A</v>
      </c>
      <c r="BY167" s="29" t="e">
        <f t="shared" si="227"/>
        <v>#N/A</v>
      </c>
      <c r="BZ167" s="29" t="e">
        <f t="shared" si="227"/>
        <v>#N/A</v>
      </c>
      <c r="CA167" s="29" t="e">
        <f t="shared" si="227"/>
        <v>#N/A</v>
      </c>
      <c r="CB167" s="29" t="e">
        <f t="shared" si="227"/>
        <v>#N/A</v>
      </c>
      <c r="CC167" s="29" t="e">
        <f t="shared" si="227"/>
        <v>#N/A</v>
      </c>
      <c r="CD167" s="29" t="e">
        <f t="shared" si="227"/>
        <v>#N/A</v>
      </c>
      <c r="CE167" s="6" t="str">
        <f t="shared" si="220"/>
        <v/>
      </c>
      <c r="CF167" s="27" t="e">
        <f>IF(AND(CI167,NOT(AD167)),LOOKUP(CF$5,{0,750,1500},H167:J167),"")</f>
        <v>#N/A</v>
      </c>
      <c r="CG167" s="6" t="str">
        <f t="shared" si="221"/>
        <v/>
      </c>
      <c r="CH167" t="e">
        <f t="shared" si="228"/>
        <v>#N/A</v>
      </c>
      <c r="CI167" t="e">
        <f t="shared" si="229"/>
        <v>#N/A</v>
      </c>
      <c r="CJ167" s="6" t="e">
        <f t="shared" si="11"/>
        <v>#N/A</v>
      </c>
      <c r="CK167" s="6">
        <f t="shared" si="12"/>
        <v>1</v>
      </c>
      <c r="CL167" s="6">
        <f t="shared" si="26"/>
        <v>1</v>
      </c>
      <c r="CM167" s="6">
        <f t="shared" si="13"/>
        <v>1</v>
      </c>
      <c r="CN167" s="6">
        <f t="shared" si="14"/>
        <v>1</v>
      </c>
      <c r="CO167" s="6">
        <f t="shared" si="15"/>
        <v>0</v>
      </c>
      <c r="CP167" s="6">
        <f t="shared" si="16"/>
        <v>1</v>
      </c>
      <c r="CQ167" s="6">
        <f t="shared" si="230"/>
        <v>1</v>
      </c>
      <c r="CR167" s="81" t="str">
        <f t="shared" si="17"/>
        <v/>
      </c>
      <c r="CS167">
        <f t="shared" si="231"/>
        <v>0</v>
      </c>
      <c r="CT167">
        <f t="shared" si="19"/>
        <v>295</v>
      </c>
      <c r="CU167" t="str">
        <f t="shared" si="29"/>
        <v/>
      </c>
      <c r="CV167" s="81">
        <f t="shared" si="232"/>
        <v>295</v>
      </c>
      <c r="CW167" s="81">
        <f>(CV167/25)^1.5*(Calculator!$BU$4/10000)*CW$5</f>
        <v>104.66393961177546</v>
      </c>
      <c r="CX167" t="str">
        <f t="shared" si="233"/>
        <v>$295</v>
      </c>
    </row>
    <row r="168" spans="2:102" x14ac:dyDescent="0.25">
      <c r="B168" s="115" t="s">
        <v>233</v>
      </c>
      <c r="C168" s="13">
        <v>46251.443749999999</v>
      </c>
      <c r="D168">
        <v>27044</v>
      </c>
      <c r="E168" s="54" t="s">
        <v>235</v>
      </c>
      <c r="F168" s="54" t="s">
        <v>517</v>
      </c>
      <c r="G168" s="54" t="s">
        <v>527</v>
      </c>
      <c r="H168" s="55">
        <v>16.400000000000002</v>
      </c>
      <c r="I168" s="55">
        <v>15.4</v>
      </c>
      <c r="J168" s="55">
        <v>14.899999999999999</v>
      </c>
      <c r="K168" s="54"/>
      <c r="L168" s="56" t="b">
        <v>0</v>
      </c>
      <c r="M168" s="56" t="b">
        <v>0</v>
      </c>
      <c r="N168" s="54">
        <v>1</v>
      </c>
      <c r="O168" s="54" t="s">
        <v>228</v>
      </c>
      <c r="P168" s="54">
        <v>100</v>
      </c>
      <c r="Q168" s="54">
        <v>36</v>
      </c>
      <c r="R168" s="54">
        <v>395</v>
      </c>
      <c r="S168" s="54" t="s">
        <v>519</v>
      </c>
      <c r="T168" s="54" t="s">
        <v>525</v>
      </c>
      <c r="U168" s="54" t="s">
        <v>521</v>
      </c>
      <c r="V168" s="54" t="s">
        <v>522</v>
      </c>
      <c r="W168" s="54" t="b">
        <v>0</v>
      </c>
      <c r="X168" s="54"/>
      <c r="Y168" s="57" t="s">
        <v>2114</v>
      </c>
      <c r="Z168" s="54" t="s">
        <v>2111</v>
      </c>
      <c r="AA168" s="54"/>
      <c r="AB168" s="54" t="s">
        <v>523</v>
      </c>
      <c r="AC168" s="56" t="b">
        <v>0</v>
      </c>
      <c r="AD168" s="56" t="b">
        <v>0</v>
      </c>
      <c r="AE168" s="54" t="s">
        <v>302</v>
      </c>
      <c r="AF168" s="58">
        <v>46249</v>
      </c>
      <c r="AG168" s="62" t="s">
        <v>293</v>
      </c>
      <c r="AH168" s="54">
        <v>0</v>
      </c>
      <c r="AI168" s="54"/>
      <c r="AJ168" s="54"/>
      <c r="AK168" s="54"/>
      <c r="AL168" s="54"/>
      <c r="AM168" s="54">
        <v>5</v>
      </c>
      <c r="AN168" s="54"/>
      <c r="AO168" s="54"/>
      <c r="AP168" s="54"/>
      <c r="AQ168" s="54"/>
      <c r="AR168" s="54"/>
      <c r="AS168" s="54"/>
      <c r="AT168" s="54"/>
      <c r="AU168" s="54"/>
      <c r="AV168" s="54"/>
      <c r="AW168" s="54"/>
      <c r="AX168" s="59"/>
      <c r="AY168" s="59"/>
      <c r="AZ168" s="59"/>
      <c r="BA168" s="59"/>
      <c r="BB168" s="59">
        <v>9.4556000000000001E-2</v>
      </c>
      <c r="BC168" s="60">
        <v>4.9000000000000004</v>
      </c>
      <c r="BD168" s="61">
        <v>4.9811000000000001E-2</v>
      </c>
      <c r="BE168" s="62" t="s">
        <v>293</v>
      </c>
      <c r="BF168" s="35">
        <f t="shared" si="0"/>
        <v>4.9000000000000004</v>
      </c>
      <c r="BG168" s="35">
        <f t="shared" si="0"/>
        <v>4.9811000000000001E-2</v>
      </c>
      <c r="BH168" s="35" t="str">
        <f t="shared" ref="BH168:BH179" si="236">IF(ISTEXT(BE168),IF(AND(AV168=0,SUM(AN168:AQ168)=0),IF(AM168&lt;=0,IF(BE168="Y","Low","Flat"),"Med"),"High"),"?")</f>
        <v>Med</v>
      </c>
      <c r="BI168" s="110">
        <f t="shared" ref="BI168:BI179" si="237">IF(ISNUMBER(AH168),0*BI$5*SIN((EDATE($A$3,$Q168)-DATE(YEAR(EDATE($A$3,$Q168)),1,0)-BI$4)*2*PI()/365),"")</f>
        <v>0</v>
      </c>
      <c r="BJ168" s="83">
        <f>VLOOKUP($F168,REP_Info!$D$6:$H$250,5,FALSE)</f>
        <v>0.67800000000000005</v>
      </c>
      <c r="BK168" s="30">
        <f t="shared" si="1"/>
        <v>16.416700000000002</v>
      </c>
      <c r="BL168" s="30">
        <f t="shared" si="1"/>
        <v>15.426699999999999</v>
      </c>
      <c r="BM168" s="30">
        <f t="shared" si="1"/>
        <v>14.931700000000001</v>
      </c>
      <c r="BN168" s="29">
        <f t="shared" si="1"/>
        <v>14.7667</v>
      </c>
      <c r="BO168" s="85" t="str">
        <f t="shared" si="2"/>
        <v>$$$</v>
      </c>
      <c r="BP168" s="88" t="str">
        <f t="shared" ref="BP168:BP179" si="238">IFERROR(BO168*100/BO$5,"$$$")</f>
        <v>$$$</v>
      </c>
      <c r="BQ168" s="88" t="str">
        <f t="shared" si="4"/>
        <v>$$$</v>
      </c>
      <c r="BR168" s="88" t="str">
        <f t="shared" si="5"/>
        <v>$$$</v>
      </c>
      <c r="BS168" s="29" t="e">
        <f t="shared" si="6"/>
        <v>#N/A</v>
      </c>
      <c r="BT168" s="29" t="e">
        <f t="shared" si="6"/>
        <v>#N/A</v>
      </c>
      <c r="BU168" s="29" t="e">
        <f t="shared" si="6"/>
        <v>#N/A</v>
      </c>
      <c r="BV168" s="29" t="e">
        <f t="shared" si="6"/>
        <v>#N/A</v>
      </c>
      <c r="BW168" s="29" t="e">
        <f t="shared" si="6"/>
        <v>#N/A</v>
      </c>
      <c r="BX168" s="29" t="e">
        <f t="shared" si="6"/>
        <v>#N/A</v>
      </c>
      <c r="BY168" s="29" t="e">
        <f t="shared" si="6"/>
        <v>#N/A</v>
      </c>
      <c r="BZ168" s="29" t="e">
        <f t="shared" si="6"/>
        <v>#N/A</v>
      </c>
      <c r="CA168" s="29" t="e">
        <f t="shared" si="6"/>
        <v>#N/A</v>
      </c>
      <c r="CB168" s="29" t="e">
        <f t="shared" si="6"/>
        <v>#N/A</v>
      </c>
      <c r="CC168" s="29" t="e">
        <f t="shared" si="6"/>
        <v>#N/A</v>
      </c>
      <c r="CD168" s="29" t="e">
        <f t="shared" si="6"/>
        <v>#N/A</v>
      </c>
      <c r="CE168" s="6" t="str">
        <f t="shared" si="220"/>
        <v/>
      </c>
      <c r="CF168" s="27" t="e">
        <f>IF(AND(CI168,NOT(AD168)),LOOKUP(CF$5,{0,750,1500},H168:J168),"")</f>
        <v>#N/A</v>
      </c>
      <c r="CG168" s="6" t="str">
        <f t="shared" si="221"/>
        <v/>
      </c>
      <c r="CH168" t="e">
        <f t="shared" ref="CH168:CH179" si="239">IF(CI168,IF(ISNUMBER(BO168),BO168,100000)+CV168/10000+IF(ISNUMBER(BJ168),BJ168,2)/10000-P168/100000+ROW()/10000000,"")</f>
        <v>#N/A</v>
      </c>
      <c r="CI168" t="e">
        <f t="shared" ref="CI168:CI179" si="240">PRODUCT(CJ168:CQ168)</f>
        <v>#N/A</v>
      </c>
      <c r="CJ168" s="6" t="e">
        <f t="shared" si="11"/>
        <v>#N/A</v>
      </c>
      <c r="CK168" s="6">
        <f t="shared" si="12"/>
        <v>1</v>
      </c>
      <c r="CL168" s="6">
        <f t="shared" si="26"/>
        <v>1</v>
      </c>
      <c r="CM168" s="6">
        <f t="shared" si="13"/>
        <v>1</v>
      </c>
      <c r="CN168" s="6">
        <f t="shared" si="14"/>
        <v>1</v>
      </c>
      <c r="CO168" s="6">
        <f t="shared" si="15"/>
        <v>0</v>
      </c>
      <c r="CP168" s="6">
        <f t="shared" si="16"/>
        <v>1</v>
      </c>
      <c r="CQ168" s="6">
        <f t="shared" ref="CQ168:CQ179" si="241">IF(CQ$5="Any",1,IF(AND(CQ$5="Med",AV168=0,SUM(AN168:AQ168)=0),1,IF(AND(CQ$5="Low",AV168=0,SUM(AN168:AQ168)=0,AM168=0),1,IF(AND(CQ$5="Flat",AV168=0,SUM(AN168:AQ168)=0,AM168=0,IFERROR(NOT(BE168="Y"),0)),1,0))))</f>
        <v>1</v>
      </c>
      <c r="CR168" s="81" t="str">
        <f t="shared" si="17"/>
        <v/>
      </c>
      <c r="CS168">
        <f t="shared" ref="CS168:CS179" si="242">CS$5*(12/(MIN(12,Q168))-1)</f>
        <v>0</v>
      </c>
      <c r="CT168">
        <f t="shared" si="19"/>
        <v>395</v>
      </c>
      <c r="CU168" t="str">
        <f t="shared" si="29"/>
        <v/>
      </c>
      <c r="CV168" s="81">
        <f t="shared" ref="CV168:CV179" si="243">CT168*IF(CU168="",1,Q168)</f>
        <v>395</v>
      </c>
      <c r="CW168" s="81">
        <f>(CV168/25)^1.5*(Calculator!$BU$4/10000)*CW$5</f>
        <v>162.16595996535787</v>
      </c>
      <c r="CX168" t="str">
        <f t="shared" ref="CX168:CX179" si="244">"$"&amp;IF(LEFT(CU168,1)="r",CT168&amp;"/"&amp;CU168,CV168)</f>
        <v>$395</v>
      </c>
    </row>
    <row r="169" spans="2:102" x14ac:dyDescent="0.25">
      <c r="B169" s="115" t="s">
        <v>233</v>
      </c>
      <c r="C169" s="13">
        <v>46237.767361111109</v>
      </c>
      <c r="D169">
        <v>27046</v>
      </c>
      <c r="E169" s="54" t="s">
        <v>237</v>
      </c>
      <c r="F169" s="54" t="s">
        <v>517</v>
      </c>
      <c r="G169" s="54" t="s">
        <v>527</v>
      </c>
      <c r="H169" s="55">
        <v>17.5</v>
      </c>
      <c r="I169" s="55">
        <v>16.600000000000001</v>
      </c>
      <c r="J169" s="55">
        <v>16.2</v>
      </c>
      <c r="K169" s="54"/>
      <c r="L169" s="56" t="b">
        <v>0</v>
      </c>
      <c r="M169" s="56" t="b">
        <v>0</v>
      </c>
      <c r="N169" s="54">
        <v>1</v>
      </c>
      <c r="O169" s="54" t="s">
        <v>228</v>
      </c>
      <c r="P169" s="54">
        <v>100</v>
      </c>
      <c r="Q169" s="54">
        <v>36</v>
      </c>
      <c r="R169" s="54">
        <v>395</v>
      </c>
      <c r="S169" s="54" t="s">
        <v>519</v>
      </c>
      <c r="T169" s="54" t="s">
        <v>525</v>
      </c>
      <c r="U169" s="54" t="s">
        <v>521</v>
      </c>
      <c r="V169" s="54" t="s">
        <v>522</v>
      </c>
      <c r="W169" s="54" t="b">
        <v>0</v>
      </c>
      <c r="X169" s="54"/>
      <c r="Y169" s="57" t="s">
        <v>1864</v>
      </c>
      <c r="Z169" s="54" t="s">
        <v>1860</v>
      </c>
      <c r="AA169" s="54"/>
      <c r="AB169" s="54" t="s">
        <v>523</v>
      </c>
      <c r="AC169" s="56" t="b">
        <v>0</v>
      </c>
      <c r="AD169" s="56" t="b">
        <v>0</v>
      </c>
      <c r="AE169" s="54" t="s">
        <v>302</v>
      </c>
      <c r="AF169" s="58">
        <v>46235</v>
      </c>
      <c r="AG169" s="62" t="s">
        <v>293</v>
      </c>
      <c r="AH169" s="54">
        <v>0</v>
      </c>
      <c r="AI169" s="54"/>
      <c r="AJ169" s="54"/>
      <c r="AK169" s="54"/>
      <c r="AL169" s="54"/>
      <c r="AM169" s="54">
        <v>5</v>
      </c>
      <c r="AN169" s="54"/>
      <c r="AO169" s="54"/>
      <c r="AP169" s="54"/>
      <c r="AQ169" s="54"/>
      <c r="AR169" s="54"/>
      <c r="AS169" s="54"/>
      <c r="AT169" s="54"/>
      <c r="AU169" s="54"/>
      <c r="AV169" s="54"/>
      <c r="AW169" s="54"/>
      <c r="AX169" s="59"/>
      <c r="AY169" s="59"/>
      <c r="AZ169" s="59"/>
      <c r="BA169" s="59"/>
      <c r="BB169" s="59">
        <v>9.6700999999999995E-2</v>
      </c>
      <c r="BC169" s="60">
        <v>4.0599999999999996</v>
      </c>
      <c r="BD169" s="61">
        <v>6.0295000000000001E-2</v>
      </c>
      <c r="BE169" s="62" t="s">
        <v>293</v>
      </c>
      <c r="BF169" s="35">
        <f t="shared" si="0"/>
        <v>4.0600000000000005</v>
      </c>
      <c r="BG169" s="35">
        <f t="shared" si="0"/>
        <v>6.0295000000000001E-2</v>
      </c>
      <c r="BH169" s="35" t="str">
        <f t="shared" si="236"/>
        <v>Med</v>
      </c>
      <c r="BI169" s="110">
        <f t="shared" si="237"/>
        <v>0</v>
      </c>
      <c r="BJ169" s="83">
        <f>VLOOKUP($F169,REP_Info!$D$6:$H$250,5,FALSE)</f>
        <v>0.67800000000000005</v>
      </c>
      <c r="BK169" s="30">
        <f t="shared" si="1"/>
        <v>17.511599999999998</v>
      </c>
      <c r="BL169" s="30">
        <f t="shared" si="1"/>
        <v>16.605599999999999</v>
      </c>
      <c r="BM169" s="30">
        <f t="shared" si="1"/>
        <v>16.1526</v>
      </c>
      <c r="BN169" s="29">
        <f t="shared" si="1"/>
        <v>16.0016</v>
      </c>
      <c r="BO169" s="85" t="str">
        <f t="shared" si="2"/>
        <v>$$$</v>
      </c>
      <c r="BP169" s="88" t="str">
        <f t="shared" si="238"/>
        <v>$$$</v>
      </c>
      <c r="BQ169" s="88" t="str">
        <f t="shared" si="4"/>
        <v>$$$</v>
      </c>
      <c r="BR169" s="88" t="str">
        <f t="shared" si="5"/>
        <v>$$$</v>
      </c>
      <c r="BS169" s="29" t="e">
        <f t="shared" si="6"/>
        <v>#N/A</v>
      </c>
      <c r="BT169" s="29" t="e">
        <f t="shared" si="6"/>
        <v>#N/A</v>
      </c>
      <c r="BU169" s="29" t="e">
        <f t="shared" si="6"/>
        <v>#N/A</v>
      </c>
      <c r="BV169" s="29" t="e">
        <f t="shared" si="6"/>
        <v>#N/A</v>
      </c>
      <c r="BW169" s="29" t="e">
        <f t="shared" si="6"/>
        <v>#N/A</v>
      </c>
      <c r="BX169" s="29" t="e">
        <f t="shared" si="6"/>
        <v>#N/A</v>
      </c>
      <c r="BY169" s="29" t="e">
        <f t="shared" si="6"/>
        <v>#N/A</v>
      </c>
      <c r="BZ169" s="29" t="e">
        <f t="shared" si="6"/>
        <v>#N/A</v>
      </c>
      <c r="CA169" s="29" t="e">
        <f t="shared" si="6"/>
        <v>#N/A</v>
      </c>
      <c r="CB169" s="29" t="e">
        <f t="shared" si="6"/>
        <v>#N/A</v>
      </c>
      <c r="CC169" s="29" t="e">
        <f t="shared" si="6"/>
        <v>#N/A</v>
      </c>
      <c r="CD169" s="29" t="e">
        <f t="shared" si="6"/>
        <v>#N/A</v>
      </c>
      <c r="CE169" s="6" t="str">
        <f t="shared" si="220"/>
        <v/>
      </c>
      <c r="CF169" s="27" t="e">
        <f>IF(AND(CI169,NOT(AD169)),LOOKUP(CF$5,{0,750,1500},H169:J169),"")</f>
        <v>#N/A</v>
      </c>
      <c r="CG169" s="6" t="str">
        <f t="shared" si="221"/>
        <v/>
      </c>
      <c r="CH169" t="e">
        <f t="shared" si="239"/>
        <v>#N/A</v>
      </c>
      <c r="CI169" t="e">
        <f t="shared" si="240"/>
        <v>#N/A</v>
      </c>
      <c r="CJ169" s="6" t="e">
        <f t="shared" si="11"/>
        <v>#N/A</v>
      </c>
      <c r="CK169" s="6">
        <f t="shared" si="12"/>
        <v>1</v>
      </c>
      <c r="CL169" s="6">
        <f t="shared" si="26"/>
        <v>1</v>
      </c>
      <c r="CM169" s="6">
        <f t="shared" si="13"/>
        <v>1</v>
      </c>
      <c r="CN169" s="6">
        <f t="shared" si="14"/>
        <v>1</v>
      </c>
      <c r="CO169" s="6">
        <f t="shared" si="15"/>
        <v>0</v>
      </c>
      <c r="CP169" s="6">
        <f t="shared" si="16"/>
        <v>1</v>
      </c>
      <c r="CQ169" s="6">
        <f t="shared" si="241"/>
        <v>1</v>
      </c>
      <c r="CR169" s="81" t="str">
        <f t="shared" si="17"/>
        <v/>
      </c>
      <c r="CS169">
        <f t="shared" si="242"/>
        <v>0</v>
      </c>
      <c r="CT169">
        <f t="shared" si="19"/>
        <v>395</v>
      </c>
      <c r="CU169" t="str">
        <f t="shared" si="29"/>
        <v/>
      </c>
      <c r="CV169" s="81">
        <f t="shared" si="243"/>
        <v>395</v>
      </c>
      <c r="CW169" s="81">
        <f>(CV169/25)^1.5*(Calculator!$BU$4/10000)*CW$5</f>
        <v>162.16595996535787</v>
      </c>
      <c r="CX169" t="str">
        <f t="shared" si="244"/>
        <v>$395</v>
      </c>
    </row>
    <row r="170" spans="2:102" x14ac:dyDescent="0.25">
      <c r="B170" s="115" t="s">
        <v>233</v>
      </c>
      <c r="C170" s="13">
        <v>46251.443749999999</v>
      </c>
      <c r="D170">
        <v>28131</v>
      </c>
      <c r="E170" s="54" t="s">
        <v>235</v>
      </c>
      <c r="F170" s="54" t="s">
        <v>517</v>
      </c>
      <c r="G170" s="54" t="s">
        <v>1581</v>
      </c>
      <c r="H170" s="55">
        <v>15.8</v>
      </c>
      <c r="I170" s="55">
        <v>14.799999999999999</v>
      </c>
      <c r="J170" s="55">
        <v>14.299999999999999</v>
      </c>
      <c r="K170" s="54"/>
      <c r="L170" s="56" t="b">
        <v>0</v>
      </c>
      <c r="M170" s="56" t="b">
        <v>0</v>
      </c>
      <c r="N170" s="54">
        <v>1</v>
      </c>
      <c r="O170" s="54" t="s">
        <v>228</v>
      </c>
      <c r="P170" s="54">
        <v>100</v>
      </c>
      <c r="Q170" s="54">
        <v>18</v>
      </c>
      <c r="R170" s="54">
        <v>180</v>
      </c>
      <c r="S170" s="54" t="s">
        <v>519</v>
      </c>
      <c r="T170" s="54" t="s">
        <v>520</v>
      </c>
      <c r="U170" s="54" t="s">
        <v>521</v>
      </c>
      <c r="V170" s="54" t="s">
        <v>522</v>
      </c>
      <c r="W170" s="54" t="b">
        <v>0</v>
      </c>
      <c r="X170" s="54"/>
      <c r="Y170" s="57" t="s">
        <v>2115</v>
      </c>
      <c r="Z170" s="54" t="s">
        <v>1582</v>
      </c>
      <c r="AA170" s="54"/>
      <c r="AB170" s="54" t="s">
        <v>523</v>
      </c>
      <c r="AC170" s="56" t="b">
        <v>1</v>
      </c>
      <c r="AD170" s="56" t="b">
        <v>0</v>
      </c>
      <c r="AE170" s="54" t="s">
        <v>302</v>
      </c>
      <c r="AF170" s="58">
        <v>46249</v>
      </c>
      <c r="AG170" s="62" t="s">
        <v>293</v>
      </c>
      <c r="AH170" s="54">
        <v>0</v>
      </c>
      <c r="AI170" s="54"/>
      <c r="AJ170" s="54"/>
      <c r="AK170" s="54"/>
      <c r="AL170" s="54"/>
      <c r="AM170" s="54">
        <v>5</v>
      </c>
      <c r="AN170" s="54"/>
      <c r="AO170" s="54"/>
      <c r="AP170" s="54"/>
      <c r="AQ170" s="54"/>
      <c r="AR170" s="54"/>
      <c r="AS170" s="54"/>
      <c r="AT170" s="54"/>
      <c r="AU170" s="54"/>
      <c r="AV170" s="54"/>
      <c r="AW170" s="54"/>
      <c r="AX170" s="59"/>
      <c r="AY170" s="59"/>
      <c r="AZ170" s="59"/>
      <c r="BA170" s="59"/>
      <c r="BB170" s="59">
        <v>8.8555999999999996E-2</v>
      </c>
      <c r="BC170" s="60">
        <v>4.0599999999999996</v>
      </c>
      <c r="BD170" s="61">
        <v>4.9811000000000001E-2</v>
      </c>
      <c r="BE170" s="62" t="e">
        <v>#N/A</v>
      </c>
      <c r="BF170" s="35">
        <f t="shared" si="0"/>
        <v>4.9000000000000004</v>
      </c>
      <c r="BG170" s="35">
        <f t="shared" si="0"/>
        <v>4.9811000000000001E-2</v>
      </c>
      <c r="BH170" s="35" t="str">
        <f t="shared" si="236"/>
        <v>?</v>
      </c>
      <c r="BI170" s="110">
        <f t="shared" si="237"/>
        <v>0</v>
      </c>
      <c r="BJ170" s="83">
        <f>VLOOKUP($F170,REP_Info!$D$6:$H$250,5,FALSE)</f>
        <v>0.67800000000000005</v>
      </c>
      <c r="BK170" s="30" t="e">
        <f t="shared" si="1"/>
        <v>#N/A</v>
      </c>
      <c r="BL170" s="30" t="e">
        <f t="shared" si="1"/>
        <v>#N/A</v>
      </c>
      <c r="BM170" s="30" t="e">
        <f t="shared" si="1"/>
        <v>#N/A</v>
      </c>
      <c r="BN170" s="29" t="e">
        <f t="shared" si="1"/>
        <v>#N/A</v>
      </c>
      <c r="BO170" s="85" t="str">
        <f t="shared" si="2"/>
        <v>$$$</v>
      </c>
      <c r="BP170" s="88" t="str">
        <f t="shared" si="238"/>
        <v>$$$</v>
      </c>
      <c r="BQ170" s="88" t="str">
        <f t="shared" si="4"/>
        <v>$$$</v>
      </c>
      <c r="BR170" s="88" t="str">
        <f t="shared" si="5"/>
        <v>$$$</v>
      </c>
      <c r="BS170" s="29" t="e">
        <f t="shared" si="6"/>
        <v>#N/A</v>
      </c>
      <c r="BT170" s="29" t="e">
        <f t="shared" si="6"/>
        <v>#N/A</v>
      </c>
      <c r="BU170" s="29" t="e">
        <f t="shared" si="6"/>
        <v>#N/A</v>
      </c>
      <c r="BV170" s="29" t="e">
        <f t="shared" si="6"/>
        <v>#N/A</v>
      </c>
      <c r="BW170" s="29" t="e">
        <f t="shared" si="6"/>
        <v>#N/A</v>
      </c>
      <c r="BX170" s="29" t="e">
        <f t="shared" si="6"/>
        <v>#N/A</v>
      </c>
      <c r="BY170" s="29" t="e">
        <f t="shared" si="6"/>
        <v>#N/A</v>
      </c>
      <c r="BZ170" s="29" t="e">
        <f t="shared" si="6"/>
        <v>#N/A</v>
      </c>
      <c r="CA170" s="29" t="e">
        <f t="shared" si="6"/>
        <v>#N/A</v>
      </c>
      <c r="CB170" s="29" t="e">
        <f t="shared" si="6"/>
        <v>#N/A</v>
      </c>
      <c r="CC170" s="29" t="e">
        <f t="shared" si="6"/>
        <v>#N/A</v>
      </c>
      <c r="CD170" s="29" t="e">
        <f t="shared" si="6"/>
        <v>#N/A</v>
      </c>
      <c r="CE170" s="6" t="str">
        <f t="shared" si="220"/>
        <v/>
      </c>
      <c r="CF170" s="27" t="e">
        <f>IF(AND(CI170,NOT(AD170)),LOOKUP(CF$5,{0,750,1500},H170:J170),"")</f>
        <v>#N/A</v>
      </c>
      <c r="CG170" s="6" t="str">
        <f t="shared" si="221"/>
        <v/>
      </c>
      <c r="CH170" t="e">
        <f t="shared" si="239"/>
        <v>#N/A</v>
      </c>
      <c r="CI170" t="e">
        <f t="shared" si="240"/>
        <v>#N/A</v>
      </c>
      <c r="CJ170" s="6" t="e">
        <f t="shared" si="11"/>
        <v>#N/A</v>
      </c>
      <c r="CK170" s="6">
        <f t="shared" si="12"/>
        <v>1</v>
      </c>
      <c r="CL170" s="6">
        <f t="shared" si="26"/>
        <v>1</v>
      </c>
      <c r="CM170" s="6">
        <f t="shared" si="13"/>
        <v>1</v>
      </c>
      <c r="CN170" s="6">
        <f t="shared" si="14"/>
        <v>1</v>
      </c>
      <c r="CO170" s="6">
        <f t="shared" si="15"/>
        <v>0</v>
      </c>
      <c r="CP170" s="6">
        <f t="shared" si="16"/>
        <v>1</v>
      </c>
      <c r="CQ170" s="6">
        <f t="shared" si="241"/>
        <v>1</v>
      </c>
      <c r="CR170" s="81" t="str">
        <f t="shared" si="17"/>
        <v/>
      </c>
      <c r="CS170">
        <f t="shared" si="242"/>
        <v>0</v>
      </c>
      <c r="CT170">
        <f t="shared" si="19"/>
        <v>180</v>
      </c>
      <c r="CU170" t="str">
        <f t="shared" si="29"/>
        <v/>
      </c>
      <c r="CV170" s="81">
        <f t="shared" si="243"/>
        <v>180</v>
      </c>
      <c r="CW170" s="81">
        <f>(CV170/25)^1.5*(Calculator!$BU$4/10000)*CW$5</f>
        <v>49.885325635190988</v>
      </c>
      <c r="CX170" t="str">
        <f t="shared" si="244"/>
        <v>$180</v>
      </c>
    </row>
    <row r="171" spans="2:102" x14ac:dyDescent="0.25">
      <c r="B171" s="115" t="s">
        <v>233</v>
      </c>
      <c r="C171" s="13">
        <v>46237.767361111109</v>
      </c>
      <c r="D171">
        <v>28133</v>
      </c>
      <c r="E171" s="54" t="s">
        <v>237</v>
      </c>
      <c r="F171" s="54" t="s">
        <v>517</v>
      </c>
      <c r="G171" s="54" t="s">
        <v>1581</v>
      </c>
      <c r="H171" s="55">
        <v>16.7</v>
      </c>
      <c r="I171" s="55">
        <v>15.8</v>
      </c>
      <c r="J171" s="55">
        <v>15.4</v>
      </c>
      <c r="K171" s="54"/>
      <c r="L171" s="56" t="b">
        <v>0</v>
      </c>
      <c r="M171" s="56" t="b">
        <v>0</v>
      </c>
      <c r="N171" s="54">
        <v>1</v>
      </c>
      <c r="O171" s="54" t="s">
        <v>228</v>
      </c>
      <c r="P171" s="54">
        <v>100</v>
      </c>
      <c r="Q171" s="54">
        <v>18</v>
      </c>
      <c r="R171" s="54">
        <v>180</v>
      </c>
      <c r="S171" s="54" t="s">
        <v>519</v>
      </c>
      <c r="T171" s="54" t="s">
        <v>520</v>
      </c>
      <c r="U171" s="54" t="s">
        <v>521</v>
      </c>
      <c r="V171" s="54" t="s">
        <v>522</v>
      </c>
      <c r="W171" s="54" t="b">
        <v>0</v>
      </c>
      <c r="X171" s="54"/>
      <c r="Y171" s="57" t="s">
        <v>1865</v>
      </c>
      <c r="Z171" s="54" t="s">
        <v>1582</v>
      </c>
      <c r="AA171" s="54"/>
      <c r="AB171" s="54" t="s">
        <v>523</v>
      </c>
      <c r="AC171" s="56" t="b">
        <v>1</v>
      </c>
      <c r="AD171" s="56" t="b">
        <v>0</v>
      </c>
      <c r="AE171" s="54" t="s">
        <v>302</v>
      </c>
      <c r="AF171" s="58">
        <v>46235</v>
      </c>
      <c r="AG171" s="62" t="s">
        <v>293</v>
      </c>
      <c r="AH171" s="54">
        <v>0</v>
      </c>
      <c r="AI171" s="54"/>
      <c r="AJ171" s="54"/>
      <c r="AK171" s="54"/>
      <c r="AL171" s="54"/>
      <c r="AM171" s="54">
        <v>5</v>
      </c>
      <c r="AN171" s="54"/>
      <c r="AO171" s="54"/>
      <c r="AP171" s="54"/>
      <c r="AQ171" s="54"/>
      <c r="AR171" s="54"/>
      <c r="AS171" s="54"/>
      <c r="AT171" s="54"/>
      <c r="AU171" s="54"/>
      <c r="AV171" s="54"/>
      <c r="AW171" s="54"/>
      <c r="AX171" s="59"/>
      <c r="AY171" s="59"/>
      <c r="AZ171" s="59"/>
      <c r="BA171" s="59"/>
      <c r="BB171" s="59">
        <v>8.8701000000000002E-2</v>
      </c>
      <c r="BC171" s="60">
        <v>4.0599999999999996</v>
      </c>
      <c r="BD171" s="61">
        <v>6.0295000000000001E-2</v>
      </c>
      <c r="BE171" s="62" t="s">
        <v>293</v>
      </c>
      <c r="BF171" s="35">
        <f t="shared" si="0"/>
        <v>4.0600000000000005</v>
      </c>
      <c r="BG171" s="35">
        <f t="shared" si="0"/>
        <v>6.0295000000000001E-2</v>
      </c>
      <c r="BH171" s="35" t="str">
        <f t="shared" si="236"/>
        <v>Med</v>
      </c>
      <c r="BI171" s="110">
        <f t="shared" si="237"/>
        <v>0</v>
      </c>
      <c r="BJ171" s="83">
        <f>VLOOKUP($F171,REP_Info!$D$6:$H$250,5,FALSE)</f>
        <v>0.67800000000000005</v>
      </c>
      <c r="BK171" s="30">
        <f t="shared" si="1"/>
        <v>16.711600000000001</v>
      </c>
      <c r="BL171" s="30">
        <f t="shared" si="1"/>
        <v>15.8056</v>
      </c>
      <c r="BM171" s="30">
        <f t="shared" si="1"/>
        <v>15.352600000000001</v>
      </c>
      <c r="BN171" s="29">
        <f t="shared" si="1"/>
        <v>15.201600000000001</v>
      </c>
      <c r="BO171" s="85" t="str">
        <f t="shared" si="2"/>
        <v>$$$</v>
      </c>
      <c r="BP171" s="88" t="str">
        <f t="shared" si="238"/>
        <v>$$$</v>
      </c>
      <c r="BQ171" s="88" t="str">
        <f t="shared" si="4"/>
        <v>$$$</v>
      </c>
      <c r="BR171" s="88" t="str">
        <f t="shared" si="5"/>
        <v>$$$</v>
      </c>
      <c r="BS171" s="29" t="e">
        <f t="shared" si="6"/>
        <v>#N/A</v>
      </c>
      <c r="BT171" s="29" t="e">
        <f t="shared" si="6"/>
        <v>#N/A</v>
      </c>
      <c r="BU171" s="29" t="e">
        <f t="shared" si="6"/>
        <v>#N/A</v>
      </c>
      <c r="BV171" s="29" t="e">
        <f t="shared" si="6"/>
        <v>#N/A</v>
      </c>
      <c r="BW171" s="29" t="e">
        <f t="shared" si="6"/>
        <v>#N/A</v>
      </c>
      <c r="BX171" s="29" t="e">
        <f t="shared" si="6"/>
        <v>#N/A</v>
      </c>
      <c r="BY171" s="29" t="e">
        <f t="shared" si="6"/>
        <v>#N/A</v>
      </c>
      <c r="BZ171" s="29" t="e">
        <f t="shared" si="6"/>
        <v>#N/A</v>
      </c>
      <c r="CA171" s="29" t="e">
        <f t="shared" si="6"/>
        <v>#N/A</v>
      </c>
      <c r="CB171" s="29" t="e">
        <f t="shared" si="6"/>
        <v>#N/A</v>
      </c>
      <c r="CC171" s="29" t="e">
        <f t="shared" si="6"/>
        <v>#N/A</v>
      </c>
      <c r="CD171" s="29" t="e">
        <f t="shared" si="6"/>
        <v>#N/A</v>
      </c>
      <c r="CE171" s="6" t="str">
        <f t="shared" si="220"/>
        <v/>
      </c>
      <c r="CF171" s="27" t="e">
        <f>IF(AND(CI171,NOT(AD171)),LOOKUP(CF$5,{0,750,1500},H171:J171),"")</f>
        <v>#N/A</v>
      </c>
      <c r="CG171" s="6" t="str">
        <f t="shared" si="221"/>
        <v/>
      </c>
      <c r="CH171" t="e">
        <f t="shared" si="239"/>
        <v>#N/A</v>
      </c>
      <c r="CI171" t="e">
        <f t="shared" si="240"/>
        <v>#N/A</v>
      </c>
      <c r="CJ171" s="6" t="e">
        <f t="shared" si="11"/>
        <v>#N/A</v>
      </c>
      <c r="CK171" s="6">
        <f t="shared" si="12"/>
        <v>1</v>
      </c>
      <c r="CL171" s="6">
        <f t="shared" si="26"/>
        <v>1</v>
      </c>
      <c r="CM171" s="6">
        <f t="shared" si="13"/>
        <v>1</v>
      </c>
      <c r="CN171" s="6">
        <f t="shared" si="14"/>
        <v>1</v>
      </c>
      <c r="CO171" s="6">
        <f t="shared" si="15"/>
        <v>0</v>
      </c>
      <c r="CP171" s="6">
        <f t="shared" si="16"/>
        <v>1</v>
      </c>
      <c r="CQ171" s="6">
        <f t="shared" si="241"/>
        <v>1</v>
      </c>
      <c r="CR171" s="81" t="str">
        <f t="shared" si="17"/>
        <v/>
      </c>
      <c r="CS171">
        <f t="shared" si="242"/>
        <v>0</v>
      </c>
      <c r="CT171">
        <f t="shared" si="19"/>
        <v>180</v>
      </c>
      <c r="CU171" t="str">
        <f t="shared" si="29"/>
        <v/>
      </c>
      <c r="CV171" s="81">
        <f t="shared" si="243"/>
        <v>180</v>
      </c>
      <c r="CW171" s="81">
        <f>(CV171/25)^1.5*(Calculator!$BU$4/10000)*CW$5</f>
        <v>49.885325635190988</v>
      </c>
      <c r="CX171" t="str">
        <f t="shared" si="244"/>
        <v>$180</v>
      </c>
    </row>
    <row r="172" spans="2:102" x14ac:dyDescent="0.25">
      <c r="B172" s="115" t="s">
        <v>233</v>
      </c>
      <c r="C172" s="13">
        <v>46252.407638888886</v>
      </c>
      <c r="D172">
        <v>37384</v>
      </c>
      <c r="E172" s="54" t="s">
        <v>235</v>
      </c>
      <c r="F172" s="54" t="s">
        <v>528</v>
      </c>
      <c r="G172" s="54" t="s">
        <v>1965</v>
      </c>
      <c r="H172" s="55">
        <v>12.9</v>
      </c>
      <c r="I172" s="55">
        <v>12.4</v>
      </c>
      <c r="J172" s="55">
        <v>12.1</v>
      </c>
      <c r="K172" s="54"/>
      <c r="L172" s="56" t="b">
        <v>0</v>
      </c>
      <c r="M172" s="56" t="b">
        <v>0</v>
      </c>
      <c r="N172" s="54">
        <v>1</v>
      </c>
      <c r="O172" s="54" t="s">
        <v>228</v>
      </c>
      <c r="P172" s="54">
        <v>24</v>
      </c>
      <c r="Q172" s="54">
        <v>12</v>
      </c>
      <c r="R172" s="54">
        <v>75</v>
      </c>
      <c r="S172" s="54" t="s">
        <v>1966</v>
      </c>
      <c r="T172" s="54" t="s">
        <v>1967</v>
      </c>
      <c r="U172" s="54" t="s">
        <v>1952</v>
      </c>
      <c r="V172" s="54" t="s">
        <v>1968</v>
      </c>
      <c r="W172" s="54" t="b">
        <v>0</v>
      </c>
      <c r="X172" s="54"/>
      <c r="Y172" s="57" t="s">
        <v>1969</v>
      </c>
      <c r="Z172" s="54" t="s">
        <v>1970</v>
      </c>
      <c r="AA172" s="54"/>
      <c r="AB172" s="54" t="s">
        <v>1971</v>
      </c>
      <c r="AC172" s="56" t="b">
        <v>1</v>
      </c>
      <c r="AD172" s="56" t="b">
        <v>0</v>
      </c>
      <c r="AE172" s="54" t="s">
        <v>302</v>
      </c>
      <c r="AF172" s="58">
        <v>46252</v>
      </c>
      <c r="AG172" s="62" t="s">
        <v>293</v>
      </c>
      <c r="AH172" s="54">
        <v>0</v>
      </c>
      <c r="AI172" s="54"/>
      <c r="AJ172" s="54"/>
      <c r="AK172" s="54"/>
      <c r="AL172" s="54"/>
      <c r="AM172" s="54">
        <v>0</v>
      </c>
      <c r="AN172" s="54"/>
      <c r="AO172" s="54"/>
      <c r="AP172" s="54"/>
      <c r="AQ172" s="54"/>
      <c r="AR172" s="54"/>
      <c r="AS172" s="54"/>
      <c r="AT172" s="54"/>
      <c r="AU172" s="54"/>
      <c r="AV172" s="54"/>
      <c r="AW172" s="54"/>
      <c r="AX172" s="59"/>
      <c r="AY172" s="59"/>
      <c r="AZ172" s="59"/>
      <c r="BA172" s="59"/>
      <c r="BB172" s="59">
        <v>6.9000000000000006E-2</v>
      </c>
      <c r="BC172" s="60">
        <v>4.9000000000000004</v>
      </c>
      <c r="BD172" s="61">
        <v>4.9811000000000001E-2</v>
      </c>
      <c r="BE172" s="62" t="s">
        <v>293</v>
      </c>
      <c r="BF172" s="35">
        <f t="shared" si="0"/>
        <v>4.9000000000000004</v>
      </c>
      <c r="BG172" s="35">
        <f t="shared" si="0"/>
        <v>4.9811000000000001E-2</v>
      </c>
      <c r="BH172" s="35" t="str">
        <f t="shared" si="236"/>
        <v>Low</v>
      </c>
      <c r="BI172" s="110">
        <f t="shared" si="237"/>
        <v>0</v>
      </c>
      <c r="BJ172" s="83" t="str">
        <f>VLOOKUP($F172,REP_Info!$D$6:$H$250,5,FALSE)</f>
        <v/>
      </c>
      <c r="BK172" s="30">
        <f t="shared" si="1"/>
        <v>12.861099999999999</v>
      </c>
      <c r="BL172" s="30">
        <f t="shared" si="1"/>
        <v>12.371100000000002</v>
      </c>
      <c r="BM172" s="30">
        <f t="shared" si="1"/>
        <v>12.126100000000001</v>
      </c>
      <c r="BN172" s="29">
        <f t="shared" si="1"/>
        <v>12.044433333333334</v>
      </c>
      <c r="BO172" s="85" t="str">
        <f t="shared" si="2"/>
        <v>$$$</v>
      </c>
      <c r="BP172" s="88" t="str">
        <f t="shared" si="238"/>
        <v>$$$</v>
      </c>
      <c r="BQ172" s="88" t="str">
        <f t="shared" si="4"/>
        <v>$$$</v>
      </c>
      <c r="BR172" s="88" t="str">
        <f t="shared" si="5"/>
        <v>$$$</v>
      </c>
      <c r="BS172" s="29" t="e">
        <f t="shared" si="6"/>
        <v>#N/A</v>
      </c>
      <c r="BT172" s="29" t="e">
        <f t="shared" si="6"/>
        <v>#N/A</v>
      </c>
      <c r="BU172" s="29" t="e">
        <f t="shared" si="6"/>
        <v>#N/A</v>
      </c>
      <c r="BV172" s="29" t="e">
        <f t="shared" si="6"/>
        <v>#N/A</v>
      </c>
      <c r="BW172" s="29" t="e">
        <f t="shared" si="6"/>
        <v>#N/A</v>
      </c>
      <c r="BX172" s="29" t="e">
        <f t="shared" si="6"/>
        <v>#N/A</v>
      </c>
      <c r="BY172" s="29" t="e">
        <f t="shared" si="6"/>
        <v>#N/A</v>
      </c>
      <c r="BZ172" s="29" t="e">
        <f t="shared" si="6"/>
        <v>#N/A</v>
      </c>
      <c r="CA172" s="29" t="e">
        <f t="shared" si="6"/>
        <v>#N/A</v>
      </c>
      <c r="CB172" s="29" t="e">
        <f t="shared" si="6"/>
        <v>#N/A</v>
      </c>
      <c r="CC172" s="29" t="e">
        <f t="shared" si="6"/>
        <v>#N/A</v>
      </c>
      <c r="CD172" s="29" t="e">
        <f t="shared" si="6"/>
        <v>#N/A</v>
      </c>
      <c r="CE172" s="6" t="str">
        <f t="shared" si="220"/>
        <v/>
      </c>
      <c r="CF172" s="27" t="e">
        <f>IF(AND(CI172,NOT(AD172)),LOOKUP(CF$5,{0,750,1500},H172:J172),"")</f>
        <v>#N/A</v>
      </c>
      <c r="CG172" s="6" t="str">
        <f t="shared" si="221"/>
        <v/>
      </c>
      <c r="CH172" t="e">
        <f t="shared" si="239"/>
        <v>#N/A</v>
      </c>
      <c r="CI172" t="e">
        <f t="shared" si="240"/>
        <v>#N/A</v>
      </c>
      <c r="CJ172" s="6" t="e">
        <f t="shared" si="11"/>
        <v>#N/A</v>
      </c>
      <c r="CK172" s="6">
        <f t="shared" si="12"/>
        <v>1</v>
      </c>
      <c r="CL172" s="6">
        <f t="shared" si="26"/>
        <v>1</v>
      </c>
      <c r="CM172" s="6">
        <f t="shared" si="13"/>
        <v>1</v>
      </c>
      <c r="CN172" s="6">
        <f t="shared" si="14"/>
        <v>1</v>
      </c>
      <c r="CO172" s="6">
        <f t="shared" si="15"/>
        <v>1</v>
      </c>
      <c r="CP172" s="6">
        <f t="shared" si="16"/>
        <v>1</v>
      </c>
      <c r="CQ172" s="6">
        <f t="shared" si="241"/>
        <v>1</v>
      </c>
      <c r="CR172" s="81" t="str">
        <f t="shared" si="17"/>
        <v/>
      </c>
      <c r="CS172">
        <f t="shared" si="242"/>
        <v>0</v>
      </c>
      <c r="CT172">
        <f t="shared" si="19"/>
        <v>75</v>
      </c>
      <c r="CU172" t="str">
        <f t="shared" si="29"/>
        <v/>
      </c>
      <c r="CV172" s="81">
        <f t="shared" si="243"/>
        <v>75</v>
      </c>
      <c r="CW172" s="81">
        <f>(CV172/25)^1.5*(Calculator!$BU$4/10000)*CW$5</f>
        <v>13.417016347585319</v>
      </c>
      <c r="CX172" t="str">
        <f t="shared" si="244"/>
        <v>$75</v>
      </c>
    </row>
    <row r="173" spans="2:102" x14ac:dyDescent="0.25">
      <c r="B173" s="115" t="s">
        <v>233</v>
      </c>
      <c r="C173" s="13">
        <v>46246.298611111109</v>
      </c>
      <c r="D173">
        <v>37388</v>
      </c>
      <c r="E173" s="54" t="s">
        <v>237</v>
      </c>
      <c r="F173" s="54" t="s">
        <v>528</v>
      </c>
      <c r="G173" s="54" t="s">
        <v>1965</v>
      </c>
      <c r="H173" s="55">
        <v>13.700000000000001</v>
      </c>
      <c r="I173" s="55">
        <v>13.3</v>
      </c>
      <c r="J173" s="55">
        <v>13.100000000000001</v>
      </c>
      <c r="K173" s="54"/>
      <c r="L173" s="56" t="b">
        <v>0</v>
      </c>
      <c r="M173" s="56" t="b">
        <v>0</v>
      </c>
      <c r="N173" s="54">
        <v>1</v>
      </c>
      <c r="O173" s="54" t="s">
        <v>228</v>
      </c>
      <c r="P173" s="54">
        <v>24</v>
      </c>
      <c r="Q173" s="54">
        <v>12</v>
      </c>
      <c r="R173" s="54">
        <v>75</v>
      </c>
      <c r="S173" s="54" t="s">
        <v>1966</v>
      </c>
      <c r="T173" s="54" t="s">
        <v>1967</v>
      </c>
      <c r="U173" s="54" t="s">
        <v>1954</v>
      </c>
      <c r="V173" s="54" t="s">
        <v>1972</v>
      </c>
      <c r="W173" s="54" t="b">
        <v>0</v>
      </c>
      <c r="X173" s="54"/>
      <c r="Y173" s="57" t="s">
        <v>1973</v>
      </c>
      <c r="Z173" s="54" t="s">
        <v>1974</v>
      </c>
      <c r="AA173" s="54"/>
      <c r="AB173" s="54" t="s">
        <v>1971</v>
      </c>
      <c r="AC173" s="56" t="b">
        <v>0</v>
      </c>
      <c r="AD173" s="56" t="b">
        <v>0</v>
      </c>
      <c r="AE173" s="54" t="s">
        <v>302</v>
      </c>
      <c r="AF173" s="58">
        <v>46243</v>
      </c>
      <c r="AG173" s="62" t="s">
        <v>293</v>
      </c>
      <c r="AH173" s="54">
        <v>0</v>
      </c>
      <c r="AI173" s="54"/>
      <c r="AJ173" s="54"/>
      <c r="AK173" s="54"/>
      <c r="AL173" s="54"/>
      <c r="AM173" s="54">
        <v>0</v>
      </c>
      <c r="AN173" s="54"/>
      <c r="AO173" s="54"/>
      <c r="AP173" s="54"/>
      <c r="AQ173" s="54"/>
      <c r="AR173" s="54"/>
      <c r="AS173" s="54"/>
      <c r="AT173" s="54"/>
      <c r="AU173" s="54"/>
      <c r="AV173" s="54"/>
      <c r="AW173" s="54"/>
      <c r="AX173" s="59"/>
      <c r="AY173" s="59"/>
      <c r="AZ173" s="59"/>
      <c r="BA173" s="59"/>
      <c r="BB173" s="59">
        <v>6.9000000000000006E-2</v>
      </c>
      <c r="BC173" s="60">
        <v>4.0599999999999996</v>
      </c>
      <c r="BD173" s="61">
        <v>6.0295000000000001E-2</v>
      </c>
      <c r="BE173" s="62" t="s">
        <v>293</v>
      </c>
      <c r="BF173" s="35">
        <f t="shared" ref="BF173:BG179" si="245">IF($E173=$E$4,BF$4,IF($E173=$E$5,BF$5,""))</f>
        <v>4.0600000000000005</v>
      </c>
      <c r="BG173" s="35">
        <f t="shared" si="245"/>
        <v>6.0295000000000001E-2</v>
      </c>
      <c r="BH173" s="35" t="str">
        <f t="shared" si="236"/>
        <v>Low</v>
      </c>
      <c r="BI173" s="110">
        <f t="shared" si="237"/>
        <v>0</v>
      </c>
      <c r="BJ173" s="83" t="str">
        <f>VLOOKUP($F173,REP_Info!$D$6:$H$250,5,FALSE)</f>
        <v/>
      </c>
      <c r="BK173" s="30">
        <f t="shared" ref="BK173:BN179" si="246">IF(BK$7&gt;0,(LOOKUP(BK$7,$AH173:$AL173,$AM173:$AQ173)+IF($AG173="Y",SUMPRODUCT($AX173:$BB173-$AW173:$BA173,BK$7-$AR173:$AV173,N(BK$7&gt;$AR173:$AV173)),BK$7*LOOKUP(BK$7,$AR173:$AV173,$AX173:$BB173))+IF($BE173="Y",$BF173,$BC173)+BK$7*IF($BE173="Y",$BG173,$BD173))*100/BK$7,"")</f>
        <v>13.741500000000002</v>
      </c>
      <c r="BL173" s="30">
        <f t="shared" si="246"/>
        <v>13.335500000000001</v>
      </c>
      <c r="BM173" s="30">
        <f t="shared" si="246"/>
        <v>13.132499999999999</v>
      </c>
      <c r="BN173" s="29">
        <f t="shared" si="246"/>
        <v>13.064833333333336</v>
      </c>
      <c r="BO173" s="85" t="str">
        <f t="shared" si="2"/>
        <v>$$$</v>
      </c>
      <c r="BP173" s="88" t="str">
        <f t="shared" si="238"/>
        <v>$$$</v>
      </c>
      <c r="BQ173" s="88" t="str">
        <f t="shared" si="4"/>
        <v>$$$</v>
      </c>
      <c r="BR173" s="88" t="str">
        <f t="shared" si="5"/>
        <v>$$$</v>
      </c>
      <c r="BS173" s="29" t="e">
        <f t="shared" ref="BS173:CD179" si="247">IF($CI173,IF(BS$7&gt;0,IF(BS$4&gt;$Q173,$BF173+BS$7*(BS$5+$BG173+$BI173),LOOKUP(BS$7,$AH173:$AL173,$AM173:$AQ173)+IF($AG173="Y",SUMPRODUCT($AX173:$BB173-$AW173:$BA173,BS$7-$AR173:$AV173,N(BS$7&gt;$AR173:$AV173)),BS$7*LOOKUP(BS$7,$AR173:$AV173,$AX173:$BB173))+IF($BE173="Y",$BF173,$BC173)+BS$7*IF($BE173="Y",$BG173,$BD173))*100/BS$7,""),NA())</f>
        <v>#N/A</v>
      </c>
      <c r="BT173" s="29" t="e">
        <f t="shared" si="247"/>
        <v>#N/A</v>
      </c>
      <c r="BU173" s="29" t="e">
        <f t="shared" si="247"/>
        <v>#N/A</v>
      </c>
      <c r="BV173" s="29" t="e">
        <f t="shared" si="247"/>
        <v>#N/A</v>
      </c>
      <c r="BW173" s="29" t="e">
        <f t="shared" si="247"/>
        <v>#N/A</v>
      </c>
      <c r="BX173" s="29" t="e">
        <f t="shared" si="247"/>
        <v>#N/A</v>
      </c>
      <c r="BY173" s="29" t="e">
        <f t="shared" si="247"/>
        <v>#N/A</v>
      </c>
      <c r="BZ173" s="29" t="e">
        <f t="shared" si="247"/>
        <v>#N/A</v>
      </c>
      <c r="CA173" s="29" t="e">
        <f t="shared" si="247"/>
        <v>#N/A</v>
      </c>
      <c r="CB173" s="29" t="e">
        <f t="shared" si="247"/>
        <v>#N/A</v>
      </c>
      <c r="CC173" s="29" t="e">
        <f t="shared" si="247"/>
        <v>#N/A</v>
      </c>
      <c r="CD173" s="29" t="e">
        <f t="shared" si="247"/>
        <v>#N/A</v>
      </c>
      <c r="CE173" s="6" t="str">
        <f t="shared" si="220"/>
        <v/>
      </c>
      <c r="CF173" s="27" t="e">
        <f>IF(AND(CI173,NOT(AD173)),LOOKUP(CF$5,{0,750,1500},H173:J173),"")</f>
        <v>#N/A</v>
      </c>
      <c r="CG173" s="6" t="str">
        <f t="shared" si="221"/>
        <v/>
      </c>
      <c r="CH173" t="e">
        <f t="shared" si="239"/>
        <v>#N/A</v>
      </c>
      <c r="CI173" t="e">
        <f t="shared" si="240"/>
        <v>#N/A</v>
      </c>
      <c r="CJ173" s="6" t="e">
        <f t="shared" si="11"/>
        <v>#N/A</v>
      </c>
      <c r="CK173" s="6">
        <f t="shared" si="12"/>
        <v>1</v>
      </c>
      <c r="CL173" s="6">
        <f t="shared" si="26"/>
        <v>1</v>
      </c>
      <c r="CM173" s="6">
        <f t="shared" si="13"/>
        <v>1</v>
      </c>
      <c r="CN173" s="6">
        <f t="shared" si="14"/>
        <v>1</v>
      </c>
      <c r="CO173" s="6">
        <f t="shared" si="15"/>
        <v>1</v>
      </c>
      <c r="CP173" s="6">
        <f t="shared" si="16"/>
        <v>1</v>
      </c>
      <c r="CQ173" s="6">
        <f t="shared" si="241"/>
        <v>1</v>
      </c>
      <c r="CR173" s="81" t="str">
        <f t="shared" si="17"/>
        <v/>
      </c>
      <c r="CS173">
        <f t="shared" si="242"/>
        <v>0</v>
      </c>
      <c r="CT173">
        <f t="shared" si="19"/>
        <v>75</v>
      </c>
      <c r="CU173" t="str">
        <f t="shared" si="29"/>
        <v/>
      </c>
      <c r="CV173" s="81">
        <f t="shared" si="243"/>
        <v>75</v>
      </c>
      <c r="CW173" s="81">
        <f>(CV173/25)^1.5*(Calculator!$BU$4/10000)*CW$5</f>
        <v>13.417016347585319</v>
      </c>
      <c r="CX173" t="str">
        <f t="shared" si="244"/>
        <v>$75</v>
      </c>
    </row>
    <row r="174" spans="2:102" x14ac:dyDescent="0.25">
      <c r="B174" s="115" t="s">
        <v>233</v>
      </c>
      <c r="C174" s="13">
        <v>46246.298611111109</v>
      </c>
      <c r="D174">
        <v>37392</v>
      </c>
      <c r="E174" s="54" t="s">
        <v>237</v>
      </c>
      <c r="F174" s="54" t="s">
        <v>528</v>
      </c>
      <c r="G174" s="54" t="s">
        <v>1975</v>
      </c>
      <c r="H174" s="55">
        <v>12.7</v>
      </c>
      <c r="I174" s="55">
        <v>12.3</v>
      </c>
      <c r="J174" s="55">
        <v>12.1</v>
      </c>
      <c r="K174" s="54"/>
      <c r="L174" s="56" t="b">
        <v>0</v>
      </c>
      <c r="M174" s="56" t="b">
        <v>0</v>
      </c>
      <c r="N174" s="54">
        <v>1</v>
      </c>
      <c r="O174" s="54" t="s">
        <v>228</v>
      </c>
      <c r="P174" s="54">
        <v>24</v>
      </c>
      <c r="Q174" s="54">
        <v>5</v>
      </c>
      <c r="R174" s="54">
        <v>75</v>
      </c>
      <c r="S174" s="54" t="s">
        <v>1966</v>
      </c>
      <c r="T174" s="54" t="s">
        <v>1976</v>
      </c>
      <c r="U174" s="54" t="s">
        <v>1955</v>
      </c>
      <c r="V174" s="54" t="s">
        <v>1977</v>
      </c>
      <c r="W174" s="54" t="b">
        <v>0</v>
      </c>
      <c r="X174" s="54"/>
      <c r="Y174" s="57" t="s">
        <v>1978</v>
      </c>
      <c r="Z174" s="54" t="s">
        <v>1979</v>
      </c>
      <c r="AA174" s="54"/>
      <c r="AB174" s="54" t="s">
        <v>1971</v>
      </c>
      <c r="AC174" s="56" t="b">
        <v>1</v>
      </c>
      <c r="AD174" s="56" t="b">
        <v>0</v>
      </c>
      <c r="AE174" s="54" t="s">
        <v>302</v>
      </c>
      <c r="AF174" s="58">
        <v>46243</v>
      </c>
      <c r="AG174" s="62" t="s">
        <v>293</v>
      </c>
      <c r="AH174" s="54">
        <v>0</v>
      </c>
      <c r="AI174" s="54"/>
      <c r="AJ174" s="54"/>
      <c r="AK174" s="54"/>
      <c r="AL174" s="54"/>
      <c r="AM174" s="54">
        <v>0</v>
      </c>
      <c r="AN174" s="54"/>
      <c r="AO174" s="54"/>
      <c r="AP174" s="54"/>
      <c r="AQ174" s="54"/>
      <c r="AR174" s="54"/>
      <c r="AS174" s="54"/>
      <c r="AT174" s="54"/>
      <c r="AU174" s="54"/>
      <c r="AV174" s="54"/>
      <c r="AW174" s="54"/>
      <c r="AX174" s="59"/>
      <c r="AY174" s="59"/>
      <c r="AZ174" s="59"/>
      <c r="BA174" s="59"/>
      <c r="BB174" s="59">
        <v>5.8999999999999997E-2</v>
      </c>
      <c r="BC174" s="60">
        <v>4.0599999999999996</v>
      </c>
      <c r="BD174" s="61">
        <v>6.0295000000000001E-2</v>
      </c>
      <c r="BE174" s="62" t="s">
        <v>293</v>
      </c>
      <c r="BF174" s="35">
        <f t="shared" si="245"/>
        <v>4.0600000000000005</v>
      </c>
      <c r="BG174" s="35">
        <f t="shared" si="245"/>
        <v>6.0295000000000001E-2</v>
      </c>
      <c r="BH174" s="35" t="str">
        <f t="shared" si="236"/>
        <v>Low</v>
      </c>
      <c r="BI174" s="110">
        <f t="shared" si="237"/>
        <v>0</v>
      </c>
      <c r="BJ174" s="83" t="str">
        <f>VLOOKUP($F174,REP_Info!$D$6:$H$250,5,FALSE)</f>
        <v/>
      </c>
      <c r="BK174" s="30">
        <f t="shared" si="246"/>
        <v>12.7415</v>
      </c>
      <c r="BL174" s="30">
        <f t="shared" si="246"/>
        <v>12.3355</v>
      </c>
      <c r="BM174" s="30">
        <f t="shared" si="246"/>
        <v>12.1325</v>
      </c>
      <c r="BN174" s="29">
        <f t="shared" si="246"/>
        <v>12.064833333333333</v>
      </c>
      <c r="BO174" s="85" t="str">
        <f t="shared" si="2"/>
        <v>$$$</v>
      </c>
      <c r="BP174" s="88" t="str">
        <f t="shared" si="238"/>
        <v>$$$</v>
      </c>
      <c r="BQ174" s="88" t="str">
        <f t="shared" si="4"/>
        <v>$$$</v>
      </c>
      <c r="BR174" s="88" t="str">
        <f t="shared" si="5"/>
        <v>$$$</v>
      </c>
      <c r="BS174" s="29" t="e">
        <f t="shared" si="247"/>
        <v>#N/A</v>
      </c>
      <c r="BT174" s="29" t="e">
        <f t="shared" si="247"/>
        <v>#N/A</v>
      </c>
      <c r="BU174" s="29" t="e">
        <f t="shared" si="247"/>
        <v>#N/A</v>
      </c>
      <c r="BV174" s="29" t="e">
        <f t="shared" si="247"/>
        <v>#N/A</v>
      </c>
      <c r="BW174" s="29" t="e">
        <f t="shared" si="247"/>
        <v>#N/A</v>
      </c>
      <c r="BX174" s="29" t="e">
        <f t="shared" si="247"/>
        <v>#N/A</v>
      </c>
      <c r="BY174" s="29" t="e">
        <f t="shared" si="247"/>
        <v>#N/A</v>
      </c>
      <c r="BZ174" s="29" t="e">
        <f t="shared" si="247"/>
        <v>#N/A</v>
      </c>
      <c r="CA174" s="29" t="e">
        <f t="shared" si="247"/>
        <v>#N/A</v>
      </c>
      <c r="CB174" s="29" t="e">
        <f t="shared" si="247"/>
        <v>#N/A</v>
      </c>
      <c r="CC174" s="29" t="e">
        <f t="shared" si="247"/>
        <v>#N/A</v>
      </c>
      <c r="CD174" s="29" t="e">
        <f t="shared" si="247"/>
        <v>#N/A</v>
      </c>
      <c r="CE174" s="6" t="str">
        <f t="shared" si="220"/>
        <v/>
      </c>
      <c r="CF174" s="27" t="e">
        <f>IF(AND(CI174,NOT(AD174)),LOOKUP(CF$5,{0,750,1500},H174:J174),"")</f>
        <v>#N/A</v>
      </c>
      <c r="CG174" s="6" t="str">
        <f t="shared" si="221"/>
        <v/>
      </c>
      <c r="CH174" t="e">
        <f t="shared" si="239"/>
        <v>#N/A</v>
      </c>
      <c r="CI174" t="e">
        <f t="shared" si="240"/>
        <v>#N/A</v>
      </c>
      <c r="CJ174" s="6" t="e">
        <f t="shared" si="11"/>
        <v>#N/A</v>
      </c>
      <c r="CK174" s="6">
        <f t="shared" si="12"/>
        <v>1</v>
      </c>
      <c r="CL174" s="6">
        <f t="shared" ref="CL174:CL179" si="248">IFERROR(--OR(ISBLANK(CL$5),$BJ174="",AND(ISNUMBER($BJ174),$BJ174&lt;=CL$5)),1)</f>
        <v>1</v>
      </c>
      <c r="CM174" s="6">
        <f t="shared" si="13"/>
        <v>1</v>
      </c>
      <c r="CN174" s="6">
        <f t="shared" si="14"/>
        <v>0</v>
      </c>
      <c r="CO174" s="6">
        <f t="shared" si="15"/>
        <v>1</v>
      </c>
      <c r="CP174" s="6">
        <f t="shared" si="16"/>
        <v>1</v>
      </c>
      <c r="CQ174" s="6">
        <f t="shared" si="241"/>
        <v>1</v>
      </c>
      <c r="CR174" s="81" t="str">
        <f t="shared" si="17"/>
        <v/>
      </c>
      <c r="CS174">
        <f t="shared" si="242"/>
        <v>25.2</v>
      </c>
      <c r="CT174">
        <f t="shared" si="19"/>
        <v>75</v>
      </c>
      <c r="CU174" t="str">
        <f t="shared" ref="CU174:CU179" si="249">IF(AND(ISERR(FIND("remain",$R174)),ISERR(FIND("left",$R174))),"","r")&amp;IF(ISERR(FIND("mon",$R174)),"","m")</f>
        <v/>
      </c>
      <c r="CV174" s="81">
        <f t="shared" si="243"/>
        <v>75</v>
      </c>
      <c r="CW174" s="81">
        <f>(CV174/25)^1.5*(Calculator!$BU$4/10000)*CW$5</f>
        <v>13.417016347585319</v>
      </c>
      <c r="CX174" t="str">
        <f t="shared" si="244"/>
        <v>$75</v>
      </c>
    </row>
    <row r="175" spans="2:102" x14ac:dyDescent="0.25">
      <c r="B175" s="115" t="s">
        <v>233</v>
      </c>
      <c r="C175" s="13">
        <v>46252.407638888886</v>
      </c>
      <c r="D175">
        <v>37394</v>
      </c>
      <c r="E175" s="54" t="s">
        <v>235</v>
      </c>
      <c r="F175" s="54" t="s">
        <v>528</v>
      </c>
      <c r="G175" s="54" t="s">
        <v>1975</v>
      </c>
      <c r="H175" s="55">
        <v>11.5</v>
      </c>
      <c r="I175" s="55">
        <v>11</v>
      </c>
      <c r="J175" s="55">
        <v>10.7</v>
      </c>
      <c r="K175" s="54"/>
      <c r="L175" s="56" t="b">
        <v>0</v>
      </c>
      <c r="M175" s="56" t="b">
        <v>0</v>
      </c>
      <c r="N175" s="54">
        <v>1</v>
      </c>
      <c r="O175" s="54" t="s">
        <v>228</v>
      </c>
      <c r="P175" s="54">
        <v>24</v>
      </c>
      <c r="Q175" s="54">
        <v>5</v>
      </c>
      <c r="R175" s="54">
        <v>75</v>
      </c>
      <c r="S175" s="54" t="s">
        <v>1966</v>
      </c>
      <c r="T175" s="54" t="s">
        <v>1976</v>
      </c>
      <c r="U175" s="54" t="s">
        <v>1956</v>
      </c>
      <c r="V175" s="54" t="s">
        <v>1980</v>
      </c>
      <c r="W175" s="54" t="b">
        <v>0</v>
      </c>
      <c r="X175" s="54"/>
      <c r="Y175" s="57" t="s">
        <v>1981</v>
      </c>
      <c r="Z175" s="54" t="s">
        <v>1982</v>
      </c>
      <c r="AA175" s="54"/>
      <c r="AB175" s="54" t="s">
        <v>1971</v>
      </c>
      <c r="AC175" s="56" t="b">
        <v>1</v>
      </c>
      <c r="AD175" s="56" t="b">
        <v>0</v>
      </c>
      <c r="AE175" s="54" t="s">
        <v>302</v>
      </c>
      <c r="AF175" s="58">
        <v>46252</v>
      </c>
      <c r="AG175" s="62" t="s">
        <v>293</v>
      </c>
      <c r="AH175" s="54">
        <v>0</v>
      </c>
      <c r="AI175" s="54"/>
      <c r="AJ175" s="54"/>
      <c r="AK175" s="54"/>
      <c r="AL175" s="54"/>
      <c r="AM175" s="54">
        <v>0</v>
      </c>
      <c r="AN175" s="54"/>
      <c r="AO175" s="54"/>
      <c r="AP175" s="54"/>
      <c r="AQ175" s="54"/>
      <c r="AR175" s="54"/>
      <c r="AS175" s="54"/>
      <c r="AT175" s="54"/>
      <c r="AU175" s="54"/>
      <c r="AV175" s="54"/>
      <c r="AW175" s="54"/>
      <c r="AX175" s="59"/>
      <c r="AY175" s="59"/>
      <c r="AZ175" s="59"/>
      <c r="BA175" s="59"/>
      <c r="BB175" s="59">
        <v>5.5E-2</v>
      </c>
      <c r="BC175" s="60">
        <v>4.9000000000000004</v>
      </c>
      <c r="BD175" s="61">
        <v>4.9811000000000001E-2</v>
      </c>
      <c r="BE175" s="62" t="s">
        <v>293</v>
      </c>
      <c r="BF175" s="35">
        <f t="shared" si="245"/>
        <v>4.9000000000000004</v>
      </c>
      <c r="BG175" s="35">
        <f t="shared" si="245"/>
        <v>4.9811000000000001E-2</v>
      </c>
      <c r="BH175" s="35" t="str">
        <f t="shared" si="236"/>
        <v>Low</v>
      </c>
      <c r="BI175" s="110">
        <f t="shared" si="237"/>
        <v>0</v>
      </c>
      <c r="BJ175" s="83" t="str">
        <f>VLOOKUP($F175,REP_Info!$D$6:$H$250,5,FALSE)</f>
        <v/>
      </c>
      <c r="BK175" s="30">
        <f t="shared" si="246"/>
        <v>11.461099999999998</v>
      </c>
      <c r="BL175" s="30">
        <f t="shared" si="246"/>
        <v>10.9711</v>
      </c>
      <c r="BM175" s="30">
        <f t="shared" si="246"/>
        <v>10.726100000000001</v>
      </c>
      <c r="BN175" s="29">
        <f t="shared" si="246"/>
        <v>10.644433333333332</v>
      </c>
      <c r="BO175" s="85" t="str">
        <f t="shared" ref="BO175:BO179" si="250">IFERROR(SUMPRODUCT($BS$7:$CD$7,$BS175:$CD175)/100,"$$$")</f>
        <v>$$$</v>
      </c>
      <c r="BP175" s="88" t="str">
        <f t="shared" si="238"/>
        <v>$$$</v>
      </c>
      <c r="BQ175" s="88" t="str">
        <f t="shared" si="4"/>
        <v>$$$</v>
      </c>
      <c r="BR175" s="88" t="str">
        <f t="shared" si="5"/>
        <v>$$$</v>
      </c>
      <c r="BS175" s="29" t="e">
        <f t="shared" si="247"/>
        <v>#N/A</v>
      </c>
      <c r="BT175" s="29" t="e">
        <f t="shared" si="247"/>
        <v>#N/A</v>
      </c>
      <c r="BU175" s="29" t="e">
        <f t="shared" si="247"/>
        <v>#N/A</v>
      </c>
      <c r="BV175" s="29" t="e">
        <f t="shared" si="247"/>
        <v>#N/A</v>
      </c>
      <c r="BW175" s="29" t="e">
        <f t="shared" si="247"/>
        <v>#N/A</v>
      </c>
      <c r="BX175" s="29" t="e">
        <f t="shared" si="247"/>
        <v>#N/A</v>
      </c>
      <c r="BY175" s="29" t="e">
        <f t="shared" si="247"/>
        <v>#N/A</v>
      </c>
      <c r="BZ175" s="29" t="e">
        <f t="shared" si="247"/>
        <v>#N/A</v>
      </c>
      <c r="CA175" s="29" t="e">
        <f t="shared" si="247"/>
        <v>#N/A</v>
      </c>
      <c r="CB175" s="29" t="e">
        <f t="shared" si="247"/>
        <v>#N/A</v>
      </c>
      <c r="CC175" s="29" t="e">
        <f t="shared" si="247"/>
        <v>#N/A</v>
      </c>
      <c r="CD175" s="29" t="e">
        <f t="shared" si="247"/>
        <v>#N/A</v>
      </c>
      <c r="CE175" s="6" t="str">
        <f t="shared" si="220"/>
        <v/>
      </c>
      <c r="CF175" s="27" t="e">
        <f>IF(AND(CI175,NOT(AD175)),LOOKUP(CF$5,{0,750,1500},H175:J175),"")</f>
        <v>#N/A</v>
      </c>
      <c r="CG175" s="6" t="str">
        <f t="shared" si="221"/>
        <v/>
      </c>
      <c r="CH175" t="e">
        <f t="shared" si="239"/>
        <v>#N/A</v>
      </c>
      <c r="CI175" t="e">
        <f t="shared" si="240"/>
        <v>#N/A</v>
      </c>
      <c r="CJ175" s="6" t="e">
        <f t="shared" ref="CJ175:CJ179" si="251">IF($E175=CJ$5,1,0)</f>
        <v>#N/A</v>
      </c>
      <c r="CK175" s="6">
        <f t="shared" ref="CK175:CK179" si="252">IF(CK$5="[Any]",1,IF($F175=CK$5,1,0))</f>
        <v>1</v>
      </c>
      <c r="CL175" s="6">
        <f t="shared" si="248"/>
        <v>1</v>
      </c>
      <c r="CM175" s="6">
        <f t="shared" ref="CM175:CM179" si="253">IF($O175="Fixed",1,0)</f>
        <v>1</v>
      </c>
      <c r="CN175" s="6">
        <f t="shared" ref="CN175:CN179" si="254">IF($Q175&gt;=CN$5,1,0)</f>
        <v>0</v>
      </c>
      <c r="CO175" s="6">
        <f t="shared" ref="CO175:CO179" si="255">IF($Q175&lt;=CO$5,1,0)</f>
        <v>1</v>
      </c>
      <c r="CP175" s="6">
        <f t="shared" ref="CP175:CP179" si="256">IF($P175&gt;=CP$5,1,0)</f>
        <v>1</v>
      </c>
      <c r="CQ175" s="6">
        <f t="shared" si="241"/>
        <v>1</v>
      </c>
      <c r="CR175" s="81" t="str">
        <f t="shared" ref="CR175:CR179" si="257">IF(ISNUMBER($CH175),$CH175+$CS175+$CW175,"")</f>
        <v/>
      </c>
      <c r="CS175">
        <f t="shared" si="242"/>
        <v>25.2</v>
      </c>
      <c r="CT175">
        <f t="shared" si="19"/>
        <v>75</v>
      </c>
      <c r="CU175" t="str">
        <f t="shared" si="249"/>
        <v/>
      </c>
      <c r="CV175" s="81">
        <f t="shared" si="243"/>
        <v>75</v>
      </c>
      <c r="CW175" s="81">
        <f>(CV175/25)^1.5*(Calculator!$BU$4/10000)*CW$5</f>
        <v>13.417016347585319</v>
      </c>
      <c r="CX175" t="str">
        <f t="shared" si="244"/>
        <v>$75</v>
      </c>
    </row>
    <row r="176" spans="2:102" x14ac:dyDescent="0.25">
      <c r="B176" s="115" t="s">
        <v>233</v>
      </c>
      <c r="C176" s="13">
        <v>46252.407638888886</v>
      </c>
      <c r="D176">
        <v>37460</v>
      </c>
      <c r="E176" s="54" t="s">
        <v>235</v>
      </c>
      <c r="F176" s="54" t="s">
        <v>528</v>
      </c>
      <c r="G176" s="54" t="s">
        <v>2007</v>
      </c>
      <c r="H176" s="55">
        <v>10.9</v>
      </c>
      <c r="I176" s="55">
        <v>10.4</v>
      </c>
      <c r="J176" s="55">
        <v>10.100000000000001</v>
      </c>
      <c r="K176" s="54"/>
      <c r="L176" s="56" t="b">
        <v>0</v>
      </c>
      <c r="M176" s="56" t="b">
        <v>0</v>
      </c>
      <c r="N176" s="54">
        <v>1</v>
      </c>
      <c r="O176" s="54" t="s">
        <v>228</v>
      </c>
      <c r="P176" s="54">
        <v>24</v>
      </c>
      <c r="Q176" s="54">
        <v>3</v>
      </c>
      <c r="R176" s="54">
        <v>75</v>
      </c>
      <c r="S176" s="54" t="s">
        <v>1966</v>
      </c>
      <c r="T176" s="54" t="s">
        <v>2008</v>
      </c>
      <c r="U176" s="54" t="s">
        <v>2129</v>
      </c>
      <c r="V176" s="54" t="s">
        <v>2135</v>
      </c>
      <c r="W176" s="54" t="b">
        <v>0</v>
      </c>
      <c r="X176" s="54"/>
      <c r="Y176" s="57" t="s">
        <v>2136</v>
      </c>
      <c r="Z176" s="54" t="s">
        <v>2009</v>
      </c>
      <c r="AA176" s="54"/>
      <c r="AB176" s="54" t="s">
        <v>1971</v>
      </c>
      <c r="AC176" s="56" t="b">
        <v>1</v>
      </c>
      <c r="AD176" s="56" t="b">
        <v>0</v>
      </c>
      <c r="AE176" s="54" t="s">
        <v>302</v>
      </c>
      <c r="AF176" s="58">
        <v>46252</v>
      </c>
      <c r="AG176" s="62" t="s">
        <v>293</v>
      </c>
      <c r="AH176" s="54">
        <v>0</v>
      </c>
      <c r="AI176" s="54"/>
      <c r="AJ176" s="54"/>
      <c r="AK176" s="54"/>
      <c r="AL176" s="54"/>
      <c r="AM176" s="54">
        <v>0</v>
      </c>
      <c r="AN176" s="54"/>
      <c r="AO176" s="54"/>
      <c r="AP176" s="54"/>
      <c r="AQ176" s="54"/>
      <c r="AR176" s="54"/>
      <c r="AS176" s="54"/>
      <c r="AT176" s="54"/>
      <c r="AU176" s="54"/>
      <c r="AV176" s="54"/>
      <c r="AW176" s="54"/>
      <c r="AX176" s="59"/>
      <c r="AY176" s="59"/>
      <c r="AZ176" s="59"/>
      <c r="BA176" s="59"/>
      <c r="BB176" s="59">
        <v>4.9000000000000002E-2</v>
      </c>
      <c r="BC176" s="60">
        <v>4.9000000000000004</v>
      </c>
      <c r="BD176" s="61">
        <v>4.9811000000000001E-2</v>
      </c>
      <c r="BE176" s="62" t="s">
        <v>293</v>
      </c>
      <c r="BF176" s="35">
        <f t="shared" si="245"/>
        <v>4.9000000000000004</v>
      </c>
      <c r="BG176" s="35">
        <f t="shared" si="245"/>
        <v>4.9811000000000001E-2</v>
      </c>
      <c r="BH176" s="35" t="str">
        <f t="shared" si="236"/>
        <v>Low</v>
      </c>
      <c r="BI176" s="110">
        <f t="shared" si="237"/>
        <v>0</v>
      </c>
      <c r="BJ176" s="83" t="str">
        <f>VLOOKUP($F176,REP_Info!$D$6:$H$250,5,FALSE)</f>
        <v/>
      </c>
      <c r="BK176" s="30">
        <f t="shared" si="246"/>
        <v>10.861099999999999</v>
      </c>
      <c r="BL176" s="30">
        <f t="shared" si="246"/>
        <v>10.3711</v>
      </c>
      <c r="BM176" s="30">
        <f t="shared" si="246"/>
        <v>10.126100000000001</v>
      </c>
      <c r="BN176" s="29">
        <f t="shared" si="246"/>
        <v>10.044433333333332</v>
      </c>
      <c r="BO176" s="85" t="str">
        <f t="shared" si="250"/>
        <v>$$$</v>
      </c>
      <c r="BP176" s="88" t="str">
        <f t="shared" si="238"/>
        <v>$$$</v>
      </c>
      <c r="BQ176" s="88" t="str">
        <f t="shared" si="4"/>
        <v>$$$</v>
      </c>
      <c r="BR176" s="88" t="str">
        <f t="shared" si="5"/>
        <v>$$$</v>
      </c>
      <c r="BS176" s="29" t="e">
        <f t="shared" si="247"/>
        <v>#N/A</v>
      </c>
      <c r="BT176" s="29" t="e">
        <f t="shared" si="247"/>
        <v>#N/A</v>
      </c>
      <c r="BU176" s="29" t="e">
        <f t="shared" si="247"/>
        <v>#N/A</v>
      </c>
      <c r="BV176" s="29" t="e">
        <f t="shared" si="247"/>
        <v>#N/A</v>
      </c>
      <c r="BW176" s="29" t="e">
        <f t="shared" si="247"/>
        <v>#N/A</v>
      </c>
      <c r="BX176" s="29" t="e">
        <f t="shared" si="247"/>
        <v>#N/A</v>
      </c>
      <c r="BY176" s="29" t="e">
        <f t="shared" si="247"/>
        <v>#N/A</v>
      </c>
      <c r="BZ176" s="29" t="e">
        <f t="shared" si="247"/>
        <v>#N/A</v>
      </c>
      <c r="CA176" s="29" t="e">
        <f t="shared" si="247"/>
        <v>#N/A</v>
      </c>
      <c r="CB176" s="29" t="e">
        <f t="shared" si="247"/>
        <v>#N/A</v>
      </c>
      <c r="CC176" s="29" t="e">
        <f t="shared" si="247"/>
        <v>#N/A</v>
      </c>
      <c r="CD176" s="29" t="e">
        <f t="shared" si="247"/>
        <v>#N/A</v>
      </c>
      <c r="CE176" s="6" t="str">
        <f t="shared" si="220"/>
        <v/>
      </c>
      <c r="CF176" s="27" t="e">
        <f>IF(AND(CI176,NOT(AD176)),LOOKUP(CF$5,{0,750,1500},H176:J176),"")</f>
        <v>#N/A</v>
      </c>
      <c r="CG176" s="6" t="str">
        <f t="shared" si="221"/>
        <v/>
      </c>
      <c r="CH176" t="e">
        <f t="shared" si="239"/>
        <v>#N/A</v>
      </c>
      <c r="CI176" t="e">
        <f t="shared" si="240"/>
        <v>#N/A</v>
      </c>
      <c r="CJ176" s="6" t="e">
        <f t="shared" si="251"/>
        <v>#N/A</v>
      </c>
      <c r="CK176" s="6">
        <f t="shared" si="252"/>
        <v>1</v>
      </c>
      <c r="CL176" s="6">
        <f t="shared" si="248"/>
        <v>1</v>
      </c>
      <c r="CM176" s="6">
        <f t="shared" si="253"/>
        <v>1</v>
      </c>
      <c r="CN176" s="6">
        <f t="shared" si="254"/>
        <v>0</v>
      </c>
      <c r="CO176" s="6">
        <f t="shared" si="255"/>
        <v>1</v>
      </c>
      <c r="CP176" s="6">
        <f t="shared" si="256"/>
        <v>1</v>
      </c>
      <c r="CQ176" s="6">
        <f t="shared" si="241"/>
        <v>1</v>
      </c>
      <c r="CR176" s="81" t="str">
        <f t="shared" si="257"/>
        <v/>
      </c>
      <c r="CS176">
        <f t="shared" si="242"/>
        <v>54</v>
      </c>
      <c r="CT176">
        <f t="shared" si="19"/>
        <v>75</v>
      </c>
      <c r="CU176" t="str">
        <f t="shared" si="249"/>
        <v/>
      </c>
      <c r="CV176" s="81">
        <f t="shared" si="243"/>
        <v>75</v>
      </c>
      <c r="CW176" s="81">
        <f>(CV176/25)^1.5*(Calculator!$BU$4/10000)*CW$5</f>
        <v>13.417016347585319</v>
      </c>
      <c r="CX176" t="str">
        <f t="shared" si="244"/>
        <v>$75</v>
      </c>
    </row>
    <row r="177" spans="2:102" x14ac:dyDescent="0.25">
      <c r="B177" s="115" t="s">
        <v>233</v>
      </c>
      <c r="C177" s="13">
        <v>46252.407638888886</v>
      </c>
      <c r="D177">
        <v>33783</v>
      </c>
      <c r="E177" s="54" t="s">
        <v>235</v>
      </c>
      <c r="F177" s="54" t="s">
        <v>529</v>
      </c>
      <c r="G177" s="54" t="s">
        <v>530</v>
      </c>
      <c r="H177" s="55">
        <v>11.899999999999999</v>
      </c>
      <c r="I177" s="55">
        <v>11.200000000000001</v>
      </c>
      <c r="J177" s="55">
        <v>10.9</v>
      </c>
      <c r="K177" s="54"/>
      <c r="L177" s="56" t="b">
        <v>0</v>
      </c>
      <c r="M177" s="56" t="b">
        <v>0</v>
      </c>
      <c r="N177" s="54">
        <v>0</v>
      </c>
      <c r="O177" s="54" t="s">
        <v>238</v>
      </c>
      <c r="P177" s="54">
        <v>24</v>
      </c>
      <c r="Q177" s="54">
        <v>1</v>
      </c>
      <c r="R177" s="54">
        <v>0</v>
      </c>
      <c r="S177" s="54" t="s">
        <v>531</v>
      </c>
      <c r="T177" s="54" t="s">
        <v>532</v>
      </c>
      <c r="U177" s="54" t="s">
        <v>533</v>
      </c>
      <c r="V177" s="54" t="s">
        <v>534</v>
      </c>
      <c r="W177" s="54" t="b">
        <v>0</v>
      </c>
      <c r="X177" s="54"/>
      <c r="Y177" s="57" t="s">
        <v>2137</v>
      </c>
      <c r="Z177" s="54" t="s">
        <v>2138</v>
      </c>
      <c r="AA177" s="54"/>
      <c r="AB177" s="54" t="s">
        <v>535</v>
      </c>
      <c r="AC177" s="56" t="b">
        <v>0</v>
      </c>
      <c r="AD177" s="56" t="b">
        <v>0</v>
      </c>
      <c r="AE177" s="54"/>
      <c r="AF177" s="58"/>
      <c r="AG177" s="62" t="s">
        <v>293</v>
      </c>
      <c r="AH177" s="54"/>
      <c r="AI177" s="54"/>
      <c r="AJ177" s="54"/>
      <c r="AK177" s="54"/>
      <c r="AL177" s="54"/>
      <c r="AM177" s="54">
        <v>0</v>
      </c>
      <c r="AN177" s="54"/>
      <c r="AO177" s="54"/>
      <c r="AP177" s="54"/>
      <c r="AQ177" s="54"/>
      <c r="AR177" s="54"/>
      <c r="AS177" s="54"/>
      <c r="AT177" s="54"/>
      <c r="AU177" s="54"/>
      <c r="AV177" s="54"/>
      <c r="AW177" s="54"/>
      <c r="AX177" s="59"/>
      <c r="AY177" s="59"/>
      <c r="AZ177" s="59"/>
      <c r="BA177" s="59"/>
      <c r="BB177" s="59"/>
      <c r="BC177" s="60"/>
      <c r="BD177" s="61"/>
      <c r="BE177" s="62"/>
      <c r="BF177" s="35">
        <f t="shared" si="245"/>
        <v>4.9000000000000004</v>
      </c>
      <c r="BG177" s="35">
        <f t="shared" si="245"/>
        <v>4.9811000000000001E-2</v>
      </c>
      <c r="BH177" s="35" t="str">
        <f t="shared" si="236"/>
        <v>?</v>
      </c>
      <c r="BI177" s="110" t="str">
        <f t="shared" si="237"/>
        <v/>
      </c>
      <c r="BJ177" s="83">
        <f>VLOOKUP($F177,REP_Info!$D$6:$H$250,5,FALSE)</f>
        <v>0.123</v>
      </c>
      <c r="BK177" s="30" t="e">
        <f t="shared" si="246"/>
        <v>#N/A</v>
      </c>
      <c r="BL177" s="30" t="e">
        <f t="shared" si="246"/>
        <v>#N/A</v>
      </c>
      <c r="BM177" s="30" t="e">
        <f t="shared" si="246"/>
        <v>#N/A</v>
      </c>
      <c r="BN177" s="29" t="e">
        <f t="shared" si="246"/>
        <v>#N/A</v>
      </c>
      <c r="BO177" s="85" t="str">
        <f t="shared" si="250"/>
        <v>$$$</v>
      </c>
      <c r="BP177" s="88" t="str">
        <f t="shared" si="238"/>
        <v>$$$</v>
      </c>
      <c r="BQ177" s="88" t="str">
        <f t="shared" ref="BQ177:BQ179" si="258">IFERROR(SUMPRODUCT($BS$7:$CD$7,$BS177:$CD177,--($BS$4:$CD$4&lt;=$Q177))/SUMPRODUCT(--($BS$4:$CD$4&lt;=$Q177),$BS$7:$CD$7),"$$$")</f>
        <v>$$$</v>
      </c>
      <c r="BR177" s="88" t="str">
        <f t="shared" ref="BR177:BR179" si="259">IFERROR($BQ177-$BF177*100*SUMPRODUCT(--($BS$4:$CD$4&lt;=$Q177))/SUMPRODUCT(--($BS$4:$CD$4&lt;=$Q177),$BS$7:$CD$7)-$BG177*100,"$$$")</f>
        <v>$$$</v>
      </c>
      <c r="BS177" s="29" t="e">
        <f t="shared" si="247"/>
        <v>#N/A</v>
      </c>
      <c r="BT177" s="29" t="e">
        <f t="shared" si="247"/>
        <v>#N/A</v>
      </c>
      <c r="BU177" s="29" t="e">
        <f t="shared" si="247"/>
        <v>#N/A</v>
      </c>
      <c r="BV177" s="29" t="e">
        <f t="shared" si="247"/>
        <v>#N/A</v>
      </c>
      <c r="BW177" s="29" t="e">
        <f t="shared" si="247"/>
        <v>#N/A</v>
      </c>
      <c r="BX177" s="29" t="e">
        <f t="shared" si="247"/>
        <v>#N/A</v>
      </c>
      <c r="BY177" s="29" t="e">
        <f t="shared" si="247"/>
        <v>#N/A</v>
      </c>
      <c r="BZ177" s="29" t="e">
        <f t="shared" si="247"/>
        <v>#N/A</v>
      </c>
      <c r="CA177" s="29" t="e">
        <f t="shared" si="247"/>
        <v>#N/A</v>
      </c>
      <c r="CB177" s="29" t="e">
        <f t="shared" si="247"/>
        <v>#N/A</v>
      </c>
      <c r="CC177" s="29" t="e">
        <f t="shared" si="247"/>
        <v>#N/A</v>
      </c>
      <c r="CD177" s="29" t="e">
        <f t="shared" si="247"/>
        <v>#N/A</v>
      </c>
      <c r="CE177" s="6" t="str">
        <f t="shared" si="220"/>
        <v/>
      </c>
      <c r="CF177" s="27" t="e">
        <f>IF(AND(CI177,NOT(AD177)),LOOKUP(CF$5,{0,750,1500},H177:J177),"")</f>
        <v>#N/A</v>
      </c>
      <c r="CG177" s="6" t="str">
        <f t="shared" si="221"/>
        <v/>
      </c>
      <c r="CH177" t="e">
        <f t="shared" si="239"/>
        <v>#N/A</v>
      </c>
      <c r="CI177" t="e">
        <f t="shared" si="240"/>
        <v>#N/A</v>
      </c>
      <c r="CJ177" s="6" t="e">
        <f t="shared" si="251"/>
        <v>#N/A</v>
      </c>
      <c r="CK177" s="6">
        <f t="shared" si="252"/>
        <v>1</v>
      </c>
      <c r="CL177" s="6">
        <f t="shared" si="248"/>
        <v>1</v>
      </c>
      <c r="CM177" s="6">
        <f t="shared" si="253"/>
        <v>0</v>
      </c>
      <c r="CN177" s="6">
        <f t="shared" si="254"/>
        <v>0</v>
      </c>
      <c r="CO177" s="6">
        <f t="shared" si="255"/>
        <v>1</v>
      </c>
      <c r="CP177" s="6">
        <f t="shared" si="256"/>
        <v>1</v>
      </c>
      <c r="CQ177" s="6">
        <f t="shared" si="241"/>
        <v>1</v>
      </c>
      <c r="CR177" s="81" t="str">
        <f t="shared" si="257"/>
        <v/>
      </c>
      <c r="CS177">
        <f t="shared" si="242"/>
        <v>198</v>
      </c>
      <c r="CT177">
        <f t="shared" si="19"/>
        <v>0</v>
      </c>
      <c r="CU177" t="str">
        <f t="shared" si="249"/>
        <v/>
      </c>
      <c r="CV177" s="81">
        <f t="shared" si="243"/>
        <v>0</v>
      </c>
      <c r="CW177" s="81">
        <f>(CV177/25)^1.5*(Calculator!$BU$4/10000)*CW$5</f>
        <v>0</v>
      </c>
      <c r="CX177" t="str">
        <f t="shared" si="244"/>
        <v>$0</v>
      </c>
    </row>
    <row r="178" spans="2:102" x14ac:dyDescent="0.25">
      <c r="B178" s="115" t="s">
        <v>233</v>
      </c>
      <c r="C178" s="13">
        <v>46252.407638888886</v>
      </c>
      <c r="D178">
        <v>33784</v>
      </c>
      <c r="E178" s="54" t="s">
        <v>237</v>
      </c>
      <c r="F178" s="54" t="s">
        <v>529</v>
      </c>
      <c r="G178" s="54" t="s">
        <v>530</v>
      </c>
      <c r="H178" s="55">
        <v>12.2</v>
      </c>
      <c r="I178" s="55">
        <v>11.600000000000001</v>
      </c>
      <c r="J178" s="55">
        <v>11.200000000000001</v>
      </c>
      <c r="K178" s="54"/>
      <c r="L178" s="56" t="b">
        <v>0</v>
      </c>
      <c r="M178" s="56" t="b">
        <v>0</v>
      </c>
      <c r="N178" s="54">
        <v>0</v>
      </c>
      <c r="O178" s="54" t="s">
        <v>238</v>
      </c>
      <c r="P178" s="54">
        <v>24</v>
      </c>
      <c r="Q178" s="54">
        <v>1</v>
      </c>
      <c r="R178" s="54">
        <v>0</v>
      </c>
      <c r="S178" s="54" t="s">
        <v>531</v>
      </c>
      <c r="T178" s="54" t="s">
        <v>532</v>
      </c>
      <c r="U178" s="54" t="s">
        <v>533</v>
      </c>
      <c r="V178" s="54" t="s">
        <v>534</v>
      </c>
      <c r="W178" s="54" t="b">
        <v>0</v>
      </c>
      <c r="X178" s="54"/>
      <c r="Y178" s="57" t="s">
        <v>2139</v>
      </c>
      <c r="Z178" s="54" t="s">
        <v>2140</v>
      </c>
      <c r="AA178" s="54"/>
      <c r="AB178" s="54" t="s">
        <v>535</v>
      </c>
      <c r="AC178" s="56" t="b">
        <v>0</v>
      </c>
      <c r="AD178" s="56" t="b">
        <v>0</v>
      </c>
      <c r="AE178" s="54"/>
      <c r="AF178" s="58"/>
      <c r="AG178" s="62" t="s">
        <v>293</v>
      </c>
      <c r="AH178" s="54"/>
      <c r="AI178" s="54"/>
      <c r="AJ178" s="54"/>
      <c r="AK178" s="54"/>
      <c r="AL178" s="54"/>
      <c r="AM178" s="54">
        <v>0</v>
      </c>
      <c r="AN178" s="54"/>
      <c r="AO178" s="54"/>
      <c r="AP178" s="54"/>
      <c r="AQ178" s="54"/>
      <c r="AR178" s="54"/>
      <c r="AS178" s="54"/>
      <c r="AT178" s="54"/>
      <c r="AU178" s="54"/>
      <c r="AV178" s="54"/>
      <c r="AW178" s="54"/>
      <c r="AX178" s="59"/>
      <c r="AY178" s="59"/>
      <c r="AZ178" s="59"/>
      <c r="BA178" s="59"/>
      <c r="BB178" s="59"/>
      <c r="BC178" s="60"/>
      <c r="BD178" s="61"/>
      <c r="BE178" s="62"/>
      <c r="BF178" s="35">
        <f t="shared" si="245"/>
        <v>4.0600000000000005</v>
      </c>
      <c r="BG178" s="35">
        <f t="shared" si="245"/>
        <v>6.0295000000000001E-2</v>
      </c>
      <c r="BH178" s="35" t="str">
        <f t="shared" si="236"/>
        <v>?</v>
      </c>
      <c r="BI178" s="110" t="str">
        <f t="shared" si="237"/>
        <v/>
      </c>
      <c r="BJ178" s="83">
        <f>VLOOKUP($F178,REP_Info!$D$6:$H$250,5,FALSE)</f>
        <v>0.123</v>
      </c>
      <c r="BK178" s="30" t="e">
        <f t="shared" si="246"/>
        <v>#N/A</v>
      </c>
      <c r="BL178" s="30" t="e">
        <f t="shared" si="246"/>
        <v>#N/A</v>
      </c>
      <c r="BM178" s="30" t="e">
        <f t="shared" si="246"/>
        <v>#N/A</v>
      </c>
      <c r="BN178" s="29" t="e">
        <f t="shared" si="246"/>
        <v>#N/A</v>
      </c>
      <c r="BO178" s="85" t="str">
        <f t="shared" si="250"/>
        <v>$$$</v>
      </c>
      <c r="BP178" s="88" t="str">
        <f t="shared" si="238"/>
        <v>$$$</v>
      </c>
      <c r="BQ178" s="88" t="str">
        <f t="shared" si="258"/>
        <v>$$$</v>
      </c>
      <c r="BR178" s="88" t="str">
        <f t="shared" si="259"/>
        <v>$$$</v>
      </c>
      <c r="BS178" s="29" t="e">
        <f t="shared" si="247"/>
        <v>#N/A</v>
      </c>
      <c r="BT178" s="29" t="e">
        <f t="shared" si="247"/>
        <v>#N/A</v>
      </c>
      <c r="BU178" s="29" t="e">
        <f t="shared" si="247"/>
        <v>#N/A</v>
      </c>
      <c r="BV178" s="29" t="e">
        <f t="shared" si="247"/>
        <v>#N/A</v>
      </c>
      <c r="BW178" s="29" t="e">
        <f t="shared" si="247"/>
        <v>#N/A</v>
      </c>
      <c r="BX178" s="29" t="e">
        <f t="shared" si="247"/>
        <v>#N/A</v>
      </c>
      <c r="BY178" s="29" t="e">
        <f t="shared" si="247"/>
        <v>#N/A</v>
      </c>
      <c r="BZ178" s="29" t="e">
        <f t="shared" si="247"/>
        <v>#N/A</v>
      </c>
      <c r="CA178" s="29" t="e">
        <f t="shared" si="247"/>
        <v>#N/A</v>
      </c>
      <c r="CB178" s="29" t="e">
        <f t="shared" si="247"/>
        <v>#N/A</v>
      </c>
      <c r="CC178" s="29" t="e">
        <f t="shared" si="247"/>
        <v>#N/A</v>
      </c>
      <c r="CD178" s="29" t="e">
        <f t="shared" si="247"/>
        <v>#N/A</v>
      </c>
      <c r="CE178" s="6" t="str">
        <f t="shared" si="220"/>
        <v/>
      </c>
      <c r="CF178" s="27" t="e">
        <f>IF(AND(CI178,NOT(AD178)),LOOKUP(CF$5,{0,750,1500},H178:J178),"")</f>
        <v>#N/A</v>
      </c>
      <c r="CG178" s="6" t="str">
        <f t="shared" si="221"/>
        <v/>
      </c>
      <c r="CH178" t="e">
        <f t="shared" si="239"/>
        <v>#N/A</v>
      </c>
      <c r="CI178" t="e">
        <f t="shared" si="240"/>
        <v>#N/A</v>
      </c>
      <c r="CJ178" s="6" t="e">
        <f t="shared" si="251"/>
        <v>#N/A</v>
      </c>
      <c r="CK178" s="6">
        <f t="shared" si="252"/>
        <v>1</v>
      </c>
      <c r="CL178" s="6">
        <f t="shared" si="248"/>
        <v>1</v>
      </c>
      <c r="CM178" s="6">
        <f t="shared" si="253"/>
        <v>0</v>
      </c>
      <c r="CN178" s="6">
        <f t="shared" si="254"/>
        <v>0</v>
      </c>
      <c r="CO178" s="6">
        <f t="shared" si="255"/>
        <v>1</v>
      </c>
      <c r="CP178" s="6">
        <f t="shared" si="256"/>
        <v>1</v>
      </c>
      <c r="CQ178" s="6">
        <f t="shared" si="241"/>
        <v>1</v>
      </c>
      <c r="CR178" s="81" t="str">
        <f t="shared" si="257"/>
        <v/>
      </c>
      <c r="CS178">
        <f t="shared" si="242"/>
        <v>198</v>
      </c>
      <c r="CT178">
        <f t="shared" si="19"/>
        <v>0</v>
      </c>
      <c r="CU178" t="str">
        <f t="shared" si="249"/>
        <v/>
      </c>
      <c r="CV178" s="81">
        <f t="shared" si="243"/>
        <v>0</v>
      </c>
      <c r="CW178" s="81">
        <f>(CV178/25)^1.5*(Calculator!$BU$4/10000)*CW$5</f>
        <v>0</v>
      </c>
      <c r="CX178" t="str">
        <f t="shared" si="244"/>
        <v>$0</v>
      </c>
    </row>
    <row r="179" spans="2:102" x14ac:dyDescent="0.25">
      <c r="B179" s="115" t="s">
        <v>233</v>
      </c>
      <c r="C179" s="13">
        <v>46252.407638888886</v>
      </c>
      <c r="D179">
        <v>33788</v>
      </c>
      <c r="E179" s="54" t="s">
        <v>235</v>
      </c>
      <c r="F179" s="54" t="s">
        <v>529</v>
      </c>
      <c r="G179" s="54" t="s">
        <v>536</v>
      </c>
      <c r="H179" s="55">
        <v>12</v>
      </c>
      <c r="I179" s="55">
        <v>11.3</v>
      </c>
      <c r="J179" s="55">
        <v>11</v>
      </c>
      <c r="K179" s="54"/>
      <c r="L179" s="56" t="b">
        <v>0</v>
      </c>
      <c r="M179" s="56" t="b">
        <v>0</v>
      </c>
      <c r="N179" s="54">
        <v>0</v>
      </c>
      <c r="O179" s="54" t="s">
        <v>238</v>
      </c>
      <c r="P179" s="54">
        <v>100</v>
      </c>
      <c r="Q179" s="54">
        <v>1</v>
      </c>
      <c r="R179" s="54">
        <v>0</v>
      </c>
      <c r="S179" s="54" t="s">
        <v>531</v>
      </c>
      <c r="T179" s="54" t="s">
        <v>537</v>
      </c>
      <c r="U179" s="54" t="s">
        <v>533</v>
      </c>
      <c r="V179" s="54" t="s">
        <v>534</v>
      </c>
      <c r="W179" s="54" t="b">
        <v>0</v>
      </c>
      <c r="X179" s="54"/>
      <c r="Y179" s="57" t="s">
        <v>2141</v>
      </c>
      <c r="Z179" s="54" t="s">
        <v>2142</v>
      </c>
      <c r="AA179" s="54"/>
      <c r="AB179" s="54" t="s">
        <v>535</v>
      </c>
      <c r="AC179" s="56" t="b">
        <v>0</v>
      </c>
      <c r="AD179" s="56" t="b">
        <v>0</v>
      </c>
      <c r="AE179" s="54"/>
      <c r="AF179" s="58"/>
      <c r="AG179" s="62" t="s">
        <v>293</v>
      </c>
      <c r="AH179" s="54"/>
      <c r="AI179" s="54"/>
      <c r="AJ179" s="54"/>
      <c r="AK179" s="54"/>
      <c r="AL179" s="54"/>
      <c r="AM179" s="54">
        <v>0</v>
      </c>
      <c r="AN179" s="54"/>
      <c r="AO179" s="54"/>
      <c r="AP179" s="54"/>
      <c r="AQ179" s="54"/>
      <c r="AR179" s="54"/>
      <c r="AS179" s="54"/>
      <c r="AT179" s="54"/>
      <c r="AU179" s="54"/>
      <c r="AV179" s="54"/>
      <c r="AW179" s="54"/>
      <c r="AX179" s="59"/>
      <c r="AY179" s="59"/>
      <c r="AZ179" s="59"/>
      <c r="BA179" s="59"/>
      <c r="BB179" s="59"/>
      <c r="BC179" s="60"/>
      <c r="BD179" s="61"/>
      <c r="BE179" s="62"/>
      <c r="BF179" s="35">
        <f t="shared" si="245"/>
        <v>4.9000000000000004</v>
      </c>
      <c r="BG179" s="35">
        <f t="shared" si="245"/>
        <v>4.9811000000000001E-2</v>
      </c>
      <c r="BH179" s="35" t="str">
        <f t="shared" si="236"/>
        <v>?</v>
      </c>
      <c r="BI179" s="110" t="str">
        <f t="shared" si="237"/>
        <v/>
      </c>
      <c r="BJ179" s="83">
        <f>VLOOKUP($F179,REP_Info!$D$6:$H$250,5,FALSE)</f>
        <v>0.123</v>
      </c>
      <c r="BK179" s="30" t="e">
        <f t="shared" si="246"/>
        <v>#N/A</v>
      </c>
      <c r="BL179" s="30" t="e">
        <f t="shared" si="246"/>
        <v>#N/A</v>
      </c>
      <c r="BM179" s="30" t="e">
        <f t="shared" si="246"/>
        <v>#N/A</v>
      </c>
      <c r="BN179" s="29" t="e">
        <f t="shared" si="246"/>
        <v>#N/A</v>
      </c>
      <c r="BO179" s="85" t="str">
        <f t="shared" si="250"/>
        <v>$$$</v>
      </c>
      <c r="BP179" s="88" t="str">
        <f t="shared" si="238"/>
        <v>$$$</v>
      </c>
      <c r="BQ179" s="88" t="str">
        <f t="shared" si="258"/>
        <v>$$$</v>
      </c>
      <c r="BR179" s="88" t="str">
        <f t="shared" si="259"/>
        <v>$$$</v>
      </c>
      <c r="BS179" s="29" t="e">
        <f t="shared" si="247"/>
        <v>#N/A</v>
      </c>
      <c r="BT179" s="29" t="e">
        <f t="shared" si="247"/>
        <v>#N/A</v>
      </c>
      <c r="BU179" s="29" t="e">
        <f t="shared" si="247"/>
        <v>#N/A</v>
      </c>
      <c r="BV179" s="29" t="e">
        <f t="shared" si="247"/>
        <v>#N/A</v>
      </c>
      <c r="BW179" s="29" t="e">
        <f t="shared" si="247"/>
        <v>#N/A</v>
      </c>
      <c r="BX179" s="29" t="e">
        <f t="shared" si="247"/>
        <v>#N/A</v>
      </c>
      <c r="BY179" s="29" t="e">
        <f t="shared" si="247"/>
        <v>#N/A</v>
      </c>
      <c r="BZ179" s="29" t="e">
        <f t="shared" si="247"/>
        <v>#N/A</v>
      </c>
      <c r="CA179" s="29" t="e">
        <f t="shared" si="247"/>
        <v>#N/A</v>
      </c>
      <c r="CB179" s="29" t="e">
        <f t="shared" si="247"/>
        <v>#N/A</v>
      </c>
      <c r="CC179" s="29" t="e">
        <f t="shared" si="247"/>
        <v>#N/A</v>
      </c>
      <c r="CD179" s="29" t="e">
        <f t="shared" si="247"/>
        <v>#N/A</v>
      </c>
      <c r="CE179" s="6" t="str">
        <f t="shared" si="220"/>
        <v/>
      </c>
      <c r="CF179" s="27" t="e">
        <f>IF(AND(CI179,NOT(AD179)),LOOKUP(CF$5,{0,750,1500},H179:J179),"")</f>
        <v>#N/A</v>
      </c>
      <c r="CG179" s="6" t="str">
        <f t="shared" si="221"/>
        <v/>
      </c>
      <c r="CH179" t="e">
        <f t="shared" si="239"/>
        <v>#N/A</v>
      </c>
      <c r="CI179" t="e">
        <f t="shared" si="240"/>
        <v>#N/A</v>
      </c>
      <c r="CJ179" s="6" t="e">
        <f t="shared" si="251"/>
        <v>#N/A</v>
      </c>
      <c r="CK179" s="6">
        <f t="shared" si="252"/>
        <v>1</v>
      </c>
      <c r="CL179" s="6">
        <f t="shared" si="248"/>
        <v>1</v>
      </c>
      <c r="CM179" s="6">
        <f t="shared" si="253"/>
        <v>0</v>
      </c>
      <c r="CN179" s="6">
        <f t="shared" si="254"/>
        <v>0</v>
      </c>
      <c r="CO179" s="6">
        <f t="shared" si="255"/>
        <v>1</v>
      </c>
      <c r="CP179" s="6">
        <f t="shared" si="256"/>
        <v>1</v>
      </c>
      <c r="CQ179" s="6">
        <f t="shared" si="241"/>
        <v>1</v>
      </c>
      <c r="CR179" s="81" t="str">
        <f t="shared" si="257"/>
        <v/>
      </c>
      <c r="CS179">
        <f t="shared" si="242"/>
        <v>198</v>
      </c>
      <c r="CT179">
        <f t="shared" si="19"/>
        <v>0</v>
      </c>
      <c r="CU179" t="str">
        <f t="shared" si="249"/>
        <v/>
      </c>
      <c r="CV179" s="81">
        <f t="shared" si="243"/>
        <v>0</v>
      </c>
      <c r="CW179" s="81">
        <f>(CV179/25)^1.5*(Calculator!$BU$4/10000)*CW$5</f>
        <v>0</v>
      </c>
      <c r="CX179" t="str">
        <f t="shared" si="244"/>
        <v>$0</v>
      </c>
    </row>
    <row r="180" spans="2:102" x14ac:dyDescent="0.25">
      <c r="B180" s="115" t="s">
        <v>233</v>
      </c>
      <c r="C180" s="13">
        <v>46252.407638888886</v>
      </c>
      <c r="D180">
        <v>33789</v>
      </c>
      <c r="E180" s="54" t="s">
        <v>237</v>
      </c>
      <c r="F180" s="54" t="s">
        <v>529</v>
      </c>
      <c r="G180" s="54" t="s">
        <v>536</v>
      </c>
      <c r="H180" s="55">
        <v>12.3</v>
      </c>
      <c r="I180" s="55">
        <v>11.700000000000001</v>
      </c>
      <c r="J180" s="55">
        <v>11.4</v>
      </c>
      <c r="K180" s="54"/>
      <c r="L180" s="56" t="b">
        <v>0</v>
      </c>
      <c r="M180" s="56" t="b">
        <v>0</v>
      </c>
      <c r="N180" s="54">
        <v>0</v>
      </c>
      <c r="O180" s="54" t="s">
        <v>238</v>
      </c>
      <c r="P180" s="54">
        <v>100</v>
      </c>
      <c r="Q180" s="54">
        <v>1</v>
      </c>
      <c r="R180" s="54">
        <v>0</v>
      </c>
      <c r="S180" s="54" t="s">
        <v>531</v>
      </c>
      <c r="T180" s="54" t="s">
        <v>537</v>
      </c>
      <c r="U180" s="54" t="s">
        <v>533</v>
      </c>
      <c r="V180" s="54" t="s">
        <v>534</v>
      </c>
      <c r="W180" s="54" t="b">
        <v>0</v>
      </c>
      <c r="X180" s="54"/>
      <c r="Y180" s="57" t="s">
        <v>2143</v>
      </c>
      <c r="Z180" s="54" t="s">
        <v>2144</v>
      </c>
      <c r="AA180" s="54"/>
      <c r="AB180" s="54" t="s">
        <v>535</v>
      </c>
      <c r="AC180" s="56" t="b">
        <v>0</v>
      </c>
      <c r="AD180" s="56" t="b">
        <v>0</v>
      </c>
      <c r="AE180" s="54"/>
      <c r="AF180" s="58"/>
      <c r="AG180" s="62" t="s">
        <v>293</v>
      </c>
      <c r="AH180" s="54"/>
      <c r="AI180" s="54"/>
      <c r="AJ180" s="54"/>
      <c r="AK180" s="54"/>
      <c r="AL180" s="54"/>
      <c r="AM180" s="54">
        <v>0</v>
      </c>
      <c r="AN180" s="54"/>
      <c r="AO180" s="54"/>
      <c r="AP180" s="54"/>
      <c r="AQ180" s="54"/>
      <c r="AR180" s="54"/>
      <c r="AS180" s="54"/>
      <c r="AT180" s="54"/>
      <c r="AU180" s="54"/>
      <c r="AV180" s="54"/>
      <c r="AW180" s="54"/>
      <c r="AX180" s="59"/>
      <c r="AY180" s="59"/>
      <c r="AZ180" s="59"/>
      <c r="BA180" s="59"/>
      <c r="BB180" s="59"/>
      <c r="BC180" s="60"/>
      <c r="BD180" s="61"/>
      <c r="BE180" s="62"/>
      <c r="BF180" s="35">
        <f t="shared" ref="BF180:BG185" si="260">IF($E180=$E$4,BF$4,IF($E180=$E$5,BF$5,""))</f>
        <v>4.0600000000000005</v>
      </c>
      <c r="BG180" s="35">
        <f t="shared" si="260"/>
        <v>6.0295000000000001E-2</v>
      </c>
      <c r="BH180" s="35" t="str">
        <f t="shared" ref="BH180:BH185" si="261">IF(ISTEXT(BE180),IF(AND(AV180=0,SUM(AN180:AQ180)=0),IF(AM180&lt;=0,IF(BE180="Y","Low","Flat"),"Med"),"High"),"?")</f>
        <v>?</v>
      </c>
      <c r="BI180" s="110" t="str">
        <f t="shared" ref="BI180:BI185" si="262">IF(ISNUMBER(AH180),0*BI$5*SIN((EDATE($A$3,$Q180)-DATE(YEAR(EDATE($A$3,$Q180)),1,0)-BI$4)*2*PI()/365),"")</f>
        <v/>
      </c>
      <c r="BJ180" s="83">
        <f>VLOOKUP($F180,REP_Info!$D$6:$H$250,5,FALSE)</f>
        <v>0.123</v>
      </c>
      <c r="BK180" s="30" t="e">
        <f t="shared" ref="BK180:BN185" si="263">IF(BK$7&gt;0,(LOOKUP(BK$7,$AH180:$AL180,$AM180:$AQ180)+IF($AG180="Y",SUMPRODUCT($AX180:$BB180-$AW180:$BA180,BK$7-$AR180:$AV180,N(BK$7&gt;$AR180:$AV180)),BK$7*LOOKUP(BK$7,$AR180:$AV180,$AX180:$BB180))+IF($BE180="Y",$BF180,$BC180)+BK$7*IF($BE180="Y",$BG180,$BD180))*100/BK$7,"")</f>
        <v>#N/A</v>
      </c>
      <c r="BL180" s="30" t="e">
        <f t="shared" si="263"/>
        <v>#N/A</v>
      </c>
      <c r="BM180" s="30" t="e">
        <f t="shared" si="263"/>
        <v>#N/A</v>
      </c>
      <c r="BN180" s="29" t="e">
        <f t="shared" si="263"/>
        <v>#N/A</v>
      </c>
      <c r="BO180" s="85" t="str">
        <f t="shared" si="2"/>
        <v>$$$</v>
      </c>
      <c r="BP180" s="88" t="str">
        <f t="shared" ref="BP180:BP185" si="264">IFERROR(BO180*100/BO$5,"$$$")</f>
        <v>$$$</v>
      </c>
      <c r="BQ180" s="88" t="str">
        <f t="shared" si="4"/>
        <v>$$$</v>
      </c>
      <c r="BR180" s="88" t="str">
        <f t="shared" si="5"/>
        <v>$$$</v>
      </c>
      <c r="BS180" s="29" t="e">
        <f t="shared" ref="BS180:CD185" si="265">IF($CI180,IF(BS$7&gt;0,IF(BS$4&gt;$Q180,$BF180+BS$7*(BS$5+$BG180+$BI180),LOOKUP(BS$7,$AH180:$AL180,$AM180:$AQ180)+IF($AG180="Y",SUMPRODUCT($AX180:$BB180-$AW180:$BA180,BS$7-$AR180:$AV180,N(BS$7&gt;$AR180:$AV180)),BS$7*LOOKUP(BS$7,$AR180:$AV180,$AX180:$BB180))+IF($BE180="Y",$BF180,$BC180)+BS$7*IF($BE180="Y",$BG180,$BD180))*100/BS$7,""),NA())</f>
        <v>#N/A</v>
      </c>
      <c r="BT180" s="29" t="e">
        <f t="shared" si="265"/>
        <v>#N/A</v>
      </c>
      <c r="BU180" s="29" t="e">
        <f t="shared" si="265"/>
        <v>#N/A</v>
      </c>
      <c r="BV180" s="29" t="e">
        <f t="shared" si="265"/>
        <v>#N/A</v>
      </c>
      <c r="BW180" s="29" t="e">
        <f t="shared" si="265"/>
        <v>#N/A</v>
      </c>
      <c r="BX180" s="29" t="e">
        <f t="shared" si="265"/>
        <v>#N/A</v>
      </c>
      <c r="BY180" s="29" t="e">
        <f t="shared" si="265"/>
        <v>#N/A</v>
      </c>
      <c r="BZ180" s="29" t="e">
        <f t="shared" si="265"/>
        <v>#N/A</v>
      </c>
      <c r="CA180" s="29" t="e">
        <f t="shared" si="265"/>
        <v>#N/A</v>
      </c>
      <c r="CB180" s="29" t="e">
        <f t="shared" si="265"/>
        <v>#N/A</v>
      </c>
      <c r="CC180" s="29" t="e">
        <f t="shared" si="265"/>
        <v>#N/A</v>
      </c>
      <c r="CD180" s="29" t="e">
        <f t="shared" si="265"/>
        <v>#N/A</v>
      </c>
      <c r="CE180" s="6" t="str">
        <f t="shared" si="220"/>
        <v/>
      </c>
      <c r="CF180" s="27" t="e">
        <f>IF(AND(CI180,NOT(AD180)),LOOKUP(CF$5,{0,750,1500},H180:J180),"")</f>
        <v>#N/A</v>
      </c>
      <c r="CG180" s="6" t="str">
        <f t="shared" si="221"/>
        <v/>
      </c>
      <c r="CH180" t="e">
        <f t="shared" ref="CH180:CH185" si="266">IF(CI180,IF(ISNUMBER(BO180),BO180,100000)+CV180/10000+IF(ISNUMBER(BJ180),BJ180,2)/10000-P180/100000+ROW()/10000000,"")</f>
        <v>#N/A</v>
      </c>
      <c r="CI180" t="e">
        <f t="shared" ref="CI180:CI185" si="267">PRODUCT(CJ180:CQ180)</f>
        <v>#N/A</v>
      </c>
      <c r="CJ180" s="6" t="e">
        <f t="shared" si="11"/>
        <v>#N/A</v>
      </c>
      <c r="CK180" s="6">
        <f t="shared" si="12"/>
        <v>1</v>
      </c>
      <c r="CL180" s="6">
        <f t="shared" ref="CL180:CL185" si="268">IFERROR(--OR(ISBLANK(CL$5),$BJ180="",AND(ISNUMBER($BJ180),$BJ180&lt;=CL$5)),1)</f>
        <v>1</v>
      </c>
      <c r="CM180" s="6">
        <f t="shared" si="13"/>
        <v>0</v>
      </c>
      <c r="CN180" s="6">
        <f t="shared" si="14"/>
        <v>0</v>
      </c>
      <c r="CO180" s="6">
        <f t="shared" si="15"/>
        <v>1</v>
      </c>
      <c r="CP180" s="6">
        <f t="shared" si="16"/>
        <v>1</v>
      </c>
      <c r="CQ180" s="6">
        <f t="shared" ref="CQ180:CQ185" si="269">IF(CQ$5="Any",1,IF(AND(CQ$5="Med",AV180=0,SUM(AN180:AQ180)=0),1,IF(AND(CQ$5="Low",AV180=0,SUM(AN180:AQ180)=0,AM180=0),1,IF(AND(CQ$5="Flat",AV180=0,SUM(AN180:AQ180)=0,AM180=0,IFERROR(NOT(BE180="Y"),0)),1,0))))</f>
        <v>1</v>
      </c>
      <c r="CR180" s="81" t="str">
        <f t="shared" si="17"/>
        <v/>
      </c>
      <c r="CS180">
        <f t="shared" ref="CS180:CS185" si="270">CS$5*(12/(MIN(12,Q180))-1)</f>
        <v>198</v>
      </c>
      <c r="CT180">
        <f t="shared" si="19"/>
        <v>0</v>
      </c>
      <c r="CU180" t="str">
        <f t="shared" ref="CU180:CU185" si="271">IF(AND(ISERR(FIND("remain",$R180)),ISERR(FIND("left",$R180))),"","r")&amp;IF(ISERR(FIND("mon",$R180)),"","m")</f>
        <v/>
      </c>
      <c r="CV180" s="81">
        <f t="shared" ref="CV180:CV185" si="272">CT180*IF(CU180="",1,Q180)</f>
        <v>0</v>
      </c>
      <c r="CW180" s="81">
        <f>(CV180/25)^1.5*(Calculator!$BU$4/10000)*CW$5</f>
        <v>0</v>
      </c>
      <c r="CX180" t="str">
        <f t="shared" ref="CX180:CX185" si="273">"$"&amp;IF(LEFT(CU180,1)="r",CT180&amp;"/"&amp;CU180,CV180)</f>
        <v>$0</v>
      </c>
    </row>
    <row r="181" spans="2:102" x14ac:dyDescent="0.25">
      <c r="B181" s="115" t="s">
        <v>233</v>
      </c>
      <c r="C181" s="13">
        <v>46252.407638888886</v>
      </c>
      <c r="D181">
        <v>33793</v>
      </c>
      <c r="E181" s="54" t="s">
        <v>235</v>
      </c>
      <c r="F181" s="54" t="s">
        <v>529</v>
      </c>
      <c r="G181" s="54" t="s">
        <v>538</v>
      </c>
      <c r="H181" s="55">
        <v>12.3</v>
      </c>
      <c r="I181" s="55">
        <v>11.3</v>
      </c>
      <c r="J181" s="55">
        <v>10.8</v>
      </c>
      <c r="K181" s="54"/>
      <c r="L181" s="56" t="b">
        <v>0</v>
      </c>
      <c r="M181" s="56" t="b">
        <v>0</v>
      </c>
      <c r="N181" s="54">
        <v>0</v>
      </c>
      <c r="O181" s="54" t="s">
        <v>238</v>
      </c>
      <c r="P181" s="54">
        <v>100</v>
      </c>
      <c r="Q181" s="54">
        <v>1</v>
      </c>
      <c r="R181" s="54">
        <v>0</v>
      </c>
      <c r="S181" s="54" t="s">
        <v>531</v>
      </c>
      <c r="T181" s="54" t="s">
        <v>537</v>
      </c>
      <c r="U181" s="54" t="s">
        <v>533</v>
      </c>
      <c r="V181" s="54" t="s">
        <v>534</v>
      </c>
      <c r="W181" s="54" t="b">
        <v>0</v>
      </c>
      <c r="X181" s="54"/>
      <c r="Y181" s="57" t="s">
        <v>2145</v>
      </c>
      <c r="Z181" s="54" t="s">
        <v>2146</v>
      </c>
      <c r="AA181" s="54"/>
      <c r="AB181" s="54" t="s">
        <v>535</v>
      </c>
      <c r="AC181" s="56" t="b">
        <v>0</v>
      </c>
      <c r="AD181" s="56" t="b">
        <v>0</v>
      </c>
      <c r="AE181" s="54"/>
      <c r="AF181" s="58"/>
      <c r="AG181" s="62" t="s">
        <v>293</v>
      </c>
      <c r="AH181" s="54"/>
      <c r="AI181" s="54"/>
      <c r="AJ181" s="54"/>
      <c r="AK181" s="54"/>
      <c r="AL181" s="54"/>
      <c r="AM181" s="54">
        <v>0</v>
      </c>
      <c r="AN181" s="54"/>
      <c r="AO181" s="54"/>
      <c r="AP181" s="54"/>
      <c r="AQ181" s="54"/>
      <c r="AR181" s="54"/>
      <c r="AS181" s="54"/>
      <c r="AT181" s="54"/>
      <c r="AU181" s="54"/>
      <c r="AV181" s="54"/>
      <c r="AW181" s="54"/>
      <c r="AX181" s="59"/>
      <c r="AY181" s="59"/>
      <c r="AZ181" s="59"/>
      <c r="BA181" s="59"/>
      <c r="BB181" s="59"/>
      <c r="BC181" s="60"/>
      <c r="BD181" s="61"/>
      <c r="BE181" s="62"/>
      <c r="BF181" s="35">
        <f t="shared" si="260"/>
        <v>4.9000000000000004</v>
      </c>
      <c r="BG181" s="35">
        <f t="shared" si="260"/>
        <v>4.9811000000000001E-2</v>
      </c>
      <c r="BH181" s="35" t="str">
        <f t="shared" si="261"/>
        <v>?</v>
      </c>
      <c r="BI181" s="110" t="str">
        <f t="shared" si="262"/>
        <v/>
      </c>
      <c r="BJ181" s="83">
        <f>VLOOKUP($F181,REP_Info!$D$6:$H$250,5,FALSE)</f>
        <v>0.123</v>
      </c>
      <c r="BK181" s="30" t="e">
        <f t="shared" si="263"/>
        <v>#N/A</v>
      </c>
      <c r="BL181" s="30" t="e">
        <f t="shared" si="263"/>
        <v>#N/A</v>
      </c>
      <c r="BM181" s="30" t="e">
        <f t="shared" si="263"/>
        <v>#N/A</v>
      </c>
      <c r="BN181" s="29" t="e">
        <f t="shared" si="263"/>
        <v>#N/A</v>
      </c>
      <c r="BO181" s="85" t="str">
        <f t="shared" si="2"/>
        <v>$$$</v>
      </c>
      <c r="BP181" s="88" t="str">
        <f t="shared" si="264"/>
        <v>$$$</v>
      </c>
      <c r="BQ181" s="88" t="str">
        <f t="shared" si="4"/>
        <v>$$$</v>
      </c>
      <c r="BR181" s="88" t="str">
        <f t="shared" si="5"/>
        <v>$$$</v>
      </c>
      <c r="BS181" s="29" t="e">
        <f t="shared" si="265"/>
        <v>#N/A</v>
      </c>
      <c r="BT181" s="29" t="e">
        <f t="shared" si="265"/>
        <v>#N/A</v>
      </c>
      <c r="BU181" s="29" t="e">
        <f t="shared" si="265"/>
        <v>#N/A</v>
      </c>
      <c r="BV181" s="29" t="e">
        <f t="shared" si="265"/>
        <v>#N/A</v>
      </c>
      <c r="BW181" s="29" t="e">
        <f t="shared" si="265"/>
        <v>#N/A</v>
      </c>
      <c r="BX181" s="29" t="e">
        <f t="shared" si="265"/>
        <v>#N/A</v>
      </c>
      <c r="BY181" s="29" t="e">
        <f t="shared" si="265"/>
        <v>#N/A</v>
      </c>
      <c r="BZ181" s="29" t="e">
        <f t="shared" si="265"/>
        <v>#N/A</v>
      </c>
      <c r="CA181" s="29" t="e">
        <f t="shared" si="265"/>
        <v>#N/A</v>
      </c>
      <c r="CB181" s="29" t="e">
        <f t="shared" si="265"/>
        <v>#N/A</v>
      </c>
      <c r="CC181" s="29" t="e">
        <f t="shared" si="265"/>
        <v>#N/A</v>
      </c>
      <c r="CD181" s="29" t="e">
        <f t="shared" si="265"/>
        <v>#N/A</v>
      </c>
      <c r="CE181" s="6" t="str">
        <f t="shared" si="220"/>
        <v/>
      </c>
      <c r="CF181" s="27" t="e">
        <f>IF(AND(CI181,NOT(AD181)),LOOKUP(CF$5,{0,750,1500},H181:J181),"")</f>
        <v>#N/A</v>
      </c>
      <c r="CG181" s="6" t="str">
        <f t="shared" si="221"/>
        <v/>
      </c>
      <c r="CH181" t="e">
        <f t="shared" si="266"/>
        <v>#N/A</v>
      </c>
      <c r="CI181" t="e">
        <f t="shared" si="267"/>
        <v>#N/A</v>
      </c>
      <c r="CJ181" s="6" t="e">
        <f t="shared" si="11"/>
        <v>#N/A</v>
      </c>
      <c r="CK181" s="6">
        <f t="shared" si="12"/>
        <v>1</v>
      </c>
      <c r="CL181" s="6">
        <f t="shared" si="268"/>
        <v>1</v>
      </c>
      <c r="CM181" s="6">
        <f t="shared" si="13"/>
        <v>0</v>
      </c>
      <c r="CN181" s="6">
        <f t="shared" si="14"/>
        <v>0</v>
      </c>
      <c r="CO181" s="6">
        <f t="shared" si="15"/>
        <v>1</v>
      </c>
      <c r="CP181" s="6">
        <f t="shared" si="16"/>
        <v>1</v>
      </c>
      <c r="CQ181" s="6">
        <f t="shared" si="269"/>
        <v>1</v>
      </c>
      <c r="CR181" s="81" t="str">
        <f t="shared" si="17"/>
        <v/>
      </c>
      <c r="CS181">
        <f t="shared" si="270"/>
        <v>198</v>
      </c>
      <c r="CT181">
        <f t="shared" si="19"/>
        <v>0</v>
      </c>
      <c r="CU181" t="str">
        <f t="shared" si="271"/>
        <v/>
      </c>
      <c r="CV181" s="81">
        <f t="shared" si="272"/>
        <v>0</v>
      </c>
      <c r="CW181" s="81">
        <f>(CV181/25)^1.5*(Calculator!$BU$4/10000)*CW$5</f>
        <v>0</v>
      </c>
      <c r="CX181" t="str">
        <f t="shared" si="273"/>
        <v>$0</v>
      </c>
    </row>
    <row r="182" spans="2:102" x14ac:dyDescent="0.25">
      <c r="B182" s="115" t="s">
        <v>233</v>
      </c>
      <c r="C182" s="13">
        <v>46252.407638888886</v>
      </c>
      <c r="D182">
        <v>33794</v>
      </c>
      <c r="E182" s="54" t="s">
        <v>237</v>
      </c>
      <c r="F182" s="54" t="s">
        <v>529</v>
      </c>
      <c r="G182" s="54" t="s">
        <v>538</v>
      </c>
      <c r="H182" s="55">
        <v>12.6</v>
      </c>
      <c r="I182" s="55">
        <v>11.700000000000001</v>
      </c>
      <c r="J182" s="55">
        <v>11.3</v>
      </c>
      <c r="K182" s="54"/>
      <c r="L182" s="56" t="b">
        <v>0</v>
      </c>
      <c r="M182" s="56" t="b">
        <v>0</v>
      </c>
      <c r="N182" s="54">
        <v>0</v>
      </c>
      <c r="O182" s="54" t="s">
        <v>238</v>
      </c>
      <c r="P182" s="54">
        <v>100</v>
      </c>
      <c r="Q182" s="54">
        <v>1</v>
      </c>
      <c r="R182" s="54">
        <v>0</v>
      </c>
      <c r="S182" s="54" t="s">
        <v>531</v>
      </c>
      <c r="T182" s="54" t="s">
        <v>537</v>
      </c>
      <c r="U182" s="54" t="s">
        <v>533</v>
      </c>
      <c r="V182" s="54" t="s">
        <v>534</v>
      </c>
      <c r="W182" s="54" t="b">
        <v>0</v>
      </c>
      <c r="X182" s="54"/>
      <c r="Y182" s="57" t="s">
        <v>2147</v>
      </c>
      <c r="Z182" s="54" t="s">
        <v>2148</v>
      </c>
      <c r="AA182" s="54"/>
      <c r="AB182" s="54" t="s">
        <v>535</v>
      </c>
      <c r="AC182" s="56" t="b">
        <v>0</v>
      </c>
      <c r="AD182" s="56" t="b">
        <v>0</v>
      </c>
      <c r="AE182" s="54"/>
      <c r="AF182" s="58"/>
      <c r="AG182" s="62" t="s">
        <v>293</v>
      </c>
      <c r="AH182" s="54"/>
      <c r="AI182" s="54"/>
      <c r="AJ182" s="54"/>
      <c r="AK182" s="54"/>
      <c r="AL182" s="54"/>
      <c r="AM182" s="54">
        <v>0</v>
      </c>
      <c r="AN182" s="54"/>
      <c r="AO182" s="54"/>
      <c r="AP182" s="54"/>
      <c r="AQ182" s="54"/>
      <c r="AR182" s="54"/>
      <c r="AS182" s="54"/>
      <c r="AT182" s="54"/>
      <c r="AU182" s="54"/>
      <c r="AV182" s="54"/>
      <c r="AW182" s="54"/>
      <c r="AX182" s="59"/>
      <c r="AY182" s="59"/>
      <c r="AZ182" s="59"/>
      <c r="BA182" s="59"/>
      <c r="BB182" s="59"/>
      <c r="BC182" s="60"/>
      <c r="BD182" s="61"/>
      <c r="BE182" s="62"/>
      <c r="BF182" s="35">
        <f t="shared" si="260"/>
        <v>4.0600000000000005</v>
      </c>
      <c r="BG182" s="35">
        <f t="shared" si="260"/>
        <v>6.0295000000000001E-2</v>
      </c>
      <c r="BH182" s="35" t="str">
        <f t="shared" si="261"/>
        <v>?</v>
      </c>
      <c r="BI182" s="110" t="str">
        <f t="shared" si="262"/>
        <v/>
      </c>
      <c r="BJ182" s="83">
        <f>VLOOKUP($F182,REP_Info!$D$6:$H$250,5,FALSE)</f>
        <v>0.123</v>
      </c>
      <c r="BK182" s="30" t="e">
        <f t="shared" si="263"/>
        <v>#N/A</v>
      </c>
      <c r="BL182" s="30" t="e">
        <f t="shared" si="263"/>
        <v>#N/A</v>
      </c>
      <c r="BM182" s="30" t="e">
        <f t="shared" si="263"/>
        <v>#N/A</v>
      </c>
      <c r="BN182" s="29" t="e">
        <f t="shared" si="263"/>
        <v>#N/A</v>
      </c>
      <c r="BO182" s="85" t="str">
        <f t="shared" si="2"/>
        <v>$$$</v>
      </c>
      <c r="BP182" s="88" t="str">
        <f t="shared" si="264"/>
        <v>$$$</v>
      </c>
      <c r="BQ182" s="88" t="str">
        <f t="shared" si="4"/>
        <v>$$$</v>
      </c>
      <c r="BR182" s="88" t="str">
        <f t="shared" si="5"/>
        <v>$$$</v>
      </c>
      <c r="BS182" s="29" t="e">
        <f t="shared" si="265"/>
        <v>#N/A</v>
      </c>
      <c r="BT182" s="29" t="e">
        <f t="shared" si="265"/>
        <v>#N/A</v>
      </c>
      <c r="BU182" s="29" t="e">
        <f t="shared" si="265"/>
        <v>#N/A</v>
      </c>
      <c r="BV182" s="29" t="e">
        <f t="shared" si="265"/>
        <v>#N/A</v>
      </c>
      <c r="BW182" s="29" t="e">
        <f t="shared" si="265"/>
        <v>#N/A</v>
      </c>
      <c r="BX182" s="29" t="e">
        <f t="shared" si="265"/>
        <v>#N/A</v>
      </c>
      <c r="BY182" s="29" t="e">
        <f t="shared" si="265"/>
        <v>#N/A</v>
      </c>
      <c r="BZ182" s="29" t="e">
        <f t="shared" si="265"/>
        <v>#N/A</v>
      </c>
      <c r="CA182" s="29" t="e">
        <f t="shared" si="265"/>
        <v>#N/A</v>
      </c>
      <c r="CB182" s="29" t="e">
        <f t="shared" si="265"/>
        <v>#N/A</v>
      </c>
      <c r="CC182" s="29" t="e">
        <f t="shared" si="265"/>
        <v>#N/A</v>
      </c>
      <c r="CD182" s="29" t="e">
        <f t="shared" si="265"/>
        <v>#N/A</v>
      </c>
      <c r="CE182" s="6" t="str">
        <f t="shared" si="220"/>
        <v/>
      </c>
      <c r="CF182" s="27" t="e">
        <f>IF(AND(CI182,NOT(AD182)),LOOKUP(CF$5,{0,750,1500},H182:J182),"")</f>
        <v>#N/A</v>
      </c>
      <c r="CG182" s="6" t="str">
        <f t="shared" si="221"/>
        <v/>
      </c>
      <c r="CH182" t="e">
        <f t="shared" si="266"/>
        <v>#N/A</v>
      </c>
      <c r="CI182" t="e">
        <f t="shared" si="267"/>
        <v>#N/A</v>
      </c>
      <c r="CJ182" s="6" t="e">
        <f t="shared" si="11"/>
        <v>#N/A</v>
      </c>
      <c r="CK182" s="6">
        <f t="shared" si="12"/>
        <v>1</v>
      </c>
      <c r="CL182" s="6">
        <f t="shared" si="268"/>
        <v>1</v>
      </c>
      <c r="CM182" s="6">
        <f t="shared" si="13"/>
        <v>0</v>
      </c>
      <c r="CN182" s="6">
        <f t="shared" si="14"/>
        <v>0</v>
      </c>
      <c r="CO182" s="6">
        <f t="shared" si="15"/>
        <v>1</v>
      </c>
      <c r="CP182" s="6">
        <f t="shared" si="16"/>
        <v>1</v>
      </c>
      <c r="CQ182" s="6">
        <f t="shared" si="269"/>
        <v>1</v>
      </c>
      <c r="CR182" s="81" t="str">
        <f t="shared" si="17"/>
        <v/>
      </c>
      <c r="CS182">
        <f t="shared" si="270"/>
        <v>198</v>
      </c>
      <c r="CT182">
        <f t="shared" si="19"/>
        <v>0</v>
      </c>
      <c r="CU182" t="str">
        <f t="shared" si="271"/>
        <v/>
      </c>
      <c r="CV182" s="81">
        <f t="shared" si="272"/>
        <v>0</v>
      </c>
      <c r="CW182" s="81">
        <f>(CV182/25)^1.5*(Calculator!$BU$4/10000)*CW$5</f>
        <v>0</v>
      </c>
      <c r="CX182" t="str">
        <f t="shared" si="273"/>
        <v>$0</v>
      </c>
    </row>
    <row r="183" spans="2:102" x14ac:dyDescent="0.25">
      <c r="B183" s="115" t="s">
        <v>233</v>
      </c>
      <c r="C183" s="13">
        <v>46252.407638888886</v>
      </c>
      <c r="D183">
        <v>33798</v>
      </c>
      <c r="E183" s="54" t="s">
        <v>235</v>
      </c>
      <c r="F183" s="54" t="s">
        <v>529</v>
      </c>
      <c r="G183" s="54" t="s">
        <v>539</v>
      </c>
      <c r="H183" s="55">
        <v>12.2</v>
      </c>
      <c r="I183" s="55">
        <v>11.200000000000001</v>
      </c>
      <c r="J183" s="55">
        <v>10.7</v>
      </c>
      <c r="K183" s="54"/>
      <c r="L183" s="56" t="b">
        <v>0</v>
      </c>
      <c r="M183" s="56" t="b">
        <v>0</v>
      </c>
      <c r="N183" s="54">
        <v>0</v>
      </c>
      <c r="O183" s="54" t="s">
        <v>238</v>
      </c>
      <c r="P183" s="54">
        <v>24</v>
      </c>
      <c r="Q183" s="54">
        <v>1</v>
      </c>
      <c r="R183" s="54">
        <v>0</v>
      </c>
      <c r="S183" s="54" t="s">
        <v>531</v>
      </c>
      <c r="T183" s="54" t="s">
        <v>532</v>
      </c>
      <c r="U183" s="54" t="s">
        <v>533</v>
      </c>
      <c r="V183" s="54" t="s">
        <v>534</v>
      </c>
      <c r="W183" s="54" t="b">
        <v>0</v>
      </c>
      <c r="X183" s="54"/>
      <c r="Y183" s="57" t="s">
        <v>2149</v>
      </c>
      <c r="Z183" s="54" t="s">
        <v>2150</v>
      </c>
      <c r="AA183" s="54"/>
      <c r="AB183" s="54" t="s">
        <v>535</v>
      </c>
      <c r="AC183" s="56" t="b">
        <v>0</v>
      </c>
      <c r="AD183" s="56" t="b">
        <v>0</v>
      </c>
      <c r="AE183" s="54"/>
      <c r="AF183" s="58"/>
      <c r="AG183" s="62" t="s">
        <v>293</v>
      </c>
      <c r="AH183" s="54"/>
      <c r="AI183" s="54"/>
      <c r="AJ183" s="54"/>
      <c r="AK183" s="54"/>
      <c r="AL183" s="54"/>
      <c r="AM183" s="54">
        <v>0</v>
      </c>
      <c r="AN183" s="54"/>
      <c r="AO183" s="54"/>
      <c r="AP183" s="54"/>
      <c r="AQ183" s="54"/>
      <c r="AR183" s="54"/>
      <c r="AS183" s="54"/>
      <c r="AT183" s="54"/>
      <c r="AU183" s="54"/>
      <c r="AV183" s="54"/>
      <c r="AW183" s="54"/>
      <c r="AX183" s="59"/>
      <c r="AY183" s="59"/>
      <c r="AZ183" s="59"/>
      <c r="BA183" s="59"/>
      <c r="BB183" s="59"/>
      <c r="BC183" s="60"/>
      <c r="BD183" s="61"/>
      <c r="BE183" s="62"/>
      <c r="BF183" s="35">
        <f t="shared" si="260"/>
        <v>4.9000000000000004</v>
      </c>
      <c r="BG183" s="35">
        <f t="shared" si="260"/>
        <v>4.9811000000000001E-2</v>
      </c>
      <c r="BH183" s="35" t="str">
        <f t="shared" si="261"/>
        <v>?</v>
      </c>
      <c r="BI183" s="110" t="str">
        <f t="shared" si="262"/>
        <v/>
      </c>
      <c r="BJ183" s="83">
        <f>VLOOKUP($F183,REP_Info!$D$6:$H$250,5,FALSE)</f>
        <v>0.123</v>
      </c>
      <c r="BK183" s="30" t="e">
        <f t="shared" si="263"/>
        <v>#N/A</v>
      </c>
      <c r="BL183" s="30" t="e">
        <f t="shared" si="263"/>
        <v>#N/A</v>
      </c>
      <c r="BM183" s="30" t="e">
        <f t="shared" si="263"/>
        <v>#N/A</v>
      </c>
      <c r="BN183" s="29" t="e">
        <f t="shared" si="263"/>
        <v>#N/A</v>
      </c>
      <c r="BO183" s="85" t="str">
        <f t="shared" si="2"/>
        <v>$$$</v>
      </c>
      <c r="BP183" s="88" t="str">
        <f t="shared" si="264"/>
        <v>$$$</v>
      </c>
      <c r="BQ183" s="88" t="str">
        <f t="shared" si="4"/>
        <v>$$$</v>
      </c>
      <c r="BR183" s="88" t="str">
        <f t="shared" si="5"/>
        <v>$$$</v>
      </c>
      <c r="BS183" s="29" t="e">
        <f t="shared" si="265"/>
        <v>#N/A</v>
      </c>
      <c r="BT183" s="29" t="e">
        <f t="shared" si="265"/>
        <v>#N/A</v>
      </c>
      <c r="BU183" s="29" t="e">
        <f t="shared" si="265"/>
        <v>#N/A</v>
      </c>
      <c r="BV183" s="29" t="e">
        <f t="shared" si="265"/>
        <v>#N/A</v>
      </c>
      <c r="BW183" s="29" t="e">
        <f t="shared" si="265"/>
        <v>#N/A</v>
      </c>
      <c r="BX183" s="29" t="e">
        <f t="shared" si="265"/>
        <v>#N/A</v>
      </c>
      <c r="BY183" s="29" t="e">
        <f t="shared" si="265"/>
        <v>#N/A</v>
      </c>
      <c r="BZ183" s="29" t="e">
        <f t="shared" si="265"/>
        <v>#N/A</v>
      </c>
      <c r="CA183" s="29" t="e">
        <f t="shared" si="265"/>
        <v>#N/A</v>
      </c>
      <c r="CB183" s="29" t="e">
        <f t="shared" si="265"/>
        <v>#N/A</v>
      </c>
      <c r="CC183" s="29" t="e">
        <f t="shared" si="265"/>
        <v>#N/A</v>
      </c>
      <c r="CD183" s="29" t="e">
        <f t="shared" si="265"/>
        <v>#N/A</v>
      </c>
      <c r="CE183" s="6" t="str">
        <f t="shared" si="220"/>
        <v/>
      </c>
      <c r="CF183" s="27" t="e">
        <f>IF(AND(CI183,NOT(AD183)),LOOKUP(CF$5,{0,750,1500},H183:J183),"")</f>
        <v>#N/A</v>
      </c>
      <c r="CG183" s="6" t="str">
        <f t="shared" si="221"/>
        <v/>
      </c>
      <c r="CH183" t="e">
        <f t="shared" si="266"/>
        <v>#N/A</v>
      </c>
      <c r="CI183" t="e">
        <f t="shared" si="267"/>
        <v>#N/A</v>
      </c>
      <c r="CJ183" s="6" t="e">
        <f t="shared" si="11"/>
        <v>#N/A</v>
      </c>
      <c r="CK183" s="6">
        <f t="shared" si="12"/>
        <v>1</v>
      </c>
      <c r="CL183" s="6">
        <f t="shared" si="268"/>
        <v>1</v>
      </c>
      <c r="CM183" s="6">
        <f t="shared" si="13"/>
        <v>0</v>
      </c>
      <c r="CN183" s="6">
        <f t="shared" si="14"/>
        <v>0</v>
      </c>
      <c r="CO183" s="6">
        <f t="shared" si="15"/>
        <v>1</v>
      </c>
      <c r="CP183" s="6">
        <f t="shared" si="16"/>
        <v>1</v>
      </c>
      <c r="CQ183" s="6">
        <f t="shared" si="269"/>
        <v>1</v>
      </c>
      <c r="CR183" s="81" t="str">
        <f t="shared" si="17"/>
        <v/>
      </c>
      <c r="CS183">
        <f t="shared" si="270"/>
        <v>198</v>
      </c>
      <c r="CT183">
        <f t="shared" si="19"/>
        <v>0</v>
      </c>
      <c r="CU183" t="str">
        <f t="shared" si="271"/>
        <v/>
      </c>
      <c r="CV183" s="81">
        <f t="shared" si="272"/>
        <v>0</v>
      </c>
      <c r="CW183" s="81">
        <f>(CV183/25)^1.5*(Calculator!$BU$4/10000)*CW$5</f>
        <v>0</v>
      </c>
      <c r="CX183" t="str">
        <f t="shared" si="273"/>
        <v>$0</v>
      </c>
    </row>
    <row r="184" spans="2:102" x14ac:dyDescent="0.25">
      <c r="B184" s="115" t="s">
        <v>233</v>
      </c>
      <c r="C184" s="13">
        <v>46252.407638888886</v>
      </c>
      <c r="D184">
        <v>33799</v>
      </c>
      <c r="E184" s="54" t="s">
        <v>237</v>
      </c>
      <c r="F184" s="54" t="s">
        <v>529</v>
      </c>
      <c r="G184" s="54" t="s">
        <v>539</v>
      </c>
      <c r="H184" s="55">
        <v>12.5</v>
      </c>
      <c r="I184" s="55">
        <v>11.600000000000001</v>
      </c>
      <c r="J184" s="55">
        <v>11.1</v>
      </c>
      <c r="K184" s="54"/>
      <c r="L184" s="56" t="b">
        <v>0</v>
      </c>
      <c r="M184" s="56" t="b">
        <v>0</v>
      </c>
      <c r="N184" s="54">
        <v>0</v>
      </c>
      <c r="O184" s="54" t="s">
        <v>238</v>
      </c>
      <c r="P184" s="54">
        <v>24</v>
      </c>
      <c r="Q184" s="54">
        <v>1</v>
      </c>
      <c r="R184" s="54">
        <v>0</v>
      </c>
      <c r="S184" s="54" t="s">
        <v>531</v>
      </c>
      <c r="T184" s="54" t="s">
        <v>532</v>
      </c>
      <c r="U184" s="54" t="s">
        <v>533</v>
      </c>
      <c r="V184" s="54" t="s">
        <v>534</v>
      </c>
      <c r="W184" s="54" t="b">
        <v>0</v>
      </c>
      <c r="X184" s="54"/>
      <c r="Y184" s="57" t="s">
        <v>2151</v>
      </c>
      <c r="Z184" s="54" t="s">
        <v>2152</v>
      </c>
      <c r="AA184" s="54"/>
      <c r="AB184" s="54" t="s">
        <v>535</v>
      </c>
      <c r="AC184" s="56" t="b">
        <v>0</v>
      </c>
      <c r="AD184" s="56" t="b">
        <v>0</v>
      </c>
      <c r="AE184" s="54"/>
      <c r="AF184" s="58"/>
      <c r="AG184" s="62" t="s">
        <v>293</v>
      </c>
      <c r="AH184" s="54"/>
      <c r="AI184" s="54"/>
      <c r="AJ184" s="54"/>
      <c r="AK184" s="54"/>
      <c r="AL184" s="54"/>
      <c r="AM184" s="54">
        <v>0</v>
      </c>
      <c r="AN184" s="54"/>
      <c r="AO184" s="54"/>
      <c r="AP184" s="54"/>
      <c r="AQ184" s="54"/>
      <c r="AR184" s="54"/>
      <c r="AS184" s="54"/>
      <c r="AT184" s="54"/>
      <c r="AU184" s="54"/>
      <c r="AV184" s="54"/>
      <c r="AW184" s="54"/>
      <c r="AX184" s="59"/>
      <c r="AY184" s="59"/>
      <c r="AZ184" s="59"/>
      <c r="BA184" s="59"/>
      <c r="BB184" s="59"/>
      <c r="BC184" s="60"/>
      <c r="BD184" s="61"/>
      <c r="BE184" s="62"/>
      <c r="BF184" s="35">
        <f t="shared" si="260"/>
        <v>4.0600000000000005</v>
      </c>
      <c r="BG184" s="35">
        <f t="shared" si="260"/>
        <v>6.0295000000000001E-2</v>
      </c>
      <c r="BH184" s="35" t="str">
        <f t="shared" si="261"/>
        <v>?</v>
      </c>
      <c r="BI184" s="110" t="str">
        <f t="shared" si="262"/>
        <v/>
      </c>
      <c r="BJ184" s="83">
        <f>VLOOKUP($F184,REP_Info!$D$6:$H$250,5,FALSE)</f>
        <v>0.123</v>
      </c>
      <c r="BK184" s="30" t="e">
        <f t="shared" si="263"/>
        <v>#N/A</v>
      </c>
      <c r="BL184" s="30" t="e">
        <f t="shared" si="263"/>
        <v>#N/A</v>
      </c>
      <c r="BM184" s="30" t="e">
        <f t="shared" si="263"/>
        <v>#N/A</v>
      </c>
      <c r="BN184" s="29" t="e">
        <f t="shared" si="263"/>
        <v>#N/A</v>
      </c>
      <c r="BO184" s="85" t="str">
        <f t="shared" si="2"/>
        <v>$$$</v>
      </c>
      <c r="BP184" s="88" t="str">
        <f t="shared" si="264"/>
        <v>$$$</v>
      </c>
      <c r="BQ184" s="88" t="str">
        <f t="shared" si="4"/>
        <v>$$$</v>
      </c>
      <c r="BR184" s="88" t="str">
        <f t="shared" si="5"/>
        <v>$$$</v>
      </c>
      <c r="BS184" s="29" t="e">
        <f t="shared" si="265"/>
        <v>#N/A</v>
      </c>
      <c r="BT184" s="29" t="e">
        <f t="shared" si="265"/>
        <v>#N/A</v>
      </c>
      <c r="BU184" s="29" t="e">
        <f t="shared" si="265"/>
        <v>#N/A</v>
      </c>
      <c r="BV184" s="29" t="e">
        <f t="shared" si="265"/>
        <v>#N/A</v>
      </c>
      <c r="BW184" s="29" t="e">
        <f t="shared" si="265"/>
        <v>#N/A</v>
      </c>
      <c r="BX184" s="29" t="e">
        <f t="shared" si="265"/>
        <v>#N/A</v>
      </c>
      <c r="BY184" s="29" t="e">
        <f t="shared" si="265"/>
        <v>#N/A</v>
      </c>
      <c r="BZ184" s="29" t="e">
        <f t="shared" si="265"/>
        <v>#N/A</v>
      </c>
      <c r="CA184" s="29" t="e">
        <f t="shared" si="265"/>
        <v>#N/A</v>
      </c>
      <c r="CB184" s="29" t="e">
        <f t="shared" si="265"/>
        <v>#N/A</v>
      </c>
      <c r="CC184" s="29" t="e">
        <f t="shared" si="265"/>
        <v>#N/A</v>
      </c>
      <c r="CD184" s="29" t="e">
        <f t="shared" si="265"/>
        <v>#N/A</v>
      </c>
      <c r="CE184" s="6" t="str">
        <f t="shared" si="220"/>
        <v/>
      </c>
      <c r="CF184" s="27" t="e">
        <f>IF(AND(CI184,NOT(AD184)),LOOKUP(CF$5,{0,750,1500},H184:J184),"")</f>
        <v>#N/A</v>
      </c>
      <c r="CG184" s="6" t="str">
        <f t="shared" si="221"/>
        <v/>
      </c>
      <c r="CH184" t="e">
        <f t="shared" si="266"/>
        <v>#N/A</v>
      </c>
      <c r="CI184" t="e">
        <f t="shared" si="267"/>
        <v>#N/A</v>
      </c>
      <c r="CJ184" s="6" t="e">
        <f t="shared" si="11"/>
        <v>#N/A</v>
      </c>
      <c r="CK184" s="6">
        <f t="shared" si="12"/>
        <v>1</v>
      </c>
      <c r="CL184" s="6">
        <f t="shared" si="268"/>
        <v>1</v>
      </c>
      <c r="CM184" s="6">
        <f t="shared" si="13"/>
        <v>0</v>
      </c>
      <c r="CN184" s="6">
        <f t="shared" si="14"/>
        <v>0</v>
      </c>
      <c r="CO184" s="6">
        <f t="shared" si="15"/>
        <v>1</v>
      </c>
      <c r="CP184" s="6">
        <f t="shared" si="16"/>
        <v>1</v>
      </c>
      <c r="CQ184" s="6">
        <f t="shared" si="269"/>
        <v>1</v>
      </c>
      <c r="CR184" s="81" t="str">
        <f t="shared" si="17"/>
        <v/>
      </c>
      <c r="CS184">
        <f t="shared" si="270"/>
        <v>198</v>
      </c>
      <c r="CT184">
        <f t="shared" si="19"/>
        <v>0</v>
      </c>
      <c r="CU184" t="str">
        <f t="shared" si="271"/>
        <v/>
      </c>
      <c r="CV184" s="81">
        <f t="shared" si="272"/>
        <v>0</v>
      </c>
      <c r="CW184" s="81">
        <f>(CV184/25)^1.5*(Calculator!$BU$4/10000)*CW$5</f>
        <v>0</v>
      </c>
      <c r="CX184" t="str">
        <f t="shared" si="273"/>
        <v>$0</v>
      </c>
    </row>
    <row r="185" spans="2:102" x14ac:dyDescent="0.25">
      <c r="B185" s="115" t="s">
        <v>233</v>
      </c>
      <c r="C185" s="13">
        <v>46252.407638888886</v>
      </c>
      <c r="D185">
        <v>33813</v>
      </c>
      <c r="E185" s="54" t="s">
        <v>235</v>
      </c>
      <c r="F185" s="54" t="s">
        <v>529</v>
      </c>
      <c r="G185" s="54" t="s">
        <v>540</v>
      </c>
      <c r="H185" s="55">
        <v>11.5</v>
      </c>
      <c r="I185" s="55">
        <v>10.9</v>
      </c>
      <c r="J185" s="55">
        <v>10.5</v>
      </c>
      <c r="K185" s="54"/>
      <c r="L185" s="56" t="b">
        <v>0</v>
      </c>
      <c r="M185" s="56" t="b">
        <v>0</v>
      </c>
      <c r="N185" s="54">
        <v>1</v>
      </c>
      <c r="O185" s="54" t="s">
        <v>228</v>
      </c>
      <c r="P185" s="54">
        <v>24</v>
      </c>
      <c r="Q185" s="54">
        <v>3</v>
      </c>
      <c r="R185" s="54">
        <v>100</v>
      </c>
      <c r="S185" s="54" t="s">
        <v>531</v>
      </c>
      <c r="T185" s="54" t="s">
        <v>532</v>
      </c>
      <c r="U185" s="54" t="s">
        <v>533</v>
      </c>
      <c r="V185" s="54" t="s">
        <v>534</v>
      </c>
      <c r="W185" s="54" t="b">
        <v>0</v>
      </c>
      <c r="X185" s="54"/>
      <c r="Y185" s="57" t="s">
        <v>2153</v>
      </c>
      <c r="Z185" s="54" t="s">
        <v>2154</v>
      </c>
      <c r="AA185" s="54"/>
      <c r="AB185" s="54" t="s">
        <v>535</v>
      </c>
      <c r="AC185" s="56" t="b">
        <v>1</v>
      </c>
      <c r="AD185" s="56" t="b">
        <v>0</v>
      </c>
      <c r="AE185" s="54" t="s">
        <v>302</v>
      </c>
      <c r="AF185" s="58">
        <v>46251</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5.1799999999999999E-2</v>
      </c>
      <c r="BC185" s="60">
        <v>4.9000000000000004</v>
      </c>
      <c r="BD185" s="61">
        <v>4.9811000000000001E-2</v>
      </c>
      <c r="BE185" s="62" t="s">
        <v>293</v>
      </c>
      <c r="BF185" s="35">
        <f t="shared" si="260"/>
        <v>4.9000000000000004</v>
      </c>
      <c r="BG185" s="35">
        <f t="shared" si="260"/>
        <v>4.9811000000000001E-2</v>
      </c>
      <c r="BH185" s="35" t="str">
        <f t="shared" si="261"/>
        <v>Med</v>
      </c>
      <c r="BI185" s="110">
        <f t="shared" si="262"/>
        <v>0</v>
      </c>
      <c r="BJ185" s="83">
        <f>VLOOKUP($F185,REP_Info!$D$6:$H$250,5,FALSE)</f>
        <v>0.123</v>
      </c>
      <c r="BK185" s="30">
        <f t="shared" si="263"/>
        <v>11.5411</v>
      </c>
      <c r="BL185" s="30">
        <f t="shared" si="263"/>
        <v>10.851100000000001</v>
      </c>
      <c r="BM185" s="30">
        <f t="shared" si="263"/>
        <v>10.5061</v>
      </c>
      <c r="BN185" s="29">
        <f t="shared" si="263"/>
        <v>10.3911</v>
      </c>
      <c r="BO185" s="85" t="str">
        <f t="shared" si="2"/>
        <v>$$$</v>
      </c>
      <c r="BP185" s="88" t="str">
        <f t="shared" si="264"/>
        <v>$$$</v>
      </c>
      <c r="BQ185" s="88" t="str">
        <f t="shared" si="4"/>
        <v>$$$</v>
      </c>
      <c r="BR185" s="88" t="str">
        <f t="shared" si="5"/>
        <v>$$$</v>
      </c>
      <c r="BS185" s="29" t="e">
        <f t="shared" si="265"/>
        <v>#N/A</v>
      </c>
      <c r="BT185" s="29" t="e">
        <f t="shared" si="265"/>
        <v>#N/A</v>
      </c>
      <c r="BU185" s="29" t="e">
        <f t="shared" si="265"/>
        <v>#N/A</v>
      </c>
      <c r="BV185" s="29" t="e">
        <f t="shared" si="265"/>
        <v>#N/A</v>
      </c>
      <c r="BW185" s="29" t="e">
        <f t="shared" si="265"/>
        <v>#N/A</v>
      </c>
      <c r="BX185" s="29" t="e">
        <f t="shared" si="265"/>
        <v>#N/A</v>
      </c>
      <c r="BY185" s="29" t="e">
        <f t="shared" si="265"/>
        <v>#N/A</v>
      </c>
      <c r="BZ185" s="29" t="e">
        <f t="shared" si="265"/>
        <v>#N/A</v>
      </c>
      <c r="CA185" s="29" t="e">
        <f t="shared" si="265"/>
        <v>#N/A</v>
      </c>
      <c r="CB185" s="29" t="e">
        <f t="shared" si="265"/>
        <v>#N/A</v>
      </c>
      <c r="CC185" s="29" t="e">
        <f t="shared" si="265"/>
        <v>#N/A</v>
      </c>
      <c r="CD185" s="29" t="e">
        <f t="shared" si="265"/>
        <v>#N/A</v>
      </c>
      <c r="CE185" s="6" t="str">
        <f t="shared" si="220"/>
        <v/>
      </c>
      <c r="CF185" s="27" t="e">
        <f>IF(AND(CI185,NOT(AD185)),LOOKUP(CF$5,{0,750,1500},H185:J185),"")</f>
        <v>#N/A</v>
      </c>
      <c r="CG185" s="6" t="str">
        <f t="shared" si="221"/>
        <v/>
      </c>
      <c r="CH185" t="e">
        <f t="shared" si="266"/>
        <v>#N/A</v>
      </c>
      <c r="CI185" t="e">
        <f t="shared" si="267"/>
        <v>#N/A</v>
      </c>
      <c r="CJ185" s="6" t="e">
        <f t="shared" si="11"/>
        <v>#N/A</v>
      </c>
      <c r="CK185" s="6">
        <f t="shared" si="12"/>
        <v>1</v>
      </c>
      <c r="CL185" s="6">
        <f t="shared" si="268"/>
        <v>1</v>
      </c>
      <c r="CM185" s="6">
        <f t="shared" si="13"/>
        <v>1</v>
      </c>
      <c r="CN185" s="6">
        <f t="shared" si="14"/>
        <v>0</v>
      </c>
      <c r="CO185" s="6">
        <f t="shared" si="15"/>
        <v>1</v>
      </c>
      <c r="CP185" s="6">
        <f t="shared" si="16"/>
        <v>1</v>
      </c>
      <c r="CQ185" s="6">
        <f t="shared" si="269"/>
        <v>1</v>
      </c>
      <c r="CR185" s="81" t="str">
        <f t="shared" si="17"/>
        <v/>
      </c>
      <c r="CS185">
        <f t="shared" si="270"/>
        <v>54</v>
      </c>
      <c r="CT185">
        <f t="shared" si="19"/>
        <v>100</v>
      </c>
      <c r="CU185" t="str">
        <f t="shared" si="271"/>
        <v/>
      </c>
      <c r="CV185" s="81">
        <f t="shared" si="272"/>
        <v>100</v>
      </c>
      <c r="CW185" s="81">
        <f>(CV185/25)^1.5*(Calculator!$BU$4/10000)*CW$5</f>
        <v>20.656847999999979</v>
      </c>
      <c r="CX185" t="str">
        <f t="shared" si="273"/>
        <v>$100</v>
      </c>
    </row>
    <row r="186" spans="2:102" x14ac:dyDescent="0.25">
      <c r="B186" s="115" t="s">
        <v>233</v>
      </c>
      <c r="C186" s="13">
        <v>46252.407638888886</v>
      </c>
      <c r="D186">
        <v>33814</v>
      </c>
      <c r="E186" s="54" t="s">
        <v>237</v>
      </c>
      <c r="F186" s="54" t="s">
        <v>529</v>
      </c>
      <c r="G186" s="54" t="s">
        <v>540</v>
      </c>
      <c r="H186" s="55">
        <v>11.899999999999999</v>
      </c>
      <c r="I186" s="55">
        <v>11.3</v>
      </c>
      <c r="J186" s="55">
        <v>11</v>
      </c>
      <c r="K186" s="54"/>
      <c r="L186" s="56" t="b">
        <v>0</v>
      </c>
      <c r="M186" s="56" t="b">
        <v>0</v>
      </c>
      <c r="N186" s="54">
        <v>1</v>
      </c>
      <c r="O186" s="54" t="s">
        <v>228</v>
      </c>
      <c r="P186" s="54">
        <v>24</v>
      </c>
      <c r="Q186" s="54">
        <v>3</v>
      </c>
      <c r="R186" s="54">
        <v>100</v>
      </c>
      <c r="S186" s="54" t="s">
        <v>531</v>
      </c>
      <c r="T186" s="54" t="s">
        <v>532</v>
      </c>
      <c r="U186" s="54" t="s">
        <v>533</v>
      </c>
      <c r="V186" s="54" t="s">
        <v>534</v>
      </c>
      <c r="W186" s="54" t="b">
        <v>0</v>
      </c>
      <c r="X186" s="54"/>
      <c r="Y186" s="57" t="s">
        <v>2155</v>
      </c>
      <c r="Z186" s="54" t="s">
        <v>2156</v>
      </c>
      <c r="AA186" s="54"/>
      <c r="AB186" s="54" t="s">
        <v>535</v>
      </c>
      <c r="AC186" s="56" t="b">
        <v>1</v>
      </c>
      <c r="AD186" s="56" t="b">
        <v>0</v>
      </c>
      <c r="AE186" s="54" t="s">
        <v>302</v>
      </c>
      <c r="AF186" s="58">
        <v>46251</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4.6719999999999998E-2</v>
      </c>
      <c r="BC186" s="60">
        <v>4.0599999999999996</v>
      </c>
      <c r="BD186" s="61">
        <v>6.0295000000000001E-2</v>
      </c>
      <c r="BE186" s="62" t="s">
        <v>293</v>
      </c>
      <c r="BF186" s="35">
        <f t="shared" ref="BF186:BG191" si="274">IF($E186=$E$4,BF$4,IF($E186=$E$5,BF$5,""))</f>
        <v>4.0600000000000005</v>
      </c>
      <c r="BG186" s="35">
        <f t="shared" si="274"/>
        <v>6.0295000000000001E-2</v>
      </c>
      <c r="BH186" s="35" t="str">
        <f t="shared" ref="BH186:BH191" si="275">IF(ISTEXT(BE186),IF(AND(AV186=0,SUM(AN186:AQ186)=0),IF(AM186&lt;=0,IF(BE186="Y","Low","Flat"),"Med"),"High"),"?")</f>
        <v>Med</v>
      </c>
      <c r="BI186" s="110">
        <f t="shared" ref="BI186:BI191" si="276">IF(ISNUMBER(AH186),0*BI$5*SIN((EDATE($A$3,$Q186)-DATE(YEAR(EDATE($A$3,$Q186)),1,0)-BI$4)*2*PI()/365),"")</f>
        <v>0</v>
      </c>
      <c r="BJ186" s="83">
        <f>VLOOKUP($F186,REP_Info!$D$6:$H$250,5,FALSE)</f>
        <v>0.123</v>
      </c>
      <c r="BK186" s="30">
        <f t="shared" ref="BK186:BN191" si="277">IF(BK$7&gt;0,(LOOKUP(BK$7,$AH186:$AL186,$AM186:$AQ186)+IF($AG186="Y",SUMPRODUCT($AX186:$BB186-$AW186:$BA186,BK$7-$AR186:$AV186,N(BK$7&gt;$AR186:$AV186)),BK$7*LOOKUP(BK$7,$AR186:$AV186,$AX186:$BB186))+IF($BE186="Y",$BF186,$BC186)+BK$7*IF($BE186="Y",$BG186,$BD186))*100/BK$7,"")</f>
        <v>11.913500000000001</v>
      </c>
      <c r="BL186" s="30">
        <f t="shared" si="277"/>
        <v>11.307499999999999</v>
      </c>
      <c r="BM186" s="30">
        <f t="shared" si="277"/>
        <v>11.0045</v>
      </c>
      <c r="BN186" s="29">
        <f t="shared" si="277"/>
        <v>10.903499999999999</v>
      </c>
      <c r="BO186" s="85" t="str">
        <f t="shared" si="2"/>
        <v>$$$</v>
      </c>
      <c r="BP186" s="88" t="str">
        <f t="shared" ref="BP186:BP191" si="278">IFERROR(BO186*100/BO$5,"$$$")</f>
        <v>$$$</v>
      </c>
      <c r="BQ186" s="88" t="str">
        <f t="shared" si="4"/>
        <v>$$$</v>
      </c>
      <c r="BR186" s="88" t="str">
        <f t="shared" si="5"/>
        <v>$$$</v>
      </c>
      <c r="BS186" s="29" t="e">
        <f t="shared" ref="BS186:CD191" si="279">IF($CI186,IF(BS$7&gt;0,IF(BS$4&gt;$Q186,$BF186+BS$7*(BS$5+$BG186+$BI186),LOOKUP(BS$7,$AH186:$AL186,$AM186:$AQ186)+IF($AG186="Y",SUMPRODUCT($AX186:$BB186-$AW186:$BA186,BS$7-$AR186:$AV186,N(BS$7&gt;$AR186:$AV186)),BS$7*LOOKUP(BS$7,$AR186:$AV186,$AX186:$BB186))+IF($BE186="Y",$BF186,$BC186)+BS$7*IF($BE186="Y",$BG186,$BD186))*100/BS$7,""),NA())</f>
        <v>#N/A</v>
      </c>
      <c r="BT186" s="29" t="e">
        <f t="shared" si="279"/>
        <v>#N/A</v>
      </c>
      <c r="BU186" s="29" t="e">
        <f t="shared" si="279"/>
        <v>#N/A</v>
      </c>
      <c r="BV186" s="29" t="e">
        <f t="shared" si="279"/>
        <v>#N/A</v>
      </c>
      <c r="BW186" s="29" t="e">
        <f t="shared" si="279"/>
        <v>#N/A</v>
      </c>
      <c r="BX186" s="29" t="e">
        <f t="shared" si="279"/>
        <v>#N/A</v>
      </c>
      <c r="BY186" s="29" t="e">
        <f t="shared" si="279"/>
        <v>#N/A</v>
      </c>
      <c r="BZ186" s="29" t="e">
        <f t="shared" si="279"/>
        <v>#N/A</v>
      </c>
      <c r="CA186" s="29" t="e">
        <f t="shared" si="279"/>
        <v>#N/A</v>
      </c>
      <c r="CB186" s="29" t="e">
        <f t="shared" si="279"/>
        <v>#N/A</v>
      </c>
      <c r="CC186" s="29" t="e">
        <f t="shared" si="279"/>
        <v>#N/A</v>
      </c>
      <c r="CD186" s="29" t="e">
        <f t="shared" si="279"/>
        <v>#N/A</v>
      </c>
      <c r="CE186" s="6" t="str">
        <f t="shared" si="220"/>
        <v/>
      </c>
      <c r="CF186" s="27" t="e">
        <f>IF(AND(CI186,NOT(AD186)),LOOKUP(CF$5,{0,750,1500},H186:J186),"")</f>
        <v>#N/A</v>
      </c>
      <c r="CG186" s="6" t="str">
        <f t="shared" si="221"/>
        <v/>
      </c>
      <c r="CH186" t="e">
        <f t="shared" ref="CH186:CH191" si="280">IF(CI186,IF(ISNUMBER(BO186),BO186,100000)+CV186/10000+IF(ISNUMBER(BJ186),BJ186,2)/10000-P186/100000+ROW()/10000000,"")</f>
        <v>#N/A</v>
      </c>
      <c r="CI186" t="e">
        <f t="shared" ref="CI186:CI191" si="281">PRODUCT(CJ186:CQ186)</f>
        <v>#N/A</v>
      </c>
      <c r="CJ186" s="6" t="e">
        <f t="shared" si="11"/>
        <v>#N/A</v>
      </c>
      <c r="CK186" s="6">
        <f t="shared" si="12"/>
        <v>1</v>
      </c>
      <c r="CL186" s="6">
        <f t="shared" ref="CL186:CL191" si="282">IFERROR(--OR(ISBLANK(CL$5),$BJ186="",AND(ISNUMBER($BJ186),$BJ186&lt;=CL$5)),1)</f>
        <v>1</v>
      </c>
      <c r="CM186" s="6">
        <f t="shared" si="13"/>
        <v>1</v>
      </c>
      <c r="CN186" s="6">
        <f t="shared" si="14"/>
        <v>0</v>
      </c>
      <c r="CO186" s="6">
        <f t="shared" si="15"/>
        <v>1</v>
      </c>
      <c r="CP186" s="6">
        <f t="shared" si="16"/>
        <v>1</v>
      </c>
      <c r="CQ186" s="6">
        <f t="shared" ref="CQ186:CQ191" si="283">IF(CQ$5="Any",1,IF(AND(CQ$5="Med",AV186=0,SUM(AN186:AQ186)=0),1,IF(AND(CQ$5="Low",AV186=0,SUM(AN186:AQ186)=0,AM186=0),1,IF(AND(CQ$5="Flat",AV186=0,SUM(AN186:AQ186)=0,AM186=0,IFERROR(NOT(BE186="Y"),0)),1,0))))</f>
        <v>1</v>
      </c>
      <c r="CR186" s="81" t="str">
        <f t="shared" si="17"/>
        <v/>
      </c>
      <c r="CS186">
        <f t="shared" ref="CS186:CS191" si="284">CS$5*(12/(MIN(12,Q186))-1)</f>
        <v>54</v>
      </c>
      <c r="CT186">
        <f t="shared" si="19"/>
        <v>100</v>
      </c>
      <c r="CU186" t="str">
        <f t="shared" ref="CU186:CU191" si="285">IF(AND(ISERR(FIND("remain",$R186)),ISERR(FIND("left",$R186))),"","r")&amp;IF(ISERR(FIND("mon",$R186)),"","m")</f>
        <v/>
      </c>
      <c r="CV186" s="81">
        <f t="shared" ref="CV186:CV191" si="286">CT186*IF(CU186="",1,Q186)</f>
        <v>100</v>
      </c>
      <c r="CW186" s="81">
        <f>(CV186/25)^1.5*(Calculator!$BU$4/10000)*CW$5</f>
        <v>20.656847999999979</v>
      </c>
      <c r="CX186" t="str">
        <f t="shared" ref="CX186:CX191" si="287">"$"&amp;IF(LEFT(CU186,1)="r",CT186&amp;"/"&amp;CU186,CV186)</f>
        <v>$100</v>
      </c>
    </row>
    <row r="187" spans="2:102" x14ac:dyDescent="0.25">
      <c r="B187" s="115" t="s">
        <v>233</v>
      </c>
      <c r="C187" s="13">
        <v>46252.407638888886</v>
      </c>
      <c r="D187">
        <v>33853</v>
      </c>
      <c r="E187" s="54" t="s">
        <v>235</v>
      </c>
      <c r="F187" s="54" t="s">
        <v>529</v>
      </c>
      <c r="G187" s="54" t="s">
        <v>541</v>
      </c>
      <c r="H187" s="55">
        <v>11.799999999999999</v>
      </c>
      <c r="I187" s="55">
        <v>11.1</v>
      </c>
      <c r="J187" s="55">
        <v>10.8</v>
      </c>
      <c r="K187" s="54"/>
      <c r="L187" s="56" t="b">
        <v>0</v>
      </c>
      <c r="M187" s="56" t="b">
        <v>0</v>
      </c>
      <c r="N187" s="54">
        <v>1</v>
      </c>
      <c r="O187" s="54" t="s">
        <v>228</v>
      </c>
      <c r="P187" s="54">
        <v>24</v>
      </c>
      <c r="Q187" s="54">
        <v>6</v>
      </c>
      <c r="R187" s="54">
        <v>150</v>
      </c>
      <c r="S187" s="54" t="s">
        <v>531</v>
      </c>
      <c r="T187" s="54" t="s">
        <v>532</v>
      </c>
      <c r="U187" s="54" t="s">
        <v>533</v>
      </c>
      <c r="V187" s="54" t="s">
        <v>534</v>
      </c>
      <c r="W187" s="54" t="b">
        <v>0</v>
      </c>
      <c r="X187" s="54"/>
      <c r="Y187" s="57" t="s">
        <v>2157</v>
      </c>
      <c r="Z187" s="54" t="s">
        <v>2158</v>
      </c>
      <c r="AA187" s="54"/>
      <c r="AB187" s="54" t="s">
        <v>535</v>
      </c>
      <c r="AC187" s="56" t="b">
        <v>1</v>
      </c>
      <c r="AD187" s="56" t="b">
        <v>0</v>
      </c>
      <c r="AE187" s="54" t="s">
        <v>302</v>
      </c>
      <c r="AF187" s="58">
        <v>46251</v>
      </c>
      <c r="AG187" s="62" t="s">
        <v>293</v>
      </c>
      <c r="AH187" s="54">
        <v>0</v>
      </c>
      <c r="AI187" s="54"/>
      <c r="AJ187" s="54"/>
      <c r="AK187" s="54"/>
      <c r="AL187" s="54"/>
      <c r="AM187" s="54">
        <v>2</v>
      </c>
      <c r="AN187" s="54"/>
      <c r="AO187" s="54"/>
      <c r="AP187" s="54"/>
      <c r="AQ187" s="54"/>
      <c r="AR187" s="54"/>
      <c r="AS187" s="54"/>
      <c r="AT187" s="54"/>
      <c r="AU187" s="54"/>
      <c r="AV187" s="54"/>
      <c r="AW187" s="54"/>
      <c r="AX187" s="59"/>
      <c r="AY187" s="59"/>
      <c r="AZ187" s="59"/>
      <c r="BA187" s="59"/>
      <c r="BB187" s="59">
        <v>5.4480000000000001E-2</v>
      </c>
      <c r="BC187" s="60">
        <v>4.9000000000000004</v>
      </c>
      <c r="BD187" s="61">
        <v>4.9811000000000001E-2</v>
      </c>
      <c r="BE187" s="62" t="s">
        <v>293</v>
      </c>
      <c r="BF187" s="35">
        <f t="shared" si="274"/>
        <v>4.9000000000000004</v>
      </c>
      <c r="BG187" s="35">
        <f t="shared" si="274"/>
        <v>4.9811000000000001E-2</v>
      </c>
      <c r="BH187" s="35" t="str">
        <f t="shared" si="275"/>
        <v>Med</v>
      </c>
      <c r="BI187" s="110">
        <f t="shared" si="276"/>
        <v>0</v>
      </c>
      <c r="BJ187" s="83">
        <f>VLOOKUP($F187,REP_Info!$D$6:$H$250,5,FALSE)</f>
        <v>0.123</v>
      </c>
      <c r="BK187" s="30">
        <f t="shared" si="277"/>
        <v>11.809100000000001</v>
      </c>
      <c r="BL187" s="30">
        <f t="shared" si="277"/>
        <v>11.1191</v>
      </c>
      <c r="BM187" s="30">
        <f t="shared" si="277"/>
        <v>10.774100000000002</v>
      </c>
      <c r="BN187" s="29">
        <f t="shared" si="277"/>
        <v>10.6591</v>
      </c>
      <c r="BO187" s="85" t="str">
        <f t="shared" si="2"/>
        <v>$$$</v>
      </c>
      <c r="BP187" s="88" t="str">
        <f t="shared" si="278"/>
        <v>$$$</v>
      </c>
      <c r="BQ187" s="88" t="str">
        <f t="shared" si="4"/>
        <v>$$$</v>
      </c>
      <c r="BR187" s="88" t="str">
        <f t="shared" si="5"/>
        <v>$$$</v>
      </c>
      <c r="BS187" s="29" t="e">
        <f t="shared" si="279"/>
        <v>#N/A</v>
      </c>
      <c r="BT187" s="29" t="e">
        <f t="shared" si="279"/>
        <v>#N/A</v>
      </c>
      <c r="BU187" s="29" t="e">
        <f t="shared" si="279"/>
        <v>#N/A</v>
      </c>
      <c r="BV187" s="29" t="e">
        <f t="shared" si="279"/>
        <v>#N/A</v>
      </c>
      <c r="BW187" s="29" t="e">
        <f t="shared" si="279"/>
        <v>#N/A</v>
      </c>
      <c r="BX187" s="29" t="e">
        <f t="shared" si="279"/>
        <v>#N/A</v>
      </c>
      <c r="BY187" s="29" t="e">
        <f t="shared" si="279"/>
        <v>#N/A</v>
      </c>
      <c r="BZ187" s="29" t="e">
        <f t="shared" si="279"/>
        <v>#N/A</v>
      </c>
      <c r="CA187" s="29" t="e">
        <f t="shared" si="279"/>
        <v>#N/A</v>
      </c>
      <c r="CB187" s="29" t="e">
        <f t="shared" si="279"/>
        <v>#N/A</v>
      </c>
      <c r="CC187" s="29" t="e">
        <f t="shared" si="279"/>
        <v>#N/A</v>
      </c>
      <c r="CD187" s="29" t="e">
        <f t="shared" si="279"/>
        <v>#N/A</v>
      </c>
      <c r="CE187" s="6" t="str">
        <f t="shared" si="220"/>
        <v/>
      </c>
      <c r="CF187" s="27" t="e">
        <f>IF(AND(CI187,NOT(AD187)),LOOKUP(CF$5,{0,750,1500},H187:J187),"")</f>
        <v>#N/A</v>
      </c>
      <c r="CG187" s="6" t="str">
        <f t="shared" si="221"/>
        <v/>
      </c>
      <c r="CH187" t="e">
        <f t="shared" si="280"/>
        <v>#N/A</v>
      </c>
      <c r="CI187" t="e">
        <f t="shared" si="281"/>
        <v>#N/A</v>
      </c>
      <c r="CJ187" s="6" t="e">
        <f t="shared" si="11"/>
        <v>#N/A</v>
      </c>
      <c r="CK187" s="6">
        <f t="shared" si="12"/>
        <v>1</v>
      </c>
      <c r="CL187" s="6">
        <f t="shared" si="282"/>
        <v>1</v>
      </c>
      <c r="CM187" s="6">
        <f t="shared" si="13"/>
        <v>1</v>
      </c>
      <c r="CN187" s="6">
        <f t="shared" si="14"/>
        <v>0</v>
      </c>
      <c r="CO187" s="6">
        <f t="shared" si="15"/>
        <v>1</v>
      </c>
      <c r="CP187" s="6">
        <f t="shared" si="16"/>
        <v>1</v>
      </c>
      <c r="CQ187" s="6">
        <f t="shared" si="283"/>
        <v>1</v>
      </c>
      <c r="CR187" s="81" t="str">
        <f t="shared" si="17"/>
        <v/>
      </c>
      <c r="CS187">
        <f t="shared" si="284"/>
        <v>18</v>
      </c>
      <c r="CT187">
        <f t="shared" si="19"/>
        <v>150</v>
      </c>
      <c r="CU187" t="str">
        <f t="shared" si="285"/>
        <v/>
      </c>
      <c r="CV187" s="81">
        <f t="shared" si="286"/>
        <v>150</v>
      </c>
      <c r="CW187" s="81">
        <f>(CV187/25)^1.5*(Calculator!$BU$4/10000)*CW$5</f>
        <v>37.949052970673385</v>
      </c>
      <c r="CX187" t="str">
        <f t="shared" si="287"/>
        <v>$150</v>
      </c>
    </row>
    <row r="188" spans="2:102" x14ac:dyDescent="0.25">
      <c r="B188" s="115" t="s">
        <v>233</v>
      </c>
      <c r="C188" s="13">
        <v>46252.407638888886</v>
      </c>
      <c r="D188">
        <v>33854</v>
      </c>
      <c r="E188" s="54" t="s">
        <v>237</v>
      </c>
      <c r="F188" s="54" t="s">
        <v>529</v>
      </c>
      <c r="G188" s="54" t="s">
        <v>541</v>
      </c>
      <c r="H188" s="55">
        <v>13.200000000000001</v>
      </c>
      <c r="I188" s="55">
        <v>12.6</v>
      </c>
      <c r="J188" s="55">
        <v>12.3</v>
      </c>
      <c r="K188" s="54"/>
      <c r="L188" s="56" t="b">
        <v>0</v>
      </c>
      <c r="M188" s="56" t="b">
        <v>0</v>
      </c>
      <c r="N188" s="54">
        <v>1</v>
      </c>
      <c r="O188" s="54" t="s">
        <v>228</v>
      </c>
      <c r="P188" s="54">
        <v>24</v>
      </c>
      <c r="Q188" s="54">
        <v>6</v>
      </c>
      <c r="R188" s="54">
        <v>150</v>
      </c>
      <c r="S188" s="54" t="s">
        <v>531</v>
      </c>
      <c r="T188" s="54" t="s">
        <v>532</v>
      </c>
      <c r="U188" s="54" t="s">
        <v>533</v>
      </c>
      <c r="V188" s="54" t="s">
        <v>534</v>
      </c>
      <c r="W188" s="54" t="b">
        <v>0</v>
      </c>
      <c r="X188" s="54"/>
      <c r="Y188" s="57" t="s">
        <v>2159</v>
      </c>
      <c r="Z188" s="54" t="s">
        <v>2160</v>
      </c>
      <c r="AA188" s="54"/>
      <c r="AB188" s="54" t="s">
        <v>535</v>
      </c>
      <c r="AC188" s="56" t="b">
        <v>1</v>
      </c>
      <c r="AD188" s="56" t="b">
        <v>0</v>
      </c>
      <c r="AE188" s="54" t="s">
        <v>302</v>
      </c>
      <c r="AF188" s="58">
        <v>46251</v>
      </c>
      <c r="AG188" s="62" t="s">
        <v>293</v>
      </c>
      <c r="AH188" s="54">
        <v>0</v>
      </c>
      <c r="AI188" s="54"/>
      <c r="AJ188" s="54"/>
      <c r="AK188" s="54"/>
      <c r="AL188" s="54"/>
      <c r="AM188" s="54">
        <v>2</v>
      </c>
      <c r="AN188" s="54"/>
      <c r="AO188" s="54"/>
      <c r="AP188" s="54"/>
      <c r="AQ188" s="54"/>
      <c r="AR188" s="54"/>
      <c r="AS188" s="54"/>
      <c r="AT188" s="54"/>
      <c r="AU188" s="54"/>
      <c r="AV188" s="54"/>
      <c r="AW188" s="54"/>
      <c r="AX188" s="59"/>
      <c r="AY188" s="59"/>
      <c r="AZ188" s="59"/>
      <c r="BA188" s="59"/>
      <c r="BB188" s="59">
        <v>5.987E-2</v>
      </c>
      <c r="BC188" s="60">
        <v>4.0599999999999996</v>
      </c>
      <c r="BD188" s="61">
        <v>6.0295000000000001E-2</v>
      </c>
      <c r="BE188" s="62" t="s">
        <v>293</v>
      </c>
      <c r="BF188" s="35">
        <f t="shared" si="274"/>
        <v>4.0600000000000005</v>
      </c>
      <c r="BG188" s="35">
        <f t="shared" si="274"/>
        <v>6.0295000000000001E-2</v>
      </c>
      <c r="BH188" s="35" t="str">
        <f t="shared" si="275"/>
        <v>Med</v>
      </c>
      <c r="BI188" s="110">
        <f t="shared" si="276"/>
        <v>0</v>
      </c>
      <c r="BJ188" s="83">
        <f>VLOOKUP($F188,REP_Info!$D$6:$H$250,5,FALSE)</f>
        <v>0.123</v>
      </c>
      <c r="BK188" s="30">
        <f t="shared" si="277"/>
        <v>13.2285</v>
      </c>
      <c r="BL188" s="30">
        <f t="shared" si="277"/>
        <v>12.6225</v>
      </c>
      <c r="BM188" s="30">
        <f t="shared" si="277"/>
        <v>12.3195</v>
      </c>
      <c r="BN188" s="29">
        <f t="shared" si="277"/>
        <v>12.218499999999997</v>
      </c>
      <c r="BO188" s="85" t="str">
        <f t="shared" ref="BO188:BO191" si="288">IFERROR(SUMPRODUCT($BS$7:$CD$7,$BS188:$CD188)/100,"$$$")</f>
        <v>$$$</v>
      </c>
      <c r="BP188" s="88" t="str">
        <f t="shared" si="278"/>
        <v>$$$</v>
      </c>
      <c r="BQ188" s="88" t="str">
        <f t="shared" si="4"/>
        <v>$$$</v>
      </c>
      <c r="BR188" s="88" t="str">
        <f t="shared" si="5"/>
        <v>$$$</v>
      </c>
      <c r="BS188" s="29" t="e">
        <f t="shared" si="279"/>
        <v>#N/A</v>
      </c>
      <c r="BT188" s="29" t="e">
        <f t="shared" si="279"/>
        <v>#N/A</v>
      </c>
      <c r="BU188" s="29" t="e">
        <f t="shared" si="279"/>
        <v>#N/A</v>
      </c>
      <c r="BV188" s="29" t="e">
        <f t="shared" si="279"/>
        <v>#N/A</v>
      </c>
      <c r="BW188" s="29" t="e">
        <f t="shared" si="279"/>
        <v>#N/A</v>
      </c>
      <c r="BX188" s="29" t="e">
        <f t="shared" si="279"/>
        <v>#N/A</v>
      </c>
      <c r="BY188" s="29" t="e">
        <f t="shared" si="279"/>
        <v>#N/A</v>
      </c>
      <c r="BZ188" s="29" t="e">
        <f t="shared" si="279"/>
        <v>#N/A</v>
      </c>
      <c r="CA188" s="29" t="e">
        <f t="shared" si="279"/>
        <v>#N/A</v>
      </c>
      <c r="CB188" s="29" t="e">
        <f t="shared" si="279"/>
        <v>#N/A</v>
      </c>
      <c r="CC188" s="29" t="e">
        <f t="shared" si="279"/>
        <v>#N/A</v>
      </c>
      <c r="CD188" s="29" t="e">
        <f t="shared" si="279"/>
        <v>#N/A</v>
      </c>
      <c r="CE188" s="6" t="str">
        <f t="shared" si="220"/>
        <v/>
      </c>
      <c r="CF188" s="27" t="e">
        <f>IF(AND(CI188,NOT(AD188)),LOOKUP(CF$5,{0,750,1500},H188:J188),"")</f>
        <v>#N/A</v>
      </c>
      <c r="CG188" s="6" t="str">
        <f t="shared" si="221"/>
        <v/>
      </c>
      <c r="CH188" t="e">
        <f t="shared" si="280"/>
        <v>#N/A</v>
      </c>
      <c r="CI188" t="e">
        <f t="shared" si="281"/>
        <v>#N/A</v>
      </c>
      <c r="CJ188" s="6" t="e">
        <f t="shared" ref="CJ188:CJ191" si="289">IF($E188=CJ$5,1,0)</f>
        <v>#N/A</v>
      </c>
      <c r="CK188" s="6">
        <f t="shared" ref="CK188:CK191" si="290">IF(CK$5="[Any]",1,IF($F188=CK$5,1,0))</f>
        <v>1</v>
      </c>
      <c r="CL188" s="6">
        <f t="shared" si="282"/>
        <v>1</v>
      </c>
      <c r="CM188" s="6">
        <f t="shared" ref="CM188:CM191" si="291">IF($O188="Fixed",1,0)</f>
        <v>1</v>
      </c>
      <c r="CN188" s="6">
        <f t="shared" ref="CN188:CN191" si="292">IF($Q188&gt;=CN$5,1,0)</f>
        <v>0</v>
      </c>
      <c r="CO188" s="6">
        <f t="shared" ref="CO188:CO191" si="293">IF($Q188&lt;=CO$5,1,0)</f>
        <v>1</v>
      </c>
      <c r="CP188" s="6">
        <f t="shared" ref="CP188:CP191" si="294">IF($P188&gt;=CP$5,1,0)</f>
        <v>1</v>
      </c>
      <c r="CQ188" s="6">
        <f t="shared" si="283"/>
        <v>1</v>
      </c>
      <c r="CR188" s="81" t="str">
        <f t="shared" ref="CR188:CR191" si="295">IF(ISNUMBER($CH188),$CH188+$CS188+$CW188,"")</f>
        <v/>
      </c>
      <c r="CS188">
        <f t="shared" si="284"/>
        <v>18</v>
      </c>
      <c r="CT188">
        <f t="shared" si="19"/>
        <v>150</v>
      </c>
      <c r="CU188" t="str">
        <f t="shared" si="285"/>
        <v/>
      </c>
      <c r="CV188" s="81">
        <f t="shared" si="286"/>
        <v>150</v>
      </c>
      <c r="CW188" s="81">
        <f>(CV188/25)^1.5*(Calculator!$BU$4/10000)*CW$5</f>
        <v>37.949052970673385</v>
      </c>
      <c r="CX188" t="str">
        <f t="shared" si="287"/>
        <v>$150</v>
      </c>
    </row>
    <row r="189" spans="2:102" x14ac:dyDescent="0.25">
      <c r="B189" s="115" t="s">
        <v>233</v>
      </c>
      <c r="C189" s="13">
        <v>46252.407638888886</v>
      </c>
      <c r="D189">
        <v>33933</v>
      </c>
      <c r="E189" s="54" t="s">
        <v>235</v>
      </c>
      <c r="F189" s="54" t="s">
        <v>529</v>
      </c>
      <c r="G189" s="54" t="s">
        <v>542</v>
      </c>
      <c r="H189" s="55">
        <v>12.3</v>
      </c>
      <c r="I189" s="55">
        <v>11.600000000000001</v>
      </c>
      <c r="J189" s="55">
        <v>11.3</v>
      </c>
      <c r="K189" s="54"/>
      <c r="L189" s="56" t="b">
        <v>0</v>
      </c>
      <c r="M189" s="56" t="b">
        <v>0</v>
      </c>
      <c r="N189" s="54">
        <v>1</v>
      </c>
      <c r="O189" s="54" t="s">
        <v>228</v>
      </c>
      <c r="P189" s="54">
        <v>24</v>
      </c>
      <c r="Q189" s="54">
        <v>12</v>
      </c>
      <c r="R189" s="54">
        <v>200</v>
      </c>
      <c r="S189" s="54" t="s">
        <v>531</v>
      </c>
      <c r="T189" s="54" t="s">
        <v>532</v>
      </c>
      <c r="U189" s="54" t="s">
        <v>533</v>
      </c>
      <c r="V189" s="54" t="s">
        <v>534</v>
      </c>
      <c r="W189" s="54" t="b">
        <v>0</v>
      </c>
      <c r="X189" s="54"/>
      <c r="Y189" s="57" t="s">
        <v>2161</v>
      </c>
      <c r="Z189" s="54" t="s">
        <v>2162</v>
      </c>
      <c r="AA189" s="54"/>
      <c r="AB189" s="54" t="s">
        <v>535</v>
      </c>
      <c r="AC189" s="56" t="b">
        <v>1</v>
      </c>
      <c r="AD189" s="56" t="b">
        <v>0</v>
      </c>
      <c r="AE189" s="54" t="s">
        <v>302</v>
      </c>
      <c r="AF189" s="58">
        <v>46251</v>
      </c>
      <c r="AG189" s="62" t="s">
        <v>293</v>
      </c>
      <c r="AH189" s="54">
        <v>0</v>
      </c>
      <c r="AI189" s="54"/>
      <c r="AJ189" s="54"/>
      <c r="AK189" s="54"/>
      <c r="AL189" s="54"/>
      <c r="AM189" s="54">
        <v>2</v>
      </c>
      <c r="AN189" s="54"/>
      <c r="AO189" s="54"/>
      <c r="AP189" s="54"/>
      <c r="AQ189" s="54"/>
      <c r="AR189" s="54"/>
      <c r="AS189" s="54"/>
      <c r="AT189" s="54"/>
      <c r="AU189" s="54"/>
      <c r="AV189" s="54"/>
      <c r="AW189" s="54"/>
      <c r="AX189" s="59"/>
      <c r="AY189" s="59"/>
      <c r="AZ189" s="59"/>
      <c r="BA189" s="59"/>
      <c r="BB189" s="59">
        <v>5.9659999999999998E-2</v>
      </c>
      <c r="BC189" s="60">
        <v>4.9000000000000004</v>
      </c>
      <c r="BD189" s="61">
        <v>4.9811000000000001E-2</v>
      </c>
      <c r="BE189" s="62" t="s">
        <v>293</v>
      </c>
      <c r="BF189" s="35">
        <f t="shared" si="274"/>
        <v>4.9000000000000004</v>
      </c>
      <c r="BG189" s="35">
        <f t="shared" si="274"/>
        <v>4.9811000000000001E-2</v>
      </c>
      <c r="BH189" s="35" t="str">
        <f t="shared" si="275"/>
        <v>Med</v>
      </c>
      <c r="BI189" s="110">
        <f t="shared" si="276"/>
        <v>0</v>
      </c>
      <c r="BJ189" s="83">
        <f>VLOOKUP($F189,REP_Info!$D$6:$H$250,5,FALSE)</f>
        <v>0.123</v>
      </c>
      <c r="BK189" s="30">
        <f t="shared" si="277"/>
        <v>12.327099999999998</v>
      </c>
      <c r="BL189" s="30">
        <f t="shared" si="277"/>
        <v>11.6371</v>
      </c>
      <c r="BM189" s="30">
        <f t="shared" si="277"/>
        <v>11.292099999999998</v>
      </c>
      <c r="BN189" s="29">
        <f t="shared" si="277"/>
        <v>11.177099999999999</v>
      </c>
      <c r="BO189" s="85" t="str">
        <f t="shared" si="288"/>
        <v>$$$</v>
      </c>
      <c r="BP189" s="88" t="str">
        <f t="shared" si="278"/>
        <v>$$$</v>
      </c>
      <c r="BQ189" s="88" t="str">
        <f t="shared" si="4"/>
        <v>$$$</v>
      </c>
      <c r="BR189" s="88" t="str">
        <f t="shared" si="5"/>
        <v>$$$</v>
      </c>
      <c r="BS189" s="29" t="e">
        <f t="shared" si="279"/>
        <v>#N/A</v>
      </c>
      <c r="BT189" s="29" t="e">
        <f t="shared" si="279"/>
        <v>#N/A</v>
      </c>
      <c r="BU189" s="29" t="e">
        <f t="shared" si="279"/>
        <v>#N/A</v>
      </c>
      <c r="BV189" s="29" t="e">
        <f t="shared" si="279"/>
        <v>#N/A</v>
      </c>
      <c r="BW189" s="29" t="e">
        <f t="shared" si="279"/>
        <v>#N/A</v>
      </c>
      <c r="BX189" s="29" t="e">
        <f t="shared" si="279"/>
        <v>#N/A</v>
      </c>
      <c r="BY189" s="29" t="e">
        <f t="shared" si="279"/>
        <v>#N/A</v>
      </c>
      <c r="BZ189" s="29" t="e">
        <f t="shared" si="279"/>
        <v>#N/A</v>
      </c>
      <c r="CA189" s="29" t="e">
        <f t="shared" si="279"/>
        <v>#N/A</v>
      </c>
      <c r="CB189" s="29" t="e">
        <f t="shared" si="279"/>
        <v>#N/A</v>
      </c>
      <c r="CC189" s="29" t="e">
        <f t="shared" si="279"/>
        <v>#N/A</v>
      </c>
      <c r="CD189" s="29" t="e">
        <f t="shared" si="279"/>
        <v>#N/A</v>
      </c>
      <c r="CE189" s="6" t="str">
        <f t="shared" si="220"/>
        <v/>
      </c>
      <c r="CF189" s="27" t="e">
        <f>IF(AND(CI189,NOT(AD189)),LOOKUP(CF$5,{0,750,1500},H189:J189),"")</f>
        <v>#N/A</v>
      </c>
      <c r="CG189" s="6" t="str">
        <f t="shared" si="221"/>
        <v/>
      </c>
      <c r="CH189" t="e">
        <f t="shared" si="280"/>
        <v>#N/A</v>
      </c>
      <c r="CI189" t="e">
        <f t="shared" si="281"/>
        <v>#N/A</v>
      </c>
      <c r="CJ189" s="6" t="e">
        <f t="shared" si="289"/>
        <v>#N/A</v>
      </c>
      <c r="CK189" s="6">
        <f t="shared" si="290"/>
        <v>1</v>
      </c>
      <c r="CL189" s="6">
        <f t="shared" si="282"/>
        <v>1</v>
      </c>
      <c r="CM189" s="6">
        <f t="shared" si="291"/>
        <v>1</v>
      </c>
      <c r="CN189" s="6">
        <f t="shared" si="292"/>
        <v>1</v>
      </c>
      <c r="CO189" s="6">
        <f t="shared" si="293"/>
        <v>1</v>
      </c>
      <c r="CP189" s="6">
        <f t="shared" si="294"/>
        <v>1</v>
      </c>
      <c r="CQ189" s="6">
        <f t="shared" si="283"/>
        <v>1</v>
      </c>
      <c r="CR189" s="81" t="str">
        <f t="shared" si="295"/>
        <v/>
      </c>
      <c r="CS189">
        <f t="shared" si="284"/>
        <v>0</v>
      </c>
      <c r="CT189">
        <f t="shared" si="19"/>
        <v>200</v>
      </c>
      <c r="CU189" t="str">
        <f t="shared" si="285"/>
        <v/>
      </c>
      <c r="CV189" s="81">
        <f t="shared" si="286"/>
        <v>200</v>
      </c>
      <c r="CW189" s="81">
        <f>(CV189/25)^1.5*(Calculator!$BU$4/10000)*CW$5</f>
        <v>58.426389194959008</v>
      </c>
      <c r="CX189" t="str">
        <f t="shared" si="287"/>
        <v>$200</v>
      </c>
    </row>
    <row r="190" spans="2:102" x14ac:dyDescent="0.25">
      <c r="B190" s="115" t="s">
        <v>233</v>
      </c>
      <c r="C190" s="13">
        <v>46252.407638888886</v>
      </c>
      <c r="D190">
        <v>33934</v>
      </c>
      <c r="E190" s="54" t="s">
        <v>237</v>
      </c>
      <c r="F190" s="54" t="s">
        <v>529</v>
      </c>
      <c r="G190" s="54" t="s">
        <v>542</v>
      </c>
      <c r="H190" s="55">
        <v>13.4</v>
      </c>
      <c r="I190" s="55">
        <v>12.8</v>
      </c>
      <c r="J190" s="55">
        <v>12.5</v>
      </c>
      <c r="K190" s="54"/>
      <c r="L190" s="56" t="b">
        <v>0</v>
      </c>
      <c r="M190" s="56" t="b">
        <v>0</v>
      </c>
      <c r="N190" s="54">
        <v>1</v>
      </c>
      <c r="O190" s="54" t="s">
        <v>228</v>
      </c>
      <c r="P190" s="54">
        <v>24</v>
      </c>
      <c r="Q190" s="54">
        <v>12</v>
      </c>
      <c r="R190" s="54">
        <v>200</v>
      </c>
      <c r="S190" s="54" t="s">
        <v>531</v>
      </c>
      <c r="T190" s="54" t="s">
        <v>532</v>
      </c>
      <c r="U190" s="54" t="s">
        <v>533</v>
      </c>
      <c r="V190" s="54" t="s">
        <v>534</v>
      </c>
      <c r="W190" s="54" t="b">
        <v>0</v>
      </c>
      <c r="X190" s="54"/>
      <c r="Y190" s="57" t="s">
        <v>2163</v>
      </c>
      <c r="Z190" s="54" t="s">
        <v>2164</v>
      </c>
      <c r="AA190" s="54"/>
      <c r="AB190" s="54" t="s">
        <v>535</v>
      </c>
      <c r="AC190" s="56" t="b">
        <v>1</v>
      </c>
      <c r="AD190" s="56" t="b">
        <v>0</v>
      </c>
      <c r="AE190" s="54" t="s">
        <v>302</v>
      </c>
      <c r="AF190" s="58">
        <v>46251</v>
      </c>
      <c r="AG190" s="62" t="s">
        <v>293</v>
      </c>
      <c r="AH190" s="54">
        <v>0</v>
      </c>
      <c r="AI190" s="54"/>
      <c r="AJ190" s="54"/>
      <c r="AK190" s="54"/>
      <c r="AL190" s="54"/>
      <c r="AM190" s="54">
        <v>2</v>
      </c>
      <c r="AN190" s="54"/>
      <c r="AO190" s="54"/>
      <c r="AP190" s="54"/>
      <c r="AQ190" s="54"/>
      <c r="AR190" s="54"/>
      <c r="AS190" s="54"/>
      <c r="AT190" s="54"/>
      <c r="AU190" s="54"/>
      <c r="AV190" s="54"/>
      <c r="AW190" s="54"/>
      <c r="AX190" s="59"/>
      <c r="AY190" s="59"/>
      <c r="AZ190" s="59"/>
      <c r="BA190" s="59"/>
      <c r="BB190" s="59">
        <v>6.1710000000000001E-2</v>
      </c>
      <c r="BC190" s="60">
        <v>4.0599999999999996</v>
      </c>
      <c r="BD190" s="61">
        <v>6.0295000000000001E-2</v>
      </c>
      <c r="BE190" s="62" t="s">
        <v>293</v>
      </c>
      <c r="BF190" s="35">
        <f t="shared" si="274"/>
        <v>4.0600000000000005</v>
      </c>
      <c r="BG190" s="35">
        <f t="shared" si="274"/>
        <v>6.0295000000000001E-2</v>
      </c>
      <c r="BH190" s="35" t="str">
        <f t="shared" si="275"/>
        <v>Med</v>
      </c>
      <c r="BI190" s="110">
        <f t="shared" si="276"/>
        <v>0</v>
      </c>
      <c r="BJ190" s="83">
        <f>VLOOKUP($F190,REP_Info!$D$6:$H$250,5,FALSE)</f>
        <v>0.123</v>
      </c>
      <c r="BK190" s="30">
        <f t="shared" si="277"/>
        <v>13.4125</v>
      </c>
      <c r="BL190" s="30">
        <f t="shared" si="277"/>
        <v>12.8065</v>
      </c>
      <c r="BM190" s="30">
        <f t="shared" si="277"/>
        <v>12.503500000000001</v>
      </c>
      <c r="BN190" s="29">
        <f t="shared" si="277"/>
        <v>12.4025</v>
      </c>
      <c r="BO190" s="85" t="str">
        <f t="shared" si="288"/>
        <v>$$$</v>
      </c>
      <c r="BP190" s="88" t="str">
        <f t="shared" si="278"/>
        <v>$$$</v>
      </c>
      <c r="BQ190" s="88" t="str">
        <f t="shared" ref="BQ190:BQ191" si="296">IFERROR(SUMPRODUCT($BS$7:$CD$7,$BS190:$CD190,--($BS$4:$CD$4&lt;=$Q190))/SUMPRODUCT(--($BS$4:$CD$4&lt;=$Q190),$BS$7:$CD$7),"$$$")</f>
        <v>$$$</v>
      </c>
      <c r="BR190" s="88" t="str">
        <f t="shared" ref="BR190:BR191" si="297">IFERROR($BQ190-$BF190*100*SUMPRODUCT(--($BS$4:$CD$4&lt;=$Q190))/SUMPRODUCT(--($BS$4:$CD$4&lt;=$Q190),$BS$7:$CD$7)-$BG190*100,"$$$")</f>
        <v>$$$</v>
      </c>
      <c r="BS190" s="29" t="e">
        <f t="shared" si="279"/>
        <v>#N/A</v>
      </c>
      <c r="BT190" s="29" t="e">
        <f t="shared" si="279"/>
        <v>#N/A</v>
      </c>
      <c r="BU190" s="29" t="e">
        <f t="shared" si="279"/>
        <v>#N/A</v>
      </c>
      <c r="BV190" s="29" t="e">
        <f t="shared" si="279"/>
        <v>#N/A</v>
      </c>
      <c r="BW190" s="29" t="e">
        <f t="shared" si="279"/>
        <v>#N/A</v>
      </c>
      <c r="BX190" s="29" t="e">
        <f t="shared" si="279"/>
        <v>#N/A</v>
      </c>
      <c r="BY190" s="29" t="e">
        <f t="shared" si="279"/>
        <v>#N/A</v>
      </c>
      <c r="BZ190" s="29" t="e">
        <f t="shared" si="279"/>
        <v>#N/A</v>
      </c>
      <c r="CA190" s="29" t="e">
        <f t="shared" si="279"/>
        <v>#N/A</v>
      </c>
      <c r="CB190" s="29" t="e">
        <f t="shared" si="279"/>
        <v>#N/A</v>
      </c>
      <c r="CC190" s="29" t="e">
        <f t="shared" si="279"/>
        <v>#N/A</v>
      </c>
      <c r="CD190" s="29" t="e">
        <f t="shared" si="279"/>
        <v>#N/A</v>
      </c>
      <c r="CE190" s="6" t="str">
        <f t="shared" si="220"/>
        <v/>
      </c>
      <c r="CF190" s="27" t="e">
        <f>IF(AND(CI190,NOT(AD190)),LOOKUP(CF$5,{0,750,1500},H190:J190),"")</f>
        <v>#N/A</v>
      </c>
      <c r="CG190" s="6" t="str">
        <f t="shared" si="221"/>
        <v/>
      </c>
      <c r="CH190" t="e">
        <f t="shared" si="280"/>
        <v>#N/A</v>
      </c>
      <c r="CI190" t="e">
        <f t="shared" si="281"/>
        <v>#N/A</v>
      </c>
      <c r="CJ190" s="6" t="e">
        <f t="shared" si="289"/>
        <v>#N/A</v>
      </c>
      <c r="CK190" s="6">
        <f t="shared" si="290"/>
        <v>1</v>
      </c>
      <c r="CL190" s="6">
        <f t="shared" si="282"/>
        <v>1</v>
      </c>
      <c r="CM190" s="6">
        <f t="shared" si="291"/>
        <v>1</v>
      </c>
      <c r="CN190" s="6">
        <f t="shared" si="292"/>
        <v>1</v>
      </c>
      <c r="CO190" s="6">
        <f t="shared" si="293"/>
        <v>1</v>
      </c>
      <c r="CP190" s="6">
        <f t="shared" si="294"/>
        <v>1</v>
      </c>
      <c r="CQ190" s="6">
        <f t="shared" si="283"/>
        <v>1</v>
      </c>
      <c r="CR190" s="81" t="str">
        <f t="shared" si="295"/>
        <v/>
      </c>
      <c r="CS190">
        <f t="shared" si="284"/>
        <v>0</v>
      </c>
      <c r="CT190">
        <f t="shared" si="19"/>
        <v>200</v>
      </c>
      <c r="CU190" t="str">
        <f t="shared" si="285"/>
        <v/>
      </c>
      <c r="CV190" s="81">
        <f t="shared" si="286"/>
        <v>200</v>
      </c>
      <c r="CW190" s="81">
        <f>(CV190/25)^1.5*(Calculator!$BU$4/10000)*CW$5</f>
        <v>58.426389194959008</v>
      </c>
      <c r="CX190" t="str">
        <f t="shared" si="287"/>
        <v>$200</v>
      </c>
    </row>
    <row r="191" spans="2:102" x14ac:dyDescent="0.25">
      <c r="B191" s="115" t="s">
        <v>233</v>
      </c>
      <c r="C191" s="13">
        <v>46252.407638888886</v>
      </c>
      <c r="D191">
        <v>34024</v>
      </c>
      <c r="E191" s="54" t="s">
        <v>235</v>
      </c>
      <c r="F191" s="54" t="s">
        <v>529</v>
      </c>
      <c r="G191" s="54" t="s">
        <v>543</v>
      </c>
      <c r="H191" s="55">
        <v>13</v>
      </c>
      <c r="I191" s="55">
        <v>12.3</v>
      </c>
      <c r="J191" s="55">
        <v>11.899999999999999</v>
      </c>
      <c r="K191" s="54"/>
      <c r="L191" s="56" t="b">
        <v>0</v>
      </c>
      <c r="M191" s="56" t="b">
        <v>0</v>
      </c>
      <c r="N191" s="54">
        <v>1</v>
      </c>
      <c r="O191" s="54" t="s">
        <v>228</v>
      </c>
      <c r="P191" s="54">
        <v>24</v>
      </c>
      <c r="Q191" s="54">
        <v>24</v>
      </c>
      <c r="R191" s="54">
        <v>300</v>
      </c>
      <c r="S191" s="54" t="s">
        <v>531</v>
      </c>
      <c r="T191" s="54" t="s">
        <v>532</v>
      </c>
      <c r="U191" s="54" t="s">
        <v>533</v>
      </c>
      <c r="V191" s="54" t="s">
        <v>534</v>
      </c>
      <c r="W191" s="54" t="b">
        <v>0</v>
      </c>
      <c r="X191" s="54"/>
      <c r="Y191" s="57" t="s">
        <v>2165</v>
      </c>
      <c r="Z191" s="54" t="s">
        <v>2166</v>
      </c>
      <c r="AA191" s="54"/>
      <c r="AB191" s="54" t="s">
        <v>535</v>
      </c>
      <c r="AC191" s="56" t="b">
        <v>1</v>
      </c>
      <c r="AD191" s="56" t="b">
        <v>0</v>
      </c>
      <c r="AE191" s="54" t="s">
        <v>302</v>
      </c>
      <c r="AF191" s="58">
        <v>46251</v>
      </c>
      <c r="AG191" s="62" t="s">
        <v>293</v>
      </c>
      <c r="AH191" s="54">
        <v>0</v>
      </c>
      <c r="AI191" s="54"/>
      <c r="AJ191" s="54"/>
      <c r="AK191" s="54"/>
      <c r="AL191" s="54"/>
      <c r="AM191" s="54">
        <v>2</v>
      </c>
      <c r="AN191" s="54"/>
      <c r="AO191" s="54"/>
      <c r="AP191" s="54"/>
      <c r="AQ191" s="54"/>
      <c r="AR191" s="54"/>
      <c r="AS191" s="54"/>
      <c r="AT191" s="54"/>
      <c r="AU191" s="54"/>
      <c r="AV191" s="54"/>
      <c r="AW191" s="54"/>
      <c r="AX191" s="59"/>
      <c r="AY191" s="59"/>
      <c r="AZ191" s="59"/>
      <c r="BA191" s="59"/>
      <c r="BB191" s="59">
        <v>6.608E-2</v>
      </c>
      <c r="BC191" s="60">
        <v>4.9000000000000004</v>
      </c>
      <c r="BD191" s="61">
        <v>4.9811000000000001E-2</v>
      </c>
      <c r="BE191" s="62" t="s">
        <v>293</v>
      </c>
      <c r="BF191" s="35">
        <f t="shared" si="274"/>
        <v>4.9000000000000004</v>
      </c>
      <c r="BG191" s="35">
        <f t="shared" si="274"/>
        <v>4.9811000000000001E-2</v>
      </c>
      <c r="BH191" s="35" t="str">
        <f t="shared" si="275"/>
        <v>Med</v>
      </c>
      <c r="BI191" s="110">
        <f t="shared" si="276"/>
        <v>0</v>
      </c>
      <c r="BJ191" s="83">
        <f>VLOOKUP($F191,REP_Info!$D$6:$H$250,5,FALSE)</f>
        <v>0.123</v>
      </c>
      <c r="BK191" s="30">
        <f t="shared" si="277"/>
        <v>12.969100000000001</v>
      </c>
      <c r="BL191" s="30">
        <f t="shared" si="277"/>
        <v>12.2791</v>
      </c>
      <c r="BM191" s="30">
        <f t="shared" si="277"/>
        <v>11.934100000000001</v>
      </c>
      <c r="BN191" s="29">
        <f t="shared" si="277"/>
        <v>11.819099999999999</v>
      </c>
      <c r="BO191" s="85" t="str">
        <f t="shared" si="288"/>
        <v>$$$</v>
      </c>
      <c r="BP191" s="88" t="str">
        <f t="shared" si="278"/>
        <v>$$$</v>
      </c>
      <c r="BQ191" s="88" t="str">
        <f t="shared" si="296"/>
        <v>$$$</v>
      </c>
      <c r="BR191" s="88" t="str">
        <f t="shared" si="297"/>
        <v>$$$</v>
      </c>
      <c r="BS191" s="29" t="e">
        <f t="shared" si="279"/>
        <v>#N/A</v>
      </c>
      <c r="BT191" s="29" t="e">
        <f t="shared" si="279"/>
        <v>#N/A</v>
      </c>
      <c r="BU191" s="29" t="e">
        <f t="shared" si="279"/>
        <v>#N/A</v>
      </c>
      <c r="BV191" s="29" t="e">
        <f t="shared" si="279"/>
        <v>#N/A</v>
      </c>
      <c r="BW191" s="29" t="e">
        <f t="shared" si="279"/>
        <v>#N/A</v>
      </c>
      <c r="BX191" s="29" t="e">
        <f t="shared" si="279"/>
        <v>#N/A</v>
      </c>
      <c r="BY191" s="29" t="e">
        <f t="shared" si="279"/>
        <v>#N/A</v>
      </c>
      <c r="BZ191" s="29" t="e">
        <f t="shared" si="279"/>
        <v>#N/A</v>
      </c>
      <c r="CA191" s="29" t="e">
        <f t="shared" si="279"/>
        <v>#N/A</v>
      </c>
      <c r="CB191" s="29" t="e">
        <f t="shared" si="279"/>
        <v>#N/A</v>
      </c>
      <c r="CC191" s="29" t="e">
        <f t="shared" si="279"/>
        <v>#N/A</v>
      </c>
      <c r="CD191" s="29" t="e">
        <f t="shared" si="279"/>
        <v>#N/A</v>
      </c>
      <c r="CE191" s="6" t="str">
        <f t="shared" si="220"/>
        <v/>
      </c>
      <c r="CF191" s="27" t="e">
        <f>IF(AND(CI191,NOT(AD191)),LOOKUP(CF$5,{0,750,1500},H191:J191),"")</f>
        <v>#N/A</v>
      </c>
      <c r="CG191" s="6" t="str">
        <f t="shared" si="221"/>
        <v/>
      </c>
      <c r="CH191" t="e">
        <f t="shared" si="280"/>
        <v>#N/A</v>
      </c>
      <c r="CI191" t="e">
        <f t="shared" si="281"/>
        <v>#N/A</v>
      </c>
      <c r="CJ191" s="6" t="e">
        <f t="shared" si="289"/>
        <v>#N/A</v>
      </c>
      <c r="CK191" s="6">
        <f t="shared" si="290"/>
        <v>1</v>
      </c>
      <c r="CL191" s="6">
        <f t="shared" si="282"/>
        <v>1</v>
      </c>
      <c r="CM191" s="6">
        <f t="shared" si="291"/>
        <v>1</v>
      </c>
      <c r="CN191" s="6">
        <f t="shared" si="292"/>
        <v>1</v>
      </c>
      <c r="CO191" s="6">
        <f t="shared" si="293"/>
        <v>0</v>
      </c>
      <c r="CP191" s="6">
        <f t="shared" si="294"/>
        <v>1</v>
      </c>
      <c r="CQ191" s="6">
        <f t="shared" si="283"/>
        <v>1</v>
      </c>
      <c r="CR191" s="81" t="str">
        <f t="shared" si="295"/>
        <v/>
      </c>
      <c r="CS191">
        <f t="shared" si="284"/>
        <v>0</v>
      </c>
      <c r="CT191">
        <f t="shared" si="19"/>
        <v>300</v>
      </c>
      <c r="CU191" t="str">
        <f t="shared" si="285"/>
        <v/>
      </c>
      <c r="CV191" s="81">
        <f t="shared" si="286"/>
        <v>300</v>
      </c>
      <c r="CW191" s="81">
        <f>(CV191/25)^1.5*(Calculator!$BU$4/10000)*CW$5</f>
        <v>107.33613078068259</v>
      </c>
      <c r="CX191" t="str">
        <f t="shared" si="287"/>
        <v>$300</v>
      </c>
    </row>
    <row r="192" spans="2:102" x14ac:dyDescent="0.25">
      <c r="B192" s="115" t="s">
        <v>233</v>
      </c>
      <c r="C192" s="13">
        <v>46252.407638888886</v>
      </c>
      <c r="D192">
        <v>34026</v>
      </c>
      <c r="E192" s="54" t="s">
        <v>237</v>
      </c>
      <c r="F192" s="54" t="s">
        <v>529</v>
      </c>
      <c r="G192" s="54" t="s">
        <v>543</v>
      </c>
      <c r="H192" s="55">
        <v>14.000000000000002</v>
      </c>
      <c r="I192" s="55">
        <v>13.3</v>
      </c>
      <c r="J192" s="55">
        <v>13</v>
      </c>
      <c r="K192" s="54"/>
      <c r="L192" s="56" t="b">
        <v>0</v>
      </c>
      <c r="M192" s="56" t="b">
        <v>0</v>
      </c>
      <c r="N192" s="54">
        <v>1</v>
      </c>
      <c r="O192" s="54" t="s">
        <v>228</v>
      </c>
      <c r="P192" s="54">
        <v>24</v>
      </c>
      <c r="Q192" s="54">
        <v>24</v>
      </c>
      <c r="R192" s="54">
        <v>300</v>
      </c>
      <c r="S192" s="54" t="s">
        <v>531</v>
      </c>
      <c r="T192" s="54" t="s">
        <v>532</v>
      </c>
      <c r="U192" s="54" t="s">
        <v>533</v>
      </c>
      <c r="V192" s="54" t="s">
        <v>534</v>
      </c>
      <c r="W192" s="54" t="b">
        <v>0</v>
      </c>
      <c r="X192" s="54"/>
      <c r="Y192" s="57" t="s">
        <v>2167</v>
      </c>
      <c r="Z192" s="54" t="s">
        <v>2168</v>
      </c>
      <c r="AA192" s="54"/>
      <c r="AB192" s="54" t="s">
        <v>535</v>
      </c>
      <c r="AC192" s="56" t="b">
        <v>1</v>
      </c>
      <c r="AD192" s="56" t="b">
        <v>0</v>
      </c>
      <c r="AE192" s="54" t="s">
        <v>302</v>
      </c>
      <c r="AF192" s="58">
        <v>46251</v>
      </c>
      <c r="AG192" s="62" t="s">
        <v>293</v>
      </c>
      <c r="AH192" s="54">
        <v>0</v>
      </c>
      <c r="AI192" s="54"/>
      <c r="AJ192" s="54"/>
      <c r="AK192" s="54"/>
      <c r="AL192" s="54"/>
      <c r="AM192" s="54">
        <v>2</v>
      </c>
      <c r="AN192" s="54"/>
      <c r="AO192" s="54"/>
      <c r="AP192" s="54"/>
      <c r="AQ192" s="54"/>
      <c r="AR192" s="54"/>
      <c r="AS192" s="54"/>
      <c r="AT192" s="54"/>
      <c r="AU192" s="54"/>
      <c r="AV192" s="54"/>
      <c r="AW192" s="54"/>
      <c r="AX192" s="59"/>
      <c r="AY192" s="59"/>
      <c r="AZ192" s="59"/>
      <c r="BA192" s="59"/>
      <c r="BB192" s="59">
        <v>6.7089999999999997E-2</v>
      </c>
      <c r="BC192" s="60">
        <v>4.0599999999999996</v>
      </c>
      <c r="BD192" s="61">
        <v>6.0295000000000001E-2</v>
      </c>
      <c r="BE192" s="62" t="s">
        <v>293</v>
      </c>
      <c r="BF192" s="35">
        <f t="shared" ref="BF192:BG193" si="298">IF($E192=$E$4,BF$4,IF($E192=$E$5,BF$5,""))</f>
        <v>4.0600000000000005</v>
      </c>
      <c r="BG192" s="35">
        <f t="shared" si="298"/>
        <v>6.0295000000000001E-2</v>
      </c>
      <c r="BH192" s="35" t="str">
        <f t="shared" ref="BH192:BH193" si="299">IF(ISTEXT(BE192),IF(AND(AV192=0,SUM(AN192:AQ192)=0),IF(AM192&lt;=0,IF(BE192="Y","Low","Flat"),"Med"),"High"),"?")</f>
        <v>Med</v>
      </c>
      <c r="BI192" s="110">
        <f t="shared" ref="BI192:BI193" si="300">IF(ISNUMBER(AH192),0*BI$5*SIN((EDATE($A$3,$Q192)-DATE(YEAR(EDATE($A$3,$Q192)),1,0)-BI$4)*2*PI()/365),"")</f>
        <v>0</v>
      </c>
      <c r="BJ192" s="83">
        <f>VLOOKUP($F192,REP_Info!$D$6:$H$250,5,FALSE)</f>
        <v>0.123</v>
      </c>
      <c r="BK192" s="30">
        <f t="shared" ref="BK192:BN193" si="301">IF(BK$7&gt;0,(LOOKUP(BK$7,$AH192:$AL192,$AM192:$AQ192)+IF($AG192="Y",SUMPRODUCT($AX192:$BB192-$AW192:$BA192,BK$7-$AR192:$AV192,N(BK$7&gt;$AR192:$AV192)),BK$7*LOOKUP(BK$7,$AR192:$AV192,$AX192:$BB192))+IF($BE192="Y",$BF192,$BC192)+BK$7*IF($BE192="Y",$BG192,$BD192))*100/BK$7,"")</f>
        <v>13.9505</v>
      </c>
      <c r="BL192" s="30">
        <f t="shared" si="301"/>
        <v>13.3445</v>
      </c>
      <c r="BM192" s="30">
        <f t="shared" si="301"/>
        <v>13.041500000000001</v>
      </c>
      <c r="BN192" s="29">
        <f t="shared" si="301"/>
        <v>12.9405</v>
      </c>
      <c r="BO192" s="85" t="str">
        <f t="shared" si="2"/>
        <v>$$$</v>
      </c>
      <c r="BP192" s="88" t="str">
        <f t="shared" ref="BP192:BP193" si="302">IFERROR(BO192*100/BO$5,"$$$")</f>
        <v>$$$</v>
      </c>
      <c r="BQ192" s="88" t="str">
        <f t="shared" si="4"/>
        <v>$$$</v>
      </c>
      <c r="BR192" s="88" t="str">
        <f t="shared" si="5"/>
        <v>$$$</v>
      </c>
      <c r="BS192" s="29" t="e">
        <f t="shared" ref="BS192:CD193" si="303">IF($CI192,IF(BS$7&gt;0,IF(BS$4&gt;$Q192,$BF192+BS$7*(BS$5+$BG192+$BI192),LOOKUP(BS$7,$AH192:$AL192,$AM192:$AQ192)+IF($AG192="Y",SUMPRODUCT($AX192:$BB192-$AW192:$BA192,BS$7-$AR192:$AV192,N(BS$7&gt;$AR192:$AV192)),BS$7*LOOKUP(BS$7,$AR192:$AV192,$AX192:$BB192))+IF($BE192="Y",$BF192,$BC192)+BS$7*IF($BE192="Y",$BG192,$BD192))*100/BS$7,""),NA())</f>
        <v>#N/A</v>
      </c>
      <c r="BT192" s="29" t="e">
        <f t="shared" si="303"/>
        <v>#N/A</v>
      </c>
      <c r="BU192" s="29" t="e">
        <f t="shared" si="303"/>
        <v>#N/A</v>
      </c>
      <c r="BV192" s="29" t="e">
        <f t="shared" si="303"/>
        <v>#N/A</v>
      </c>
      <c r="BW192" s="29" t="e">
        <f t="shared" si="303"/>
        <v>#N/A</v>
      </c>
      <c r="BX192" s="29" t="e">
        <f t="shared" si="303"/>
        <v>#N/A</v>
      </c>
      <c r="BY192" s="29" t="e">
        <f t="shared" si="303"/>
        <v>#N/A</v>
      </c>
      <c r="BZ192" s="29" t="e">
        <f t="shared" si="303"/>
        <v>#N/A</v>
      </c>
      <c r="CA192" s="29" t="e">
        <f t="shared" si="303"/>
        <v>#N/A</v>
      </c>
      <c r="CB192" s="29" t="e">
        <f t="shared" si="303"/>
        <v>#N/A</v>
      </c>
      <c r="CC192" s="29" t="e">
        <f t="shared" si="303"/>
        <v>#N/A</v>
      </c>
      <c r="CD192" s="29" t="e">
        <f t="shared" si="303"/>
        <v>#N/A</v>
      </c>
      <c r="CE192" s="6" t="str">
        <f t="shared" si="220"/>
        <v/>
      </c>
      <c r="CF192" s="27" t="e">
        <f>IF(AND(CI192,NOT(AD192)),LOOKUP(CF$5,{0,750,1500},H192:J192),"")</f>
        <v>#N/A</v>
      </c>
      <c r="CG192" s="6" t="str">
        <f t="shared" si="221"/>
        <v/>
      </c>
      <c r="CH192" t="e">
        <f t="shared" ref="CH192:CH193" si="304">IF(CI192,IF(ISNUMBER(BO192),BO192,100000)+CV192/10000+IF(ISNUMBER(BJ192),BJ192,2)/10000-P192/100000+ROW()/10000000,"")</f>
        <v>#N/A</v>
      </c>
      <c r="CI192" t="e">
        <f t="shared" ref="CI192:CI193" si="305">PRODUCT(CJ192:CQ192)</f>
        <v>#N/A</v>
      </c>
      <c r="CJ192" s="6" t="e">
        <f t="shared" si="11"/>
        <v>#N/A</v>
      </c>
      <c r="CK192" s="6">
        <f t="shared" si="12"/>
        <v>1</v>
      </c>
      <c r="CL192" s="6">
        <f t="shared" ref="CL192:CL193" si="306">IFERROR(--OR(ISBLANK(CL$5),$BJ192="",AND(ISNUMBER($BJ192),$BJ192&lt;=CL$5)),1)</f>
        <v>1</v>
      </c>
      <c r="CM192" s="6">
        <f t="shared" si="13"/>
        <v>1</v>
      </c>
      <c r="CN192" s="6">
        <f t="shared" si="14"/>
        <v>1</v>
      </c>
      <c r="CO192" s="6">
        <f t="shared" si="15"/>
        <v>0</v>
      </c>
      <c r="CP192" s="6">
        <f t="shared" si="16"/>
        <v>1</v>
      </c>
      <c r="CQ192" s="6">
        <f t="shared" ref="CQ192:CQ193" si="307">IF(CQ$5="Any",1,IF(AND(CQ$5="Med",AV192=0,SUM(AN192:AQ192)=0),1,IF(AND(CQ$5="Low",AV192=0,SUM(AN192:AQ192)=0,AM192=0),1,IF(AND(CQ$5="Flat",AV192=0,SUM(AN192:AQ192)=0,AM192=0,IFERROR(NOT(BE192="Y"),0)),1,0))))</f>
        <v>1</v>
      </c>
      <c r="CR192" s="81" t="str">
        <f t="shared" si="17"/>
        <v/>
      </c>
      <c r="CS192">
        <f t="shared" ref="CS192:CS193" si="308">CS$5*(12/(MIN(12,Q192))-1)</f>
        <v>0</v>
      </c>
      <c r="CT192">
        <f t="shared" si="19"/>
        <v>300</v>
      </c>
      <c r="CU192" t="str">
        <f t="shared" ref="CU192:CU193" si="309">IF(AND(ISERR(FIND("remain",$R192)),ISERR(FIND("left",$R192))),"","r")&amp;IF(ISERR(FIND("mon",$R192)),"","m")</f>
        <v/>
      </c>
      <c r="CV192" s="81">
        <f t="shared" ref="CV192:CV193" si="310">CT192*IF(CU192="",1,Q192)</f>
        <v>300</v>
      </c>
      <c r="CW192" s="81">
        <f>(CV192/25)^1.5*(Calculator!$BU$4/10000)*CW$5</f>
        <v>107.33613078068259</v>
      </c>
      <c r="CX192" t="str">
        <f t="shared" ref="CX192:CX193" si="311">"$"&amp;IF(LEFT(CU192,1)="r",CT192&amp;"/"&amp;CU192,CV192)</f>
        <v>$300</v>
      </c>
    </row>
    <row r="193" spans="2:102" x14ac:dyDescent="0.25">
      <c r="B193" s="115" t="s">
        <v>233</v>
      </c>
      <c r="C193" s="13">
        <v>46252.407638888886</v>
      </c>
      <c r="D193">
        <v>34107</v>
      </c>
      <c r="E193" s="54" t="s">
        <v>235</v>
      </c>
      <c r="F193" s="54" t="s">
        <v>529</v>
      </c>
      <c r="G193" s="54" t="s">
        <v>544</v>
      </c>
      <c r="H193" s="55">
        <v>13.200000000000001</v>
      </c>
      <c r="I193" s="55">
        <v>12.5</v>
      </c>
      <c r="J193" s="55">
        <v>12.2</v>
      </c>
      <c r="K193" s="54"/>
      <c r="L193" s="56" t="b">
        <v>0</v>
      </c>
      <c r="M193" s="56" t="b">
        <v>0</v>
      </c>
      <c r="N193" s="54">
        <v>1</v>
      </c>
      <c r="O193" s="54" t="s">
        <v>228</v>
      </c>
      <c r="P193" s="54">
        <v>24</v>
      </c>
      <c r="Q193" s="54">
        <v>36</v>
      </c>
      <c r="R193" s="54">
        <v>375</v>
      </c>
      <c r="S193" s="54" t="s">
        <v>531</v>
      </c>
      <c r="T193" s="54" t="s">
        <v>532</v>
      </c>
      <c r="U193" s="54" t="s">
        <v>533</v>
      </c>
      <c r="V193" s="54" t="s">
        <v>534</v>
      </c>
      <c r="W193" s="54" t="b">
        <v>0</v>
      </c>
      <c r="X193" s="54"/>
      <c r="Y193" s="57" t="s">
        <v>2169</v>
      </c>
      <c r="Z193" s="54" t="s">
        <v>2170</v>
      </c>
      <c r="AA193" s="54"/>
      <c r="AB193" s="54" t="s">
        <v>535</v>
      </c>
      <c r="AC193" s="56" t="b">
        <v>1</v>
      </c>
      <c r="AD193" s="56" t="b">
        <v>0</v>
      </c>
      <c r="AE193" s="54" t="s">
        <v>302</v>
      </c>
      <c r="AF193" s="58">
        <v>46251</v>
      </c>
      <c r="AG193" s="62" t="s">
        <v>293</v>
      </c>
      <c r="AH193" s="54">
        <v>0</v>
      </c>
      <c r="AI193" s="54"/>
      <c r="AJ193" s="54"/>
      <c r="AK193" s="54"/>
      <c r="AL193" s="54"/>
      <c r="AM193" s="54">
        <v>2</v>
      </c>
      <c r="AN193" s="54"/>
      <c r="AO193" s="54"/>
      <c r="AP193" s="54"/>
      <c r="AQ193" s="54"/>
      <c r="AR193" s="54"/>
      <c r="AS193" s="54"/>
      <c r="AT193" s="54"/>
      <c r="AU193" s="54"/>
      <c r="AV193" s="54"/>
      <c r="AW193" s="54"/>
      <c r="AX193" s="59"/>
      <c r="AY193" s="59"/>
      <c r="AZ193" s="59"/>
      <c r="BA193" s="59"/>
      <c r="BB193" s="59">
        <v>6.855E-2</v>
      </c>
      <c r="BC193" s="60">
        <v>4.9000000000000004</v>
      </c>
      <c r="BD193" s="61">
        <v>4.9811000000000001E-2</v>
      </c>
      <c r="BE193" s="62" t="s">
        <v>293</v>
      </c>
      <c r="BF193" s="35">
        <f t="shared" si="298"/>
        <v>4.9000000000000004</v>
      </c>
      <c r="BG193" s="35">
        <f t="shared" si="298"/>
        <v>4.9811000000000001E-2</v>
      </c>
      <c r="BH193" s="35" t="str">
        <f t="shared" si="299"/>
        <v>Med</v>
      </c>
      <c r="BI193" s="110">
        <f t="shared" si="300"/>
        <v>0</v>
      </c>
      <c r="BJ193" s="83">
        <f>VLOOKUP($F193,REP_Info!$D$6:$H$250,5,FALSE)</f>
        <v>0.123</v>
      </c>
      <c r="BK193" s="30">
        <f t="shared" si="301"/>
        <v>13.216100000000001</v>
      </c>
      <c r="BL193" s="30">
        <f t="shared" si="301"/>
        <v>12.5261</v>
      </c>
      <c r="BM193" s="30">
        <f t="shared" si="301"/>
        <v>12.181100000000001</v>
      </c>
      <c r="BN193" s="29">
        <f t="shared" si="301"/>
        <v>12.0661</v>
      </c>
      <c r="BO193" s="85" t="str">
        <f t="shared" si="2"/>
        <v>$$$</v>
      </c>
      <c r="BP193" s="88" t="str">
        <f t="shared" si="302"/>
        <v>$$$</v>
      </c>
      <c r="BQ193" s="88" t="str">
        <f t="shared" si="4"/>
        <v>$$$</v>
      </c>
      <c r="BR193" s="88" t="str">
        <f t="shared" si="5"/>
        <v>$$$</v>
      </c>
      <c r="BS193" s="29" t="e">
        <f t="shared" si="303"/>
        <v>#N/A</v>
      </c>
      <c r="BT193" s="29" t="e">
        <f t="shared" si="303"/>
        <v>#N/A</v>
      </c>
      <c r="BU193" s="29" t="e">
        <f t="shared" si="303"/>
        <v>#N/A</v>
      </c>
      <c r="BV193" s="29" t="e">
        <f t="shared" si="303"/>
        <v>#N/A</v>
      </c>
      <c r="BW193" s="29" t="e">
        <f t="shared" si="303"/>
        <v>#N/A</v>
      </c>
      <c r="BX193" s="29" t="e">
        <f t="shared" si="303"/>
        <v>#N/A</v>
      </c>
      <c r="BY193" s="29" t="e">
        <f t="shared" si="303"/>
        <v>#N/A</v>
      </c>
      <c r="BZ193" s="29" t="e">
        <f t="shared" si="303"/>
        <v>#N/A</v>
      </c>
      <c r="CA193" s="29" t="e">
        <f t="shared" si="303"/>
        <v>#N/A</v>
      </c>
      <c r="CB193" s="29" t="e">
        <f t="shared" si="303"/>
        <v>#N/A</v>
      </c>
      <c r="CC193" s="29" t="e">
        <f t="shared" si="303"/>
        <v>#N/A</v>
      </c>
      <c r="CD193" s="29" t="e">
        <f t="shared" si="303"/>
        <v>#N/A</v>
      </c>
      <c r="CE193" s="6" t="str">
        <f t="shared" si="220"/>
        <v/>
      </c>
      <c r="CF193" s="27" t="e">
        <f>IF(AND(CI193,NOT(AD193)),LOOKUP(CF$5,{0,750,1500},H193:J193),"")</f>
        <v>#N/A</v>
      </c>
      <c r="CG193" s="6" t="str">
        <f t="shared" si="221"/>
        <v/>
      </c>
      <c r="CH193" t="e">
        <f t="shared" si="304"/>
        <v>#N/A</v>
      </c>
      <c r="CI193" t="e">
        <f t="shared" si="305"/>
        <v>#N/A</v>
      </c>
      <c r="CJ193" s="6" t="e">
        <f t="shared" si="11"/>
        <v>#N/A</v>
      </c>
      <c r="CK193" s="6">
        <f t="shared" si="12"/>
        <v>1</v>
      </c>
      <c r="CL193" s="6">
        <f t="shared" si="306"/>
        <v>1</v>
      </c>
      <c r="CM193" s="6">
        <f t="shared" si="13"/>
        <v>1</v>
      </c>
      <c r="CN193" s="6">
        <f t="shared" si="14"/>
        <v>1</v>
      </c>
      <c r="CO193" s="6">
        <f t="shared" si="15"/>
        <v>0</v>
      </c>
      <c r="CP193" s="6">
        <f t="shared" si="16"/>
        <v>1</v>
      </c>
      <c r="CQ193" s="6">
        <f t="shared" si="307"/>
        <v>1</v>
      </c>
      <c r="CR193" s="81" t="str">
        <f t="shared" si="17"/>
        <v/>
      </c>
      <c r="CS193">
        <f t="shared" si="308"/>
        <v>0</v>
      </c>
      <c r="CT193">
        <f t="shared" si="19"/>
        <v>375</v>
      </c>
      <c r="CU193" t="str">
        <f t="shared" si="309"/>
        <v/>
      </c>
      <c r="CV193" s="81">
        <f t="shared" si="310"/>
        <v>375</v>
      </c>
      <c r="CW193" s="81">
        <f>(CV193/25)^1.5*(Calculator!$BU$4/10000)*CW$5</f>
        <v>150.00680304213355</v>
      </c>
      <c r="CX193" t="str">
        <f t="shared" si="311"/>
        <v>$375</v>
      </c>
    </row>
    <row r="194" spans="2:102" x14ac:dyDescent="0.25">
      <c r="B194" s="115" t="s">
        <v>233</v>
      </c>
      <c r="C194" s="13">
        <v>46252.407638888886</v>
      </c>
      <c r="D194">
        <v>34109</v>
      </c>
      <c r="E194" s="54" t="s">
        <v>237</v>
      </c>
      <c r="F194" s="54" t="s">
        <v>529</v>
      </c>
      <c r="G194" s="54" t="s">
        <v>544</v>
      </c>
      <c r="H194" s="55">
        <v>14.299999999999999</v>
      </c>
      <c r="I194" s="55">
        <v>13.700000000000001</v>
      </c>
      <c r="J194" s="55">
        <v>13.4</v>
      </c>
      <c r="K194" s="54"/>
      <c r="L194" s="56" t="b">
        <v>0</v>
      </c>
      <c r="M194" s="56" t="b">
        <v>0</v>
      </c>
      <c r="N194" s="54">
        <v>1</v>
      </c>
      <c r="O194" s="54" t="s">
        <v>228</v>
      </c>
      <c r="P194" s="54">
        <v>24</v>
      </c>
      <c r="Q194" s="54">
        <v>36</v>
      </c>
      <c r="R194" s="54">
        <v>375</v>
      </c>
      <c r="S194" s="54" t="s">
        <v>531</v>
      </c>
      <c r="T194" s="54" t="s">
        <v>532</v>
      </c>
      <c r="U194" s="54" t="s">
        <v>533</v>
      </c>
      <c r="V194" s="54" t="s">
        <v>534</v>
      </c>
      <c r="W194" s="54" t="b">
        <v>0</v>
      </c>
      <c r="X194" s="54"/>
      <c r="Y194" s="57" t="s">
        <v>2171</v>
      </c>
      <c r="Z194" s="54" t="s">
        <v>2172</v>
      </c>
      <c r="AA194" s="54"/>
      <c r="AB194" s="54" t="s">
        <v>535</v>
      </c>
      <c r="AC194" s="56" t="b">
        <v>1</v>
      </c>
      <c r="AD194" s="56" t="b">
        <v>0</v>
      </c>
      <c r="AE194" s="54" t="s">
        <v>302</v>
      </c>
      <c r="AF194" s="58">
        <v>46251</v>
      </c>
      <c r="AG194" s="62" t="s">
        <v>293</v>
      </c>
      <c r="AH194" s="54">
        <v>0</v>
      </c>
      <c r="AI194" s="54"/>
      <c r="AJ194" s="54"/>
      <c r="AK194" s="54"/>
      <c r="AL194" s="54"/>
      <c r="AM194" s="54">
        <v>2</v>
      </c>
      <c r="AN194" s="54"/>
      <c r="AO194" s="54"/>
      <c r="AP194" s="54"/>
      <c r="AQ194" s="54"/>
      <c r="AR194" s="54"/>
      <c r="AS194" s="54"/>
      <c r="AT194" s="54"/>
      <c r="AU194" s="54"/>
      <c r="AV194" s="54"/>
      <c r="AW194" s="54"/>
      <c r="AX194" s="59"/>
      <c r="AY194" s="59"/>
      <c r="AZ194" s="59"/>
      <c r="BA194" s="59"/>
      <c r="BB194" s="59">
        <v>7.0790000000000006E-2</v>
      </c>
      <c r="BC194" s="60">
        <v>4.0599999999999996</v>
      </c>
      <c r="BD194" s="61">
        <v>6.0295000000000001E-2</v>
      </c>
      <c r="BE194" s="62" t="s">
        <v>293</v>
      </c>
      <c r="BF194" s="35">
        <f t="shared" ref="BF194:BG197" si="312">IF($E194=$E$4,BF$4,IF($E194=$E$5,BF$5,""))</f>
        <v>4.0600000000000005</v>
      </c>
      <c r="BG194" s="35">
        <f t="shared" si="312"/>
        <v>6.0295000000000001E-2</v>
      </c>
      <c r="BH194" s="35" t="str">
        <f t="shared" ref="BH194:BH197" si="313">IF(ISTEXT(BE194),IF(AND(AV194=0,SUM(AN194:AQ194)=0),IF(AM194&lt;=0,IF(BE194="Y","Low","Flat"),"Med"),"High"),"?")</f>
        <v>Med</v>
      </c>
      <c r="BI194" s="110">
        <f t="shared" ref="BI194:BI197" si="314">IF(ISNUMBER(AH194),0*BI$5*SIN((EDATE($A$3,$Q194)-DATE(YEAR(EDATE($A$3,$Q194)),1,0)-BI$4)*2*PI()/365),"")</f>
        <v>0</v>
      </c>
      <c r="BJ194" s="83">
        <f>VLOOKUP($F194,REP_Info!$D$6:$H$250,5,FALSE)</f>
        <v>0.123</v>
      </c>
      <c r="BK194" s="30">
        <f t="shared" ref="BK194:BN197" si="315">IF(BK$7&gt;0,(LOOKUP(BK$7,$AH194:$AL194,$AM194:$AQ194)+IF($AG194="Y",SUMPRODUCT($AX194:$BB194-$AW194:$BA194,BK$7-$AR194:$AV194,N(BK$7&gt;$AR194:$AV194)),BK$7*LOOKUP(BK$7,$AR194:$AV194,$AX194:$BB194))+IF($BE194="Y",$BF194,$BC194)+BK$7*IF($BE194="Y",$BG194,$BD194))*100/BK$7,"")</f>
        <v>14.320500000000003</v>
      </c>
      <c r="BL194" s="30">
        <f t="shared" si="315"/>
        <v>13.714500000000001</v>
      </c>
      <c r="BM194" s="30">
        <f t="shared" si="315"/>
        <v>13.4115</v>
      </c>
      <c r="BN194" s="29">
        <f t="shared" si="315"/>
        <v>13.310499999999999</v>
      </c>
      <c r="BO194" s="85" t="str">
        <f t="shared" si="2"/>
        <v>$$$</v>
      </c>
      <c r="BP194" s="88" t="str">
        <f t="shared" ref="BP194:BP197" si="316">IFERROR(BO194*100/BO$5,"$$$")</f>
        <v>$$$</v>
      </c>
      <c r="BQ194" s="88" t="str">
        <f t="shared" si="4"/>
        <v>$$$</v>
      </c>
      <c r="BR194" s="88" t="str">
        <f t="shared" si="5"/>
        <v>$$$</v>
      </c>
      <c r="BS194" s="29" t="e">
        <f t="shared" ref="BS194:CD197" si="317">IF($CI194,IF(BS$7&gt;0,IF(BS$4&gt;$Q194,$BF194+BS$7*(BS$5+$BG194+$BI194),LOOKUP(BS$7,$AH194:$AL194,$AM194:$AQ194)+IF($AG194="Y",SUMPRODUCT($AX194:$BB194-$AW194:$BA194,BS$7-$AR194:$AV194,N(BS$7&gt;$AR194:$AV194)),BS$7*LOOKUP(BS$7,$AR194:$AV194,$AX194:$BB194))+IF($BE194="Y",$BF194,$BC194)+BS$7*IF($BE194="Y",$BG194,$BD194))*100/BS$7,""),NA())</f>
        <v>#N/A</v>
      </c>
      <c r="BT194" s="29" t="e">
        <f t="shared" si="317"/>
        <v>#N/A</v>
      </c>
      <c r="BU194" s="29" t="e">
        <f t="shared" si="317"/>
        <v>#N/A</v>
      </c>
      <c r="BV194" s="29" t="e">
        <f t="shared" si="317"/>
        <v>#N/A</v>
      </c>
      <c r="BW194" s="29" t="e">
        <f t="shared" si="317"/>
        <v>#N/A</v>
      </c>
      <c r="BX194" s="29" t="e">
        <f t="shared" si="317"/>
        <v>#N/A</v>
      </c>
      <c r="BY194" s="29" t="e">
        <f t="shared" si="317"/>
        <v>#N/A</v>
      </c>
      <c r="BZ194" s="29" t="e">
        <f t="shared" si="317"/>
        <v>#N/A</v>
      </c>
      <c r="CA194" s="29" t="e">
        <f t="shared" si="317"/>
        <v>#N/A</v>
      </c>
      <c r="CB194" s="29" t="e">
        <f t="shared" si="317"/>
        <v>#N/A</v>
      </c>
      <c r="CC194" s="29" t="e">
        <f t="shared" si="317"/>
        <v>#N/A</v>
      </c>
      <c r="CD194" s="29" t="e">
        <f t="shared" si="317"/>
        <v>#N/A</v>
      </c>
      <c r="CE194" s="6" t="str">
        <f t="shared" si="220"/>
        <v/>
      </c>
      <c r="CF194" s="27" t="e">
        <f>IF(AND(CI194,NOT(AD194)),LOOKUP(CF$5,{0,750,1500},H194:J194),"")</f>
        <v>#N/A</v>
      </c>
      <c r="CG194" s="6" t="str">
        <f t="shared" si="221"/>
        <v/>
      </c>
      <c r="CH194" t="e">
        <f t="shared" ref="CH194:CH197" si="318">IF(CI194,IF(ISNUMBER(BO194),BO194,100000)+CV194/10000+IF(ISNUMBER(BJ194),BJ194,2)/10000-P194/100000+ROW()/10000000,"")</f>
        <v>#N/A</v>
      </c>
      <c r="CI194" t="e">
        <f t="shared" ref="CI194:CI197" si="319">PRODUCT(CJ194:CQ194)</f>
        <v>#N/A</v>
      </c>
      <c r="CJ194" s="6" t="e">
        <f t="shared" si="11"/>
        <v>#N/A</v>
      </c>
      <c r="CK194" s="6">
        <f t="shared" si="12"/>
        <v>1</v>
      </c>
      <c r="CL194" s="6">
        <f t="shared" ref="CL194:CL197" si="320">IFERROR(--OR(ISBLANK(CL$5),$BJ194="",AND(ISNUMBER($BJ194),$BJ194&lt;=CL$5)),1)</f>
        <v>1</v>
      </c>
      <c r="CM194" s="6">
        <f t="shared" si="13"/>
        <v>1</v>
      </c>
      <c r="CN194" s="6">
        <f t="shared" si="14"/>
        <v>1</v>
      </c>
      <c r="CO194" s="6">
        <f t="shared" si="15"/>
        <v>0</v>
      </c>
      <c r="CP194" s="6">
        <f t="shared" si="16"/>
        <v>1</v>
      </c>
      <c r="CQ194" s="6">
        <f t="shared" ref="CQ194:CQ197" si="321">IF(CQ$5="Any",1,IF(AND(CQ$5="Med",AV194=0,SUM(AN194:AQ194)=0),1,IF(AND(CQ$5="Low",AV194=0,SUM(AN194:AQ194)=0,AM194=0),1,IF(AND(CQ$5="Flat",AV194=0,SUM(AN194:AQ194)=0,AM194=0,IFERROR(NOT(BE194="Y"),0)),1,0))))</f>
        <v>1</v>
      </c>
      <c r="CR194" s="81" t="str">
        <f t="shared" si="17"/>
        <v/>
      </c>
      <c r="CS194">
        <f t="shared" ref="CS194:CS197" si="322">CS$5*(12/(MIN(12,Q194))-1)</f>
        <v>0</v>
      </c>
      <c r="CT194">
        <f t="shared" si="19"/>
        <v>375</v>
      </c>
      <c r="CU194" t="str">
        <f t="shared" ref="CU194:CU197" si="323">IF(AND(ISERR(FIND("remain",$R194)),ISERR(FIND("left",$R194))),"","r")&amp;IF(ISERR(FIND("mon",$R194)),"","m")</f>
        <v/>
      </c>
      <c r="CV194" s="81">
        <f t="shared" ref="CV194:CV197" si="324">CT194*IF(CU194="",1,Q194)</f>
        <v>375</v>
      </c>
      <c r="CW194" s="81">
        <f>(CV194/25)^1.5*(Calculator!$BU$4/10000)*CW$5</f>
        <v>150.00680304213355</v>
      </c>
      <c r="CX194" t="str">
        <f t="shared" ref="CX194:CX197" si="325">"$"&amp;IF(LEFT(CU194,1)="r",CT194&amp;"/"&amp;CU194,CV194)</f>
        <v>$375</v>
      </c>
    </row>
    <row r="195" spans="2:102" x14ac:dyDescent="0.25">
      <c r="B195" s="115" t="s">
        <v>233</v>
      </c>
      <c r="C195" s="13">
        <v>46248.413194444445</v>
      </c>
      <c r="D195">
        <v>17283</v>
      </c>
      <c r="E195" s="54" t="s">
        <v>237</v>
      </c>
      <c r="F195" s="54" t="s">
        <v>545</v>
      </c>
      <c r="G195" s="54" t="s">
        <v>2010</v>
      </c>
      <c r="H195" s="55">
        <v>11.600000000000001</v>
      </c>
      <c r="I195" s="55">
        <v>10.8</v>
      </c>
      <c r="J195" s="55">
        <v>10.299999999999999</v>
      </c>
      <c r="K195" s="54"/>
      <c r="L195" s="56" t="b">
        <v>0</v>
      </c>
      <c r="M195" s="56" t="b">
        <v>0</v>
      </c>
      <c r="N195" s="54">
        <v>1</v>
      </c>
      <c r="O195" s="54" t="s">
        <v>228</v>
      </c>
      <c r="P195" s="54">
        <v>22</v>
      </c>
      <c r="Q195" s="54">
        <v>3</v>
      </c>
      <c r="R195" s="54">
        <v>175</v>
      </c>
      <c r="S195" s="54" t="s">
        <v>546</v>
      </c>
      <c r="T195" s="54" t="s">
        <v>547</v>
      </c>
      <c r="U195" s="54" t="s">
        <v>1995</v>
      </c>
      <c r="V195" s="54" t="s">
        <v>548</v>
      </c>
      <c r="W195" s="54" t="b">
        <v>0</v>
      </c>
      <c r="X195" s="54"/>
      <c r="Y195" s="57" t="s">
        <v>2011</v>
      </c>
      <c r="Z195" s="54" t="s">
        <v>549</v>
      </c>
      <c r="AA195" s="54"/>
      <c r="AB195" s="54" t="s">
        <v>550</v>
      </c>
      <c r="AC195" s="56" t="b">
        <v>1</v>
      </c>
      <c r="AD195" s="56" t="b">
        <v>0</v>
      </c>
      <c r="AE195" s="54" t="s">
        <v>302</v>
      </c>
      <c r="AF195" s="58">
        <v>46248</v>
      </c>
      <c r="AG195" s="62" t="s">
        <v>293</v>
      </c>
      <c r="AH195" s="54">
        <v>0</v>
      </c>
      <c r="AI195" s="54"/>
      <c r="AJ195" s="54"/>
      <c r="AK195" s="54"/>
      <c r="AL195" s="54"/>
      <c r="AM195" s="54">
        <v>16.663333333333334</v>
      </c>
      <c r="AN195" s="54"/>
      <c r="AO195" s="54"/>
      <c r="AP195" s="54"/>
      <c r="AQ195" s="54"/>
      <c r="AR195" s="54"/>
      <c r="AS195" s="54"/>
      <c r="AT195" s="54"/>
      <c r="AU195" s="54"/>
      <c r="AV195" s="54"/>
      <c r="AW195" s="54"/>
      <c r="AX195" s="59"/>
      <c r="AY195" s="59"/>
      <c r="AZ195" s="59"/>
      <c r="BA195" s="59"/>
      <c r="BB195" s="59">
        <v>3.9E-2</v>
      </c>
      <c r="BC195" s="60">
        <v>4.0599999999999996</v>
      </c>
      <c r="BD195" s="61">
        <v>6.0295000000000001E-2</v>
      </c>
      <c r="BE195" s="62" t="s">
        <v>293</v>
      </c>
      <c r="BF195" s="35">
        <f t="shared" si="312"/>
        <v>4.0600000000000005</v>
      </c>
      <c r="BG195" s="35">
        <f t="shared" si="312"/>
        <v>6.0295000000000001E-2</v>
      </c>
      <c r="BH195" s="35" t="str">
        <f t="shared" si="313"/>
        <v>Med</v>
      </c>
      <c r="BI195" s="110">
        <f t="shared" si="314"/>
        <v>0</v>
      </c>
      <c r="BJ195" s="83">
        <f>VLOOKUP($F195,REP_Info!$D$6:$H$250,5,FALSE)</f>
        <v>1.8620000000000001</v>
      </c>
      <c r="BK195" s="30">
        <f t="shared" si="315"/>
        <v>14.074166666666668</v>
      </c>
      <c r="BL195" s="30">
        <f t="shared" si="315"/>
        <v>12.001833333333334</v>
      </c>
      <c r="BM195" s="30">
        <f t="shared" si="315"/>
        <v>10.965666666666666</v>
      </c>
      <c r="BN195" s="29">
        <f t="shared" si="315"/>
        <v>10.620277777777778</v>
      </c>
      <c r="BO195" s="85" t="str">
        <f t="shared" si="2"/>
        <v>$$$</v>
      </c>
      <c r="BP195" s="88" t="str">
        <f t="shared" si="316"/>
        <v>$$$</v>
      </c>
      <c r="BQ195" s="88" t="str">
        <f t="shared" si="4"/>
        <v>$$$</v>
      </c>
      <c r="BR195" s="88" t="str">
        <f t="shared" si="5"/>
        <v>$$$</v>
      </c>
      <c r="BS195" s="29" t="e">
        <f t="shared" si="317"/>
        <v>#N/A</v>
      </c>
      <c r="BT195" s="29" t="e">
        <f t="shared" si="317"/>
        <v>#N/A</v>
      </c>
      <c r="BU195" s="29" t="e">
        <f t="shared" si="317"/>
        <v>#N/A</v>
      </c>
      <c r="BV195" s="29" t="e">
        <f t="shared" si="317"/>
        <v>#N/A</v>
      </c>
      <c r="BW195" s="29" t="e">
        <f t="shared" si="317"/>
        <v>#N/A</v>
      </c>
      <c r="BX195" s="29" t="e">
        <f t="shared" si="317"/>
        <v>#N/A</v>
      </c>
      <c r="BY195" s="29" t="e">
        <f t="shared" si="317"/>
        <v>#N/A</v>
      </c>
      <c r="BZ195" s="29" t="e">
        <f t="shared" si="317"/>
        <v>#N/A</v>
      </c>
      <c r="CA195" s="29" t="e">
        <f t="shared" si="317"/>
        <v>#N/A</v>
      </c>
      <c r="CB195" s="29" t="e">
        <f t="shared" si="317"/>
        <v>#N/A</v>
      </c>
      <c r="CC195" s="29" t="e">
        <f t="shared" si="317"/>
        <v>#N/A</v>
      </c>
      <c r="CD195" s="29" t="e">
        <f t="shared" si="317"/>
        <v>#N/A</v>
      </c>
      <c r="CE195" s="6" t="str">
        <f t="shared" si="220"/>
        <v/>
      </c>
      <c r="CF195" s="27" t="e">
        <f>IF(AND(CI195,NOT(AD195)),LOOKUP(CF$5,{0,750,1500},H195:J195),"")</f>
        <v>#N/A</v>
      </c>
      <c r="CG195" s="6" t="str">
        <f t="shared" si="221"/>
        <v/>
      </c>
      <c r="CH195" t="e">
        <f t="shared" si="318"/>
        <v>#N/A</v>
      </c>
      <c r="CI195" t="e">
        <f t="shared" si="319"/>
        <v>#N/A</v>
      </c>
      <c r="CJ195" s="6" t="e">
        <f t="shared" si="11"/>
        <v>#N/A</v>
      </c>
      <c r="CK195" s="6">
        <f t="shared" si="12"/>
        <v>1</v>
      </c>
      <c r="CL195" s="6">
        <f t="shared" si="320"/>
        <v>1</v>
      </c>
      <c r="CM195" s="6">
        <f t="shared" si="13"/>
        <v>1</v>
      </c>
      <c r="CN195" s="6">
        <f t="shared" si="14"/>
        <v>0</v>
      </c>
      <c r="CO195" s="6">
        <f t="shared" si="15"/>
        <v>1</v>
      </c>
      <c r="CP195" s="6">
        <f t="shared" si="16"/>
        <v>1</v>
      </c>
      <c r="CQ195" s="6">
        <f t="shared" si="321"/>
        <v>1</v>
      </c>
      <c r="CR195" s="81" t="str">
        <f t="shared" si="17"/>
        <v/>
      </c>
      <c r="CS195">
        <f t="shared" si="322"/>
        <v>54</v>
      </c>
      <c r="CT195">
        <f t="shared" si="19"/>
        <v>175</v>
      </c>
      <c r="CU195" t="str">
        <f t="shared" si="323"/>
        <v/>
      </c>
      <c r="CV195" s="81">
        <f t="shared" si="324"/>
        <v>175</v>
      </c>
      <c r="CW195" s="81">
        <f>(CV195/25)^1.5*(Calculator!$BU$4/10000)*CW$5</f>
        <v>47.821272343654172</v>
      </c>
      <c r="CX195" t="str">
        <f t="shared" si="325"/>
        <v>$175</v>
      </c>
    </row>
    <row r="196" spans="2:102" x14ac:dyDescent="0.25">
      <c r="B196" s="115" t="s">
        <v>233</v>
      </c>
      <c r="C196" s="13">
        <v>46248.413194444445</v>
      </c>
      <c r="D196">
        <v>17287</v>
      </c>
      <c r="E196" s="54" t="s">
        <v>235</v>
      </c>
      <c r="F196" s="54" t="s">
        <v>545</v>
      </c>
      <c r="G196" s="54" t="s">
        <v>2010</v>
      </c>
      <c r="H196" s="55">
        <v>10.9</v>
      </c>
      <c r="I196" s="55">
        <v>10</v>
      </c>
      <c r="J196" s="55">
        <v>9.5</v>
      </c>
      <c r="K196" s="54"/>
      <c r="L196" s="56" t="b">
        <v>0</v>
      </c>
      <c r="M196" s="56" t="b">
        <v>0</v>
      </c>
      <c r="N196" s="54">
        <v>1</v>
      </c>
      <c r="O196" s="54" t="s">
        <v>228</v>
      </c>
      <c r="P196" s="54">
        <v>22</v>
      </c>
      <c r="Q196" s="54">
        <v>3</v>
      </c>
      <c r="R196" s="54">
        <v>175</v>
      </c>
      <c r="S196" s="54" t="s">
        <v>546</v>
      </c>
      <c r="T196" s="54" t="s">
        <v>547</v>
      </c>
      <c r="U196" s="54" t="s">
        <v>1994</v>
      </c>
      <c r="V196" s="54" t="s">
        <v>548</v>
      </c>
      <c r="W196" s="54" t="b">
        <v>0</v>
      </c>
      <c r="X196" s="54"/>
      <c r="Y196" s="57" t="s">
        <v>2012</v>
      </c>
      <c r="Z196" s="54" t="s">
        <v>549</v>
      </c>
      <c r="AA196" s="54"/>
      <c r="AB196" s="54" t="s">
        <v>550</v>
      </c>
      <c r="AC196" s="56" t="b">
        <v>1</v>
      </c>
      <c r="AD196" s="56" t="b">
        <v>0</v>
      </c>
      <c r="AE196" s="54" t="s">
        <v>302</v>
      </c>
      <c r="AF196" s="58">
        <v>46248</v>
      </c>
      <c r="AG196" s="62" t="s">
        <v>293</v>
      </c>
      <c r="AH196" s="54">
        <v>0</v>
      </c>
      <c r="AI196" s="54"/>
      <c r="AJ196" s="54"/>
      <c r="AK196" s="54"/>
      <c r="AL196" s="54"/>
      <c r="AM196" s="54">
        <v>16.663333333333334</v>
      </c>
      <c r="AN196" s="54"/>
      <c r="AO196" s="54"/>
      <c r="AP196" s="54"/>
      <c r="AQ196" s="54"/>
      <c r="AR196" s="54"/>
      <c r="AS196" s="54"/>
      <c r="AT196" s="54"/>
      <c r="AU196" s="54"/>
      <c r="AV196" s="54"/>
      <c r="AW196" s="54"/>
      <c r="AX196" s="59"/>
      <c r="AY196" s="59"/>
      <c r="AZ196" s="59"/>
      <c r="BA196" s="59"/>
      <c r="BB196" s="59">
        <v>3.9E-2</v>
      </c>
      <c r="BC196" s="60">
        <v>4.9000000000000004</v>
      </c>
      <c r="BD196" s="61">
        <v>5.1461E-2</v>
      </c>
      <c r="BE196" s="62" t="s">
        <v>293</v>
      </c>
      <c r="BF196" s="35">
        <f t="shared" si="312"/>
        <v>4.9000000000000004</v>
      </c>
      <c r="BG196" s="35">
        <f t="shared" si="312"/>
        <v>4.9811000000000001E-2</v>
      </c>
      <c r="BH196" s="35" t="str">
        <f t="shared" si="313"/>
        <v>Med</v>
      </c>
      <c r="BI196" s="110">
        <f t="shared" si="314"/>
        <v>0</v>
      </c>
      <c r="BJ196" s="83">
        <f>VLOOKUP($F196,REP_Info!$D$6:$H$250,5,FALSE)</f>
        <v>1.8620000000000001</v>
      </c>
      <c r="BK196" s="30">
        <f t="shared" si="315"/>
        <v>13.193766666666667</v>
      </c>
      <c r="BL196" s="30">
        <f t="shared" si="315"/>
        <v>11.037433333333334</v>
      </c>
      <c r="BM196" s="30">
        <f t="shared" si="315"/>
        <v>9.9592666666666663</v>
      </c>
      <c r="BN196" s="29">
        <f t="shared" si="315"/>
        <v>9.5998777777777775</v>
      </c>
      <c r="BO196" s="85" t="str">
        <f t="shared" si="2"/>
        <v>$$$</v>
      </c>
      <c r="BP196" s="88" t="str">
        <f t="shared" si="316"/>
        <v>$$$</v>
      </c>
      <c r="BQ196" s="88" t="str">
        <f t="shared" si="4"/>
        <v>$$$</v>
      </c>
      <c r="BR196" s="88" t="str">
        <f t="shared" si="5"/>
        <v>$$$</v>
      </c>
      <c r="BS196" s="29" t="e">
        <f t="shared" si="317"/>
        <v>#N/A</v>
      </c>
      <c r="BT196" s="29" t="e">
        <f t="shared" si="317"/>
        <v>#N/A</v>
      </c>
      <c r="BU196" s="29" t="e">
        <f t="shared" si="317"/>
        <v>#N/A</v>
      </c>
      <c r="BV196" s="29" t="e">
        <f t="shared" si="317"/>
        <v>#N/A</v>
      </c>
      <c r="BW196" s="29" t="e">
        <f t="shared" si="317"/>
        <v>#N/A</v>
      </c>
      <c r="BX196" s="29" t="e">
        <f t="shared" si="317"/>
        <v>#N/A</v>
      </c>
      <c r="BY196" s="29" t="e">
        <f t="shared" si="317"/>
        <v>#N/A</v>
      </c>
      <c r="BZ196" s="29" t="e">
        <f t="shared" si="317"/>
        <v>#N/A</v>
      </c>
      <c r="CA196" s="29" t="e">
        <f t="shared" si="317"/>
        <v>#N/A</v>
      </c>
      <c r="CB196" s="29" t="e">
        <f t="shared" si="317"/>
        <v>#N/A</v>
      </c>
      <c r="CC196" s="29" t="e">
        <f t="shared" si="317"/>
        <v>#N/A</v>
      </c>
      <c r="CD196" s="29" t="e">
        <f t="shared" si="317"/>
        <v>#N/A</v>
      </c>
      <c r="CE196" s="6" t="str">
        <f t="shared" si="220"/>
        <v/>
      </c>
      <c r="CF196" s="27" t="e">
        <f>IF(AND(CI196,NOT(AD196)),LOOKUP(CF$5,{0,750,1500},H196:J196),"")</f>
        <v>#N/A</v>
      </c>
      <c r="CG196" s="6" t="str">
        <f t="shared" si="221"/>
        <v/>
      </c>
      <c r="CH196" t="e">
        <f t="shared" si="318"/>
        <v>#N/A</v>
      </c>
      <c r="CI196" t="e">
        <f t="shared" si="319"/>
        <v>#N/A</v>
      </c>
      <c r="CJ196" s="6" t="e">
        <f t="shared" si="11"/>
        <v>#N/A</v>
      </c>
      <c r="CK196" s="6">
        <f t="shared" si="12"/>
        <v>1</v>
      </c>
      <c r="CL196" s="6">
        <f t="shared" si="320"/>
        <v>1</v>
      </c>
      <c r="CM196" s="6">
        <f t="shared" si="13"/>
        <v>1</v>
      </c>
      <c r="CN196" s="6">
        <f t="shared" si="14"/>
        <v>0</v>
      </c>
      <c r="CO196" s="6">
        <f t="shared" si="15"/>
        <v>1</v>
      </c>
      <c r="CP196" s="6">
        <f t="shared" si="16"/>
        <v>1</v>
      </c>
      <c r="CQ196" s="6">
        <f t="shared" si="321"/>
        <v>1</v>
      </c>
      <c r="CR196" s="81" t="str">
        <f t="shared" si="17"/>
        <v/>
      </c>
      <c r="CS196">
        <f t="shared" si="322"/>
        <v>54</v>
      </c>
      <c r="CT196">
        <f t="shared" si="19"/>
        <v>175</v>
      </c>
      <c r="CU196" t="str">
        <f t="shared" si="323"/>
        <v/>
      </c>
      <c r="CV196" s="81">
        <f t="shared" si="324"/>
        <v>175</v>
      </c>
      <c r="CW196" s="81">
        <f>(CV196/25)^1.5*(Calculator!$BU$4/10000)*CW$5</f>
        <v>47.821272343654172</v>
      </c>
      <c r="CX196" t="str">
        <f t="shared" si="325"/>
        <v>$175</v>
      </c>
    </row>
    <row r="197" spans="2:102" x14ac:dyDescent="0.25">
      <c r="B197" s="115" t="s">
        <v>233</v>
      </c>
      <c r="C197" s="13">
        <v>46248.413194444445</v>
      </c>
      <c r="D197">
        <v>24636</v>
      </c>
      <c r="E197" s="54" t="s">
        <v>237</v>
      </c>
      <c r="F197" s="54" t="s">
        <v>545</v>
      </c>
      <c r="G197" s="54" t="s">
        <v>2013</v>
      </c>
      <c r="H197" s="55">
        <v>11.600000000000001</v>
      </c>
      <c r="I197" s="55">
        <v>10.8</v>
      </c>
      <c r="J197" s="55">
        <v>10.4</v>
      </c>
      <c r="K197" s="54"/>
      <c r="L197" s="56" t="b">
        <v>0</v>
      </c>
      <c r="M197" s="56" t="b">
        <v>1</v>
      </c>
      <c r="N197" s="54">
        <v>1</v>
      </c>
      <c r="O197" s="54" t="s">
        <v>228</v>
      </c>
      <c r="P197" s="54">
        <v>22</v>
      </c>
      <c r="Q197" s="54">
        <v>3</v>
      </c>
      <c r="R197" s="54">
        <v>175</v>
      </c>
      <c r="S197" s="54" t="s">
        <v>546</v>
      </c>
      <c r="T197" s="54" t="s">
        <v>551</v>
      </c>
      <c r="U197" s="54" t="s">
        <v>1992</v>
      </c>
      <c r="V197" s="54" t="s">
        <v>548</v>
      </c>
      <c r="W197" s="54" t="b">
        <v>0</v>
      </c>
      <c r="X197" s="54"/>
      <c r="Y197" s="57" t="s">
        <v>2014</v>
      </c>
      <c r="Z197" s="54" t="s">
        <v>549</v>
      </c>
      <c r="AA197" s="54"/>
      <c r="AB197" s="54" t="s">
        <v>550</v>
      </c>
      <c r="AC197" s="56" t="b">
        <v>1</v>
      </c>
      <c r="AD197" s="56" t="b">
        <v>0</v>
      </c>
      <c r="AE197" s="54" t="s">
        <v>302</v>
      </c>
      <c r="AF197" s="58">
        <v>46248</v>
      </c>
      <c r="AG197" s="62" t="s">
        <v>293</v>
      </c>
      <c r="AH197" s="54">
        <v>0</v>
      </c>
      <c r="AI197" s="54"/>
      <c r="AJ197" s="54"/>
      <c r="AK197" s="54"/>
      <c r="AL197" s="54"/>
      <c r="AM197" s="54">
        <v>16.663333333333334</v>
      </c>
      <c r="AN197" s="54"/>
      <c r="AO197" s="54"/>
      <c r="AP197" s="54"/>
      <c r="AQ197" s="54"/>
      <c r="AR197" s="54"/>
      <c r="AS197" s="54"/>
      <c r="AT197" s="54"/>
      <c r="AU197" s="54"/>
      <c r="AV197" s="54"/>
      <c r="AW197" s="54"/>
      <c r="AX197" s="59"/>
      <c r="AY197" s="59"/>
      <c r="AZ197" s="59"/>
      <c r="BA197" s="59"/>
      <c r="BB197" s="59">
        <v>3.9530000000000003E-2</v>
      </c>
      <c r="BC197" s="60">
        <v>4.0599999999999996</v>
      </c>
      <c r="BD197" s="61">
        <v>6.0295000000000001E-2</v>
      </c>
      <c r="BE197" s="62" t="e">
        <v>#N/A</v>
      </c>
      <c r="BF197" s="35">
        <f t="shared" si="312"/>
        <v>4.0600000000000005</v>
      </c>
      <c r="BG197" s="35">
        <f t="shared" si="312"/>
        <v>6.0295000000000001E-2</v>
      </c>
      <c r="BH197" s="35" t="str">
        <f t="shared" si="313"/>
        <v>?</v>
      </c>
      <c r="BI197" s="110">
        <f t="shared" si="314"/>
        <v>0</v>
      </c>
      <c r="BJ197" s="83">
        <f>VLOOKUP($F197,REP_Info!$D$6:$H$250,5,FALSE)</f>
        <v>1.8620000000000001</v>
      </c>
      <c r="BK197" s="30" t="e">
        <f t="shared" si="315"/>
        <v>#N/A</v>
      </c>
      <c r="BL197" s="30" t="e">
        <f t="shared" si="315"/>
        <v>#N/A</v>
      </c>
      <c r="BM197" s="30" t="e">
        <f t="shared" si="315"/>
        <v>#N/A</v>
      </c>
      <c r="BN197" s="29" t="e">
        <f t="shared" si="315"/>
        <v>#N/A</v>
      </c>
      <c r="BO197" s="85" t="str">
        <f t="shared" si="2"/>
        <v>$$$</v>
      </c>
      <c r="BP197" s="88" t="str">
        <f t="shared" si="316"/>
        <v>$$$</v>
      </c>
      <c r="BQ197" s="88" t="str">
        <f t="shared" si="4"/>
        <v>$$$</v>
      </c>
      <c r="BR197" s="88" t="str">
        <f t="shared" si="5"/>
        <v>$$$</v>
      </c>
      <c r="BS197" s="29" t="e">
        <f t="shared" si="317"/>
        <v>#N/A</v>
      </c>
      <c r="BT197" s="29" t="e">
        <f t="shared" si="317"/>
        <v>#N/A</v>
      </c>
      <c r="BU197" s="29" t="e">
        <f t="shared" si="317"/>
        <v>#N/A</v>
      </c>
      <c r="BV197" s="29" t="e">
        <f t="shared" si="317"/>
        <v>#N/A</v>
      </c>
      <c r="BW197" s="29" t="e">
        <f t="shared" si="317"/>
        <v>#N/A</v>
      </c>
      <c r="BX197" s="29" t="e">
        <f t="shared" si="317"/>
        <v>#N/A</v>
      </c>
      <c r="BY197" s="29" t="e">
        <f t="shared" si="317"/>
        <v>#N/A</v>
      </c>
      <c r="BZ197" s="29" t="e">
        <f t="shared" si="317"/>
        <v>#N/A</v>
      </c>
      <c r="CA197" s="29" t="e">
        <f t="shared" si="317"/>
        <v>#N/A</v>
      </c>
      <c r="CB197" s="29" t="e">
        <f t="shared" si="317"/>
        <v>#N/A</v>
      </c>
      <c r="CC197" s="29" t="e">
        <f t="shared" si="317"/>
        <v>#N/A</v>
      </c>
      <c r="CD197" s="29" t="e">
        <f t="shared" si="317"/>
        <v>#N/A</v>
      </c>
      <c r="CE197" s="6" t="str">
        <f t="shared" si="220"/>
        <v/>
      </c>
      <c r="CF197" s="27" t="e">
        <f>IF(AND(CI197,NOT(AD197)),LOOKUP(CF$5,{0,750,1500},H197:J197),"")</f>
        <v>#N/A</v>
      </c>
      <c r="CG197" s="6" t="str">
        <f t="shared" si="221"/>
        <v/>
      </c>
      <c r="CH197" t="e">
        <f t="shared" si="318"/>
        <v>#N/A</v>
      </c>
      <c r="CI197" t="e">
        <f t="shared" si="319"/>
        <v>#N/A</v>
      </c>
      <c r="CJ197" s="6" t="e">
        <f t="shared" si="11"/>
        <v>#N/A</v>
      </c>
      <c r="CK197" s="6">
        <f t="shared" si="12"/>
        <v>1</v>
      </c>
      <c r="CL197" s="6">
        <f t="shared" si="320"/>
        <v>1</v>
      </c>
      <c r="CM197" s="6">
        <f t="shared" si="13"/>
        <v>1</v>
      </c>
      <c r="CN197" s="6">
        <f t="shared" si="14"/>
        <v>0</v>
      </c>
      <c r="CO197" s="6">
        <f t="shared" si="15"/>
        <v>1</v>
      </c>
      <c r="CP197" s="6">
        <f t="shared" si="16"/>
        <v>1</v>
      </c>
      <c r="CQ197" s="6">
        <f t="shared" si="321"/>
        <v>1</v>
      </c>
      <c r="CR197" s="81" t="str">
        <f t="shared" si="17"/>
        <v/>
      </c>
      <c r="CS197">
        <f t="shared" si="322"/>
        <v>54</v>
      </c>
      <c r="CT197">
        <f t="shared" si="19"/>
        <v>175</v>
      </c>
      <c r="CU197" t="str">
        <f t="shared" si="323"/>
        <v/>
      </c>
      <c r="CV197" s="81">
        <f t="shared" si="324"/>
        <v>175</v>
      </c>
      <c r="CW197" s="81">
        <f>(CV197/25)^1.5*(Calculator!$BU$4/10000)*CW$5</f>
        <v>47.821272343654172</v>
      </c>
      <c r="CX197" t="str">
        <f t="shared" si="325"/>
        <v>$175</v>
      </c>
    </row>
    <row r="198" spans="2:102" x14ac:dyDescent="0.25">
      <c r="B198" s="115" t="s">
        <v>233</v>
      </c>
      <c r="C198" s="13">
        <v>46248.413194444445</v>
      </c>
      <c r="D198">
        <v>24638</v>
      </c>
      <c r="E198" s="54" t="s">
        <v>235</v>
      </c>
      <c r="F198" s="54" t="s">
        <v>545</v>
      </c>
      <c r="G198" s="54" t="s">
        <v>2013</v>
      </c>
      <c r="H198" s="55">
        <v>10.9</v>
      </c>
      <c r="I198" s="55">
        <v>10</v>
      </c>
      <c r="J198" s="55">
        <v>9.6</v>
      </c>
      <c r="K198" s="54"/>
      <c r="L198" s="56" t="b">
        <v>0</v>
      </c>
      <c r="M198" s="56" t="b">
        <v>1</v>
      </c>
      <c r="N198" s="54">
        <v>1</v>
      </c>
      <c r="O198" s="54" t="s">
        <v>228</v>
      </c>
      <c r="P198" s="54">
        <v>22</v>
      </c>
      <c r="Q198" s="54">
        <v>3</v>
      </c>
      <c r="R198" s="54">
        <v>175</v>
      </c>
      <c r="S198" s="54" t="s">
        <v>546</v>
      </c>
      <c r="T198" s="54" t="s">
        <v>551</v>
      </c>
      <c r="U198" s="54" t="s">
        <v>1993</v>
      </c>
      <c r="V198" s="54" t="s">
        <v>548</v>
      </c>
      <c r="W198" s="54" t="b">
        <v>0</v>
      </c>
      <c r="X198" s="54"/>
      <c r="Y198" s="57" t="s">
        <v>2015</v>
      </c>
      <c r="Z198" s="54" t="s">
        <v>549</v>
      </c>
      <c r="AA198" s="54"/>
      <c r="AB198" s="54" t="s">
        <v>550</v>
      </c>
      <c r="AC198" s="56" t="b">
        <v>1</v>
      </c>
      <c r="AD198" s="56" t="b">
        <v>0</v>
      </c>
      <c r="AE198" s="54" t="s">
        <v>302</v>
      </c>
      <c r="AF198" s="58">
        <v>46248</v>
      </c>
      <c r="AG198" s="62" t="s">
        <v>293</v>
      </c>
      <c r="AH198" s="54">
        <v>0</v>
      </c>
      <c r="AI198" s="54"/>
      <c r="AJ198" s="54"/>
      <c r="AK198" s="54"/>
      <c r="AL198" s="54"/>
      <c r="AM198" s="54">
        <v>16.663333333333334</v>
      </c>
      <c r="AN198" s="54"/>
      <c r="AO198" s="54"/>
      <c r="AP198" s="54"/>
      <c r="AQ198" s="54"/>
      <c r="AR198" s="54"/>
      <c r="AS198" s="54"/>
      <c r="AT198" s="54"/>
      <c r="AU198" s="54"/>
      <c r="AV198" s="54"/>
      <c r="AW198" s="54"/>
      <c r="AX198" s="59"/>
      <c r="AY198" s="59"/>
      <c r="AZ198" s="59"/>
      <c r="BA198" s="59"/>
      <c r="BB198" s="59">
        <v>3.9530000000000003E-2</v>
      </c>
      <c r="BC198" s="60">
        <v>4.9000000000000004</v>
      </c>
      <c r="BD198" s="61">
        <v>5.1461E-2</v>
      </c>
      <c r="BE198" s="62" t="e">
        <v>#N/A</v>
      </c>
      <c r="BF198" s="35">
        <f t="shared" ref="BF198:BG199" si="326">IF($E198=$E$4,BF$4,IF($E198=$E$5,BF$5,""))</f>
        <v>4.9000000000000004</v>
      </c>
      <c r="BG198" s="35">
        <f t="shared" si="326"/>
        <v>4.9811000000000001E-2</v>
      </c>
      <c r="BH198" s="35" t="str">
        <f t="shared" ref="BH198:BH199" si="327">IF(ISTEXT(BE198),IF(AND(AV198=0,SUM(AN198:AQ198)=0),IF(AM198&lt;=0,IF(BE198="Y","Low","Flat"),"Med"),"High"),"?")</f>
        <v>?</v>
      </c>
      <c r="BI198" s="110">
        <f t="shared" ref="BI198:BI199" si="328">IF(ISNUMBER(AH198),0*BI$5*SIN((EDATE($A$3,$Q198)-DATE(YEAR(EDATE($A$3,$Q198)),1,0)-BI$4)*2*PI()/365),"")</f>
        <v>0</v>
      </c>
      <c r="BJ198" s="83">
        <f>VLOOKUP($F198,REP_Info!$D$6:$H$250,5,FALSE)</f>
        <v>1.8620000000000001</v>
      </c>
      <c r="BK198" s="30" t="e">
        <f t="shared" ref="BK198:BN199" si="329">IF(BK$7&gt;0,(LOOKUP(BK$7,$AH198:$AL198,$AM198:$AQ198)+IF($AG198="Y",SUMPRODUCT($AX198:$BB198-$AW198:$BA198,BK$7-$AR198:$AV198,N(BK$7&gt;$AR198:$AV198)),BK$7*LOOKUP(BK$7,$AR198:$AV198,$AX198:$BB198))+IF($BE198="Y",$BF198,$BC198)+BK$7*IF($BE198="Y",$BG198,$BD198))*100/BK$7,"")</f>
        <v>#N/A</v>
      </c>
      <c r="BL198" s="30" t="e">
        <f t="shared" si="329"/>
        <v>#N/A</v>
      </c>
      <c r="BM198" s="30" t="e">
        <f t="shared" si="329"/>
        <v>#N/A</v>
      </c>
      <c r="BN198" s="29" t="e">
        <f t="shared" si="329"/>
        <v>#N/A</v>
      </c>
      <c r="BO198" s="85" t="str">
        <f t="shared" si="2"/>
        <v>$$$</v>
      </c>
      <c r="BP198" s="88" t="str">
        <f t="shared" ref="BP198:BP199" si="330">IFERROR(BO198*100/BO$5,"$$$")</f>
        <v>$$$</v>
      </c>
      <c r="BQ198" s="88" t="str">
        <f t="shared" si="4"/>
        <v>$$$</v>
      </c>
      <c r="BR198" s="88" t="str">
        <f t="shared" si="5"/>
        <v>$$$</v>
      </c>
      <c r="BS198" s="29" t="e">
        <f t="shared" ref="BS198:CD199" si="331">IF($CI198,IF(BS$7&gt;0,IF(BS$4&gt;$Q198,$BF198+BS$7*(BS$5+$BG198+$BI198),LOOKUP(BS$7,$AH198:$AL198,$AM198:$AQ198)+IF($AG198="Y",SUMPRODUCT($AX198:$BB198-$AW198:$BA198,BS$7-$AR198:$AV198,N(BS$7&gt;$AR198:$AV198)),BS$7*LOOKUP(BS$7,$AR198:$AV198,$AX198:$BB198))+IF($BE198="Y",$BF198,$BC198)+BS$7*IF($BE198="Y",$BG198,$BD198))*100/BS$7,""),NA())</f>
        <v>#N/A</v>
      </c>
      <c r="BT198" s="29" t="e">
        <f t="shared" si="331"/>
        <v>#N/A</v>
      </c>
      <c r="BU198" s="29" t="e">
        <f t="shared" si="331"/>
        <v>#N/A</v>
      </c>
      <c r="BV198" s="29" t="e">
        <f t="shared" si="331"/>
        <v>#N/A</v>
      </c>
      <c r="BW198" s="29" t="e">
        <f t="shared" si="331"/>
        <v>#N/A</v>
      </c>
      <c r="BX198" s="29" t="e">
        <f t="shared" si="331"/>
        <v>#N/A</v>
      </c>
      <c r="BY198" s="29" t="e">
        <f t="shared" si="331"/>
        <v>#N/A</v>
      </c>
      <c r="BZ198" s="29" t="e">
        <f t="shared" si="331"/>
        <v>#N/A</v>
      </c>
      <c r="CA198" s="29" t="e">
        <f t="shared" si="331"/>
        <v>#N/A</v>
      </c>
      <c r="CB198" s="29" t="e">
        <f t="shared" si="331"/>
        <v>#N/A</v>
      </c>
      <c r="CC198" s="29" t="e">
        <f t="shared" si="331"/>
        <v>#N/A</v>
      </c>
      <c r="CD198" s="29" t="e">
        <f t="shared" si="331"/>
        <v>#N/A</v>
      </c>
      <c r="CE198" s="6" t="str">
        <f t="shared" si="220"/>
        <v/>
      </c>
      <c r="CF198" s="27" t="e">
        <f>IF(AND(CI198,NOT(AD198)),LOOKUP(CF$5,{0,750,1500},H198:J198),"")</f>
        <v>#N/A</v>
      </c>
      <c r="CG198" s="6" t="str">
        <f t="shared" si="221"/>
        <v/>
      </c>
      <c r="CH198" t="e">
        <f t="shared" ref="CH198:CH199" si="332">IF(CI198,IF(ISNUMBER(BO198),BO198,100000)+CV198/10000+IF(ISNUMBER(BJ198),BJ198,2)/10000-P198/100000+ROW()/10000000,"")</f>
        <v>#N/A</v>
      </c>
      <c r="CI198" t="e">
        <f t="shared" ref="CI198:CI199" si="333">PRODUCT(CJ198:CQ198)</f>
        <v>#N/A</v>
      </c>
      <c r="CJ198" s="6" t="e">
        <f t="shared" si="11"/>
        <v>#N/A</v>
      </c>
      <c r="CK198" s="6">
        <f t="shared" si="12"/>
        <v>1</v>
      </c>
      <c r="CL198" s="6">
        <f t="shared" ref="CL198:CL199" si="334">IFERROR(--OR(ISBLANK(CL$5),$BJ198="",AND(ISNUMBER($BJ198),$BJ198&lt;=CL$5)),1)</f>
        <v>1</v>
      </c>
      <c r="CM198" s="6">
        <f t="shared" si="13"/>
        <v>1</v>
      </c>
      <c r="CN198" s="6">
        <f t="shared" si="14"/>
        <v>0</v>
      </c>
      <c r="CO198" s="6">
        <f t="shared" si="15"/>
        <v>1</v>
      </c>
      <c r="CP198" s="6">
        <f t="shared" si="16"/>
        <v>1</v>
      </c>
      <c r="CQ198" s="6">
        <f t="shared" ref="CQ198:CQ199" si="335">IF(CQ$5="Any",1,IF(AND(CQ$5="Med",AV198=0,SUM(AN198:AQ198)=0),1,IF(AND(CQ$5="Low",AV198=0,SUM(AN198:AQ198)=0,AM198=0),1,IF(AND(CQ$5="Flat",AV198=0,SUM(AN198:AQ198)=0,AM198=0,IFERROR(NOT(BE198="Y"),0)),1,0))))</f>
        <v>1</v>
      </c>
      <c r="CR198" s="81" t="str">
        <f t="shared" si="17"/>
        <v/>
      </c>
      <c r="CS198">
        <f t="shared" ref="CS198:CS199" si="336">CS$5*(12/(MIN(12,Q198))-1)</f>
        <v>54</v>
      </c>
      <c r="CT198">
        <f t="shared" si="19"/>
        <v>175</v>
      </c>
      <c r="CU198" t="str">
        <f t="shared" ref="CU198:CU199" si="337">IF(AND(ISERR(FIND("remain",$R198)),ISERR(FIND("left",$R198))),"","r")&amp;IF(ISERR(FIND("mon",$R198)),"","m")</f>
        <v/>
      </c>
      <c r="CV198" s="81">
        <f t="shared" ref="CV198:CV199" si="338">CT198*IF(CU198="",1,Q198)</f>
        <v>175</v>
      </c>
      <c r="CW198" s="81">
        <f>(CV198/25)^1.5*(Calculator!$BU$4/10000)*CW$5</f>
        <v>47.821272343654172</v>
      </c>
      <c r="CX198" t="str">
        <f t="shared" ref="CX198:CX199" si="339">"$"&amp;IF(LEFT(CU198,1)="r",CT198&amp;"/"&amp;CU198,CV198)</f>
        <v>$175</v>
      </c>
    </row>
    <row r="199" spans="2:102" x14ac:dyDescent="0.25">
      <c r="B199" s="115" t="s">
        <v>233</v>
      </c>
      <c r="C199" s="13">
        <v>46242.178472222222</v>
      </c>
      <c r="D199">
        <v>24642</v>
      </c>
      <c r="E199" s="54" t="s">
        <v>237</v>
      </c>
      <c r="F199" s="54" t="s">
        <v>545</v>
      </c>
      <c r="G199" s="54" t="s">
        <v>552</v>
      </c>
      <c r="H199" s="55">
        <v>23.799999999999997</v>
      </c>
      <c r="I199" s="55">
        <v>10.9</v>
      </c>
      <c r="J199" s="55">
        <v>17</v>
      </c>
      <c r="K199" s="54" t="s">
        <v>312</v>
      </c>
      <c r="L199" s="56" t="b">
        <v>0</v>
      </c>
      <c r="M199" s="56" t="b">
        <v>0</v>
      </c>
      <c r="N199" s="54">
        <v>1</v>
      </c>
      <c r="O199" s="54" t="s">
        <v>228</v>
      </c>
      <c r="P199" s="54">
        <v>22</v>
      </c>
      <c r="Q199" s="54">
        <v>12</v>
      </c>
      <c r="R199" s="54">
        <v>175</v>
      </c>
      <c r="S199" s="54" t="s">
        <v>546</v>
      </c>
      <c r="T199" s="54" t="s">
        <v>553</v>
      </c>
      <c r="U199" s="54" t="s">
        <v>554</v>
      </c>
      <c r="V199" s="54" t="s">
        <v>548</v>
      </c>
      <c r="W199" s="54" t="b">
        <v>0</v>
      </c>
      <c r="X199" s="54"/>
      <c r="Y199" s="57" t="s">
        <v>555</v>
      </c>
      <c r="Z199" s="54" t="s">
        <v>556</v>
      </c>
      <c r="AA199" s="54"/>
      <c r="AB199" s="54" t="s">
        <v>550</v>
      </c>
      <c r="AC199" s="56" t="b">
        <v>1</v>
      </c>
      <c r="AD199" s="56" t="b">
        <v>1</v>
      </c>
      <c r="AE199" s="54" t="s">
        <v>302</v>
      </c>
      <c r="AF199" s="58">
        <v>46242</v>
      </c>
      <c r="AG199" s="62" t="s">
        <v>293</v>
      </c>
      <c r="AH199" s="54">
        <v>0</v>
      </c>
      <c r="AI199" s="54">
        <v>1000</v>
      </c>
      <c r="AJ199" s="54"/>
      <c r="AK199" s="54"/>
      <c r="AL199" s="54"/>
      <c r="AM199" s="54">
        <v>0</v>
      </c>
      <c r="AN199" s="54">
        <v>-125</v>
      </c>
      <c r="AO199" s="54"/>
      <c r="AP199" s="54"/>
      <c r="AQ199" s="54"/>
      <c r="AR199" s="54"/>
      <c r="AS199" s="54"/>
      <c r="AT199" s="54"/>
      <c r="AU199" s="54"/>
      <c r="AV199" s="54"/>
      <c r="AW199" s="54"/>
      <c r="AX199" s="59"/>
      <c r="AY199" s="59"/>
      <c r="AZ199" s="59"/>
      <c r="BA199" s="59"/>
      <c r="BB199" s="59">
        <v>0.17</v>
      </c>
      <c r="BC199" s="60">
        <v>4.0599999999999996</v>
      </c>
      <c r="BD199" s="61">
        <v>6.0295000000000001E-2</v>
      </c>
      <c r="BE199" s="62" t="s">
        <v>293</v>
      </c>
      <c r="BF199" s="35">
        <f t="shared" si="326"/>
        <v>4.0600000000000005</v>
      </c>
      <c r="BG199" s="35">
        <f t="shared" si="326"/>
        <v>6.0295000000000001E-2</v>
      </c>
      <c r="BH199" s="35" t="str">
        <f t="shared" si="327"/>
        <v>High</v>
      </c>
      <c r="BI199" s="110">
        <f t="shared" si="328"/>
        <v>0</v>
      </c>
      <c r="BJ199" s="83">
        <f>VLOOKUP($F199,REP_Info!$D$6:$H$250,5,FALSE)</f>
        <v>1.8620000000000001</v>
      </c>
      <c r="BK199" s="30">
        <f t="shared" si="329"/>
        <v>23.841500000000003</v>
      </c>
      <c r="BL199" s="30">
        <f t="shared" si="329"/>
        <v>10.935499999999999</v>
      </c>
      <c r="BM199" s="30">
        <f t="shared" si="329"/>
        <v>16.982500000000002</v>
      </c>
      <c r="BN199" s="29">
        <f t="shared" si="329"/>
        <v>18.99816666666667</v>
      </c>
      <c r="BO199" s="85" t="str">
        <f t="shared" si="2"/>
        <v>$$$</v>
      </c>
      <c r="BP199" s="88" t="str">
        <f t="shared" si="330"/>
        <v>$$$</v>
      </c>
      <c r="BQ199" s="88" t="str">
        <f t="shared" si="4"/>
        <v>$$$</v>
      </c>
      <c r="BR199" s="88" t="str">
        <f t="shared" si="5"/>
        <v>$$$</v>
      </c>
      <c r="BS199" s="29" t="e">
        <f t="shared" si="331"/>
        <v>#N/A</v>
      </c>
      <c r="BT199" s="29" t="e">
        <f t="shared" si="331"/>
        <v>#N/A</v>
      </c>
      <c r="BU199" s="29" t="e">
        <f t="shared" si="331"/>
        <v>#N/A</v>
      </c>
      <c r="BV199" s="29" t="e">
        <f t="shared" si="331"/>
        <v>#N/A</v>
      </c>
      <c r="BW199" s="29" t="e">
        <f t="shared" si="331"/>
        <v>#N/A</v>
      </c>
      <c r="BX199" s="29" t="e">
        <f t="shared" si="331"/>
        <v>#N/A</v>
      </c>
      <c r="BY199" s="29" t="e">
        <f t="shared" si="331"/>
        <v>#N/A</v>
      </c>
      <c r="BZ199" s="29" t="e">
        <f t="shared" si="331"/>
        <v>#N/A</v>
      </c>
      <c r="CA199" s="29" t="e">
        <f t="shared" si="331"/>
        <v>#N/A</v>
      </c>
      <c r="CB199" s="29" t="e">
        <f t="shared" si="331"/>
        <v>#N/A</v>
      </c>
      <c r="CC199" s="29" t="e">
        <f t="shared" si="331"/>
        <v>#N/A</v>
      </c>
      <c r="CD199" s="29" t="e">
        <f t="shared" si="331"/>
        <v>#N/A</v>
      </c>
      <c r="CE199" s="6" t="str">
        <f t="shared" si="220"/>
        <v/>
      </c>
      <c r="CF199" s="27" t="e">
        <f>IF(AND(CI199,NOT(AD199)),LOOKUP(CF$5,{0,750,1500},H199:J199),"")</f>
        <v>#N/A</v>
      </c>
      <c r="CG199" s="6" t="str">
        <f t="shared" si="221"/>
        <v/>
      </c>
      <c r="CH199" t="e">
        <f t="shared" si="332"/>
        <v>#N/A</v>
      </c>
      <c r="CI199" t="e">
        <f t="shared" si="333"/>
        <v>#N/A</v>
      </c>
      <c r="CJ199" s="6" t="e">
        <f t="shared" si="11"/>
        <v>#N/A</v>
      </c>
      <c r="CK199" s="6">
        <f t="shared" si="12"/>
        <v>1</v>
      </c>
      <c r="CL199" s="6">
        <f t="shared" si="334"/>
        <v>1</v>
      </c>
      <c r="CM199" s="6">
        <f t="shared" si="13"/>
        <v>1</v>
      </c>
      <c r="CN199" s="6">
        <f t="shared" si="14"/>
        <v>1</v>
      </c>
      <c r="CO199" s="6">
        <f t="shared" si="15"/>
        <v>1</v>
      </c>
      <c r="CP199" s="6">
        <f t="shared" si="16"/>
        <v>1</v>
      </c>
      <c r="CQ199" s="6">
        <f t="shared" si="335"/>
        <v>1</v>
      </c>
      <c r="CR199" s="81" t="str">
        <f t="shared" si="17"/>
        <v/>
      </c>
      <c r="CS199">
        <f t="shared" si="336"/>
        <v>0</v>
      </c>
      <c r="CT199">
        <f t="shared" si="19"/>
        <v>175</v>
      </c>
      <c r="CU199" t="str">
        <f t="shared" si="337"/>
        <v/>
      </c>
      <c r="CV199" s="81">
        <f t="shared" si="338"/>
        <v>175</v>
      </c>
      <c r="CW199" s="81">
        <f>(CV199/25)^1.5*(Calculator!$BU$4/10000)*CW$5</f>
        <v>47.821272343654172</v>
      </c>
      <c r="CX199" t="str">
        <f t="shared" si="339"/>
        <v>$175</v>
      </c>
    </row>
    <row r="200" spans="2:102" x14ac:dyDescent="0.25">
      <c r="B200" s="115" t="s">
        <v>233</v>
      </c>
      <c r="C200" s="13">
        <v>46242.178472222222</v>
      </c>
      <c r="D200">
        <v>24644</v>
      </c>
      <c r="E200" s="54" t="s">
        <v>235</v>
      </c>
      <c r="F200" s="54" t="s">
        <v>545</v>
      </c>
      <c r="G200" s="54" t="s">
        <v>552</v>
      </c>
      <c r="H200" s="55">
        <v>21.5</v>
      </c>
      <c r="I200" s="55">
        <v>8.5</v>
      </c>
      <c r="J200" s="55">
        <v>14.499999999999998</v>
      </c>
      <c r="K200" s="54" t="s">
        <v>312</v>
      </c>
      <c r="L200" s="56" t="b">
        <v>0</v>
      </c>
      <c r="M200" s="56" t="b">
        <v>0</v>
      </c>
      <c r="N200" s="54">
        <v>1</v>
      </c>
      <c r="O200" s="54" t="s">
        <v>228</v>
      </c>
      <c r="P200" s="54">
        <v>22</v>
      </c>
      <c r="Q200" s="54">
        <v>12</v>
      </c>
      <c r="R200" s="54">
        <v>175</v>
      </c>
      <c r="S200" s="54" t="s">
        <v>546</v>
      </c>
      <c r="T200" s="54" t="s">
        <v>553</v>
      </c>
      <c r="U200" s="54" t="s">
        <v>557</v>
      </c>
      <c r="V200" s="54" t="s">
        <v>548</v>
      </c>
      <c r="W200" s="54" t="b">
        <v>0</v>
      </c>
      <c r="X200" s="54"/>
      <c r="Y200" s="57" t="s">
        <v>558</v>
      </c>
      <c r="Z200" s="54" t="s">
        <v>556</v>
      </c>
      <c r="AA200" s="54"/>
      <c r="AB200" s="54" t="s">
        <v>550</v>
      </c>
      <c r="AC200" s="56" t="b">
        <v>1</v>
      </c>
      <c r="AD200" s="56" t="b">
        <v>1</v>
      </c>
      <c r="AE200" s="54" t="s">
        <v>302</v>
      </c>
      <c r="AF200" s="58">
        <v>46242</v>
      </c>
      <c r="AG200" s="62" t="s">
        <v>293</v>
      </c>
      <c r="AH200" s="54">
        <v>0</v>
      </c>
      <c r="AI200" s="54">
        <v>1000</v>
      </c>
      <c r="AJ200" s="54"/>
      <c r="AK200" s="54"/>
      <c r="AL200" s="54"/>
      <c r="AM200" s="54">
        <v>0</v>
      </c>
      <c r="AN200" s="54">
        <v>-125</v>
      </c>
      <c r="AO200" s="54"/>
      <c r="AP200" s="54"/>
      <c r="AQ200" s="54"/>
      <c r="AR200" s="54"/>
      <c r="AS200" s="54"/>
      <c r="AT200" s="54"/>
      <c r="AU200" s="54"/>
      <c r="AV200" s="54"/>
      <c r="AW200" s="54"/>
      <c r="AX200" s="59"/>
      <c r="AY200" s="59"/>
      <c r="AZ200" s="59"/>
      <c r="BA200" s="59"/>
      <c r="BB200" s="59">
        <v>0.154</v>
      </c>
      <c r="BC200" s="60">
        <v>4.9000000000000004</v>
      </c>
      <c r="BD200" s="61">
        <v>5.1461E-2</v>
      </c>
      <c r="BE200" s="62" t="s">
        <v>293</v>
      </c>
      <c r="BF200" s="35">
        <f t="shared" si="0"/>
        <v>4.9000000000000004</v>
      </c>
      <c r="BG200" s="35">
        <f t="shared" si="0"/>
        <v>4.9811000000000001E-2</v>
      </c>
      <c r="BH200" s="35" t="str">
        <f t="shared" ref="BH200:BH216" si="340">IF(ISTEXT(BE200),IF(AND(AV200=0,SUM(AN200:AQ200)=0),IF(AM200&lt;=0,IF(BE200="Y","Low","Flat"),"Med"),"High"),"?")</f>
        <v>High</v>
      </c>
      <c r="BI200" s="110">
        <f t="shared" ref="BI200:BI216" si="341">IF(ISNUMBER(AH200),0*BI$5*SIN((EDATE($A$3,$Q200)-DATE(YEAR(EDATE($A$3,$Q200)),1,0)-BI$4)*2*PI()/365),"")</f>
        <v>0</v>
      </c>
      <c r="BJ200" s="83">
        <f>VLOOKUP($F200,REP_Info!$D$6:$H$250,5,FALSE)</f>
        <v>1.8620000000000001</v>
      </c>
      <c r="BK200" s="30">
        <f t="shared" ref="BK200:BN216" si="342">IF(BK$7&gt;0,(LOOKUP(BK$7,$AH200:$AL200,$AM200:$AQ200)+IF($AG200="Y",SUMPRODUCT($AX200:$BB200-$AW200:$BA200,BK$7-$AR200:$AV200,N(BK$7&gt;$AR200:$AV200)),BK$7*LOOKUP(BK$7,$AR200:$AV200,$AX200:$BB200))+IF($BE200="Y",$BF200,$BC200)+BK$7*IF($BE200="Y",$BG200,$BD200))*100/BK$7,"")</f>
        <v>21.3611</v>
      </c>
      <c r="BL200" s="30">
        <f t="shared" si="342"/>
        <v>8.3711000000000002</v>
      </c>
      <c r="BM200" s="30">
        <f t="shared" si="342"/>
        <v>14.376100000000001</v>
      </c>
      <c r="BN200" s="29">
        <f t="shared" si="342"/>
        <v>16.377766666666666</v>
      </c>
      <c r="BO200" s="85" t="str">
        <f t="shared" si="2"/>
        <v>$$$</v>
      </c>
      <c r="BP200" s="88" t="str">
        <f t="shared" ref="BP200:BP216" si="343">IFERROR(BO200*100/BO$5,"$$$")</f>
        <v>$$$</v>
      </c>
      <c r="BQ200" s="88" t="str">
        <f t="shared" si="4"/>
        <v>$$$</v>
      </c>
      <c r="BR200" s="88" t="str">
        <f t="shared" si="5"/>
        <v>$$$</v>
      </c>
      <c r="BS200" s="29" t="e">
        <f t="shared" ref="BS200:CD216" si="344">IF($CI200,IF(BS$7&gt;0,IF(BS$4&gt;$Q200,$BF200+BS$7*(BS$5+$BG200+$BI200),LOOKUP(BS$7,$AH200:$AL200,$AM200:$AQ200)+IF($AG200="Y",SUMPRODUCT($AX200:$BB200-$AW200:$BA200,BS$7-$AR200:$AV200,N(BS$7&gt;$AR200:$AV200)),BS$7*LOOKUP(BS$7,$AR200:$AV200,$AX200:$BB200))+IF($BE200="Y",$BF200,$BC200)+BS$7*IF($BE200="Y",$BG200,$BD200))*100/BS$7,""),NA())</f>
        <v>#N/A</v>
      </c>
      <c r="BT200" s="29" t="e">
        <f t="shared" si="344"/>
        <v>#N/A</v>
      </c>
      <c r="BU200" s="29" t="e">
        <f t="shared" si="344"/>
        <v>#N/A</v>
      </c>
      <c r="BV200" s="29" t="e">
        <f t="shared" si="344"/>
        <v>#N/A</v>
      </c>
      <c r="BW200" s="29" t="e">
        <f t="shared" si="344"/>
        <v>#N/A</v>
      </c>
      <c r="BX200" s="29" t="e">
        <f t="shared" si="344"/>
        <v>#N/A</v>
      </c>
      <c r="BY200" s="29" t="e">
        <f t="shared" si="344"/>
        <v>#N/A</v>
      </c>
      <c r="BZ200" s="29" t="e">
        <f t="shared" si="344"/>
        <v>#N/A</v>
      </c>
      <c r="CA200" s="29" t="e">
        <f t="shared" si="344"/>
        <v>#N/A</v>
      </c>
      <c r="CB200" s="29" t="e">
        <f t="shared" si="344"/>
        <v>#N/A</v>
      </c>
      <c r="CC200" s="29" t="e">
        <f t="shared" si="344"/>
        <v>#N/A</v>
      </c>
      <c r="CD200" s="29" t="e">
        <f t="shared" si="344"/>
        <v>#N/A</v>
      </c>
      <c r="CE200" s="6" t="str">
        <f t="shared" si="220"/>
        <v/>
      </c>
      <c r="CF200" s="27" t="e">
        <f>IF(AND(CI200,NOT(AD200)),LOOKUP(CF$5,{0,750,1500},H200:J200),"")</f>
        <v>#N/A</v>
      </c>
      <c r="CG200" s="6" t="str">
        <f t="shared" si="221"/>
        <v/>
      </c>
      <c r="CH200" t="e">
        <f t="shared" ref="CH200:CH216" si="345">IF(CI200,IF(ISNUMBER(BO200),BO200,100000)+CV200/10000+IF(ISNUMBER(BJ200),BJ200,2)/10000-P200/100000+ROW()/10000000,"")</f>
        <v>#N/A</v>
      </c>
      <c r="CI200" t="e">
        <f t="shared" ref="CI200:CI216" si="346">PRODUCT(CJ200:CQ200)</f>
        <v>#N/A</v>
      </c>
      <c r="CJ200" s="6" t="e">
        <f t="shared" si="11"/>
        <v>#N/A</v>
      </c>
      <c r="CK200" s="6">
        <f t="shared" si="12"/>
        <v>1</v>
      </c>
      <c r="CL200" s="6">
        <f t="shared" si="26"/>
        <v>1</v>
      </c>
      <c r="CM200" s="6">
        <f t="shared" si="13"/>
        <v>1</v>
      </c>
      <c r="CN200" s="6">
        <f t="shared" si="14"/>
        <v>1</v>
      </c>
      <c r="CO200" s="6">
        <f t="shared" si="15"/>
        <v>1</v>
      </c>
      <c r="CP200" s="6">
        <f t="shared" si="16"/>
        <v>1</v>
      </c>
      <c r="CQ200" s="6">
        <f t="shared" ref="CQ200:CQ216" si="347">IF(CQ$5="Any",1,IF(AND(CQ$5="Med",AV200=0,SUM(AN200:AQ200)=0),1,IF(AND(CQ$5="Low",AV200=0,SUM(AN200:AQ200)=0,AM200=0),1,IF(AND(CQ$5="Flat",AV200=0,SUM(AN200:AQ200)=0,AM200=0,IFERROR(NOT(BE200="Y"),0)),1,0))))</f>
        <v>1</v>
      </c>
      <c r="CR200" s="81" t="str">
        <f t="shared" si="17"/>
        <v/>
      </c>
      <c r="CS200">
        <f t="shared" ref="CS200:CS216" si="348">CS$5*(12/(MIN(12,Q200))-1)</f>
        <v>0</v>
      </c>
      <c r="CT200">
        <f t="shared" si="19"/>
        <v>175</v>
      </c>
      <c r="CU200" t="str">
        <f t="shared" si="29"/>
        <v/>
      </c>
      <c r="CV200" s="81">
        <f t="shared" ref="CV200:CV216" si="349">CT200*IF(CU200="",1,Q200)</f>
        <v>175</v>
      </c>
      <c r="CW200" s="81">
        <f>(CV200/25)^1.5*(Calculator!$BU$4/10000)*CW$5</f>
        <v>47.821272343654172</v>
      </c>
      <c r="CX200" t="str">
        <f t="shared" ref="CX200:CX216" si="350">"$"&amp;IF(LEFT(CU200,1)="r",CT200&amp;"/"&amp;CU200,CV200)</f>
        <v>$175</v>
      </c>
    </row>
    <row r="201" spans="2:102" x14ac:dyDescent="0.25">
      <c r="B201" s="115" t="s">
        <v>233</v>
      </c>
      <c r="C201" s="13">
        <v>46242.178472222222</v>
      </c>
      <c r="D201">
        <v>31955</v>
      </c>
      <c r="E201" s="54" t="s">
        <v>237</v>
      </c>
      <c r="F201" s="54" t="s">
        <v>545</v>
      </c>
      <c r="G201" s="54" t="s">
        <v>559</v>
      </c>
      <c r="H201" s="55">
        <v>15.9</v>
      </c>
      <c r="I201" s="55">
        <v>15.5</v>
      </c>
      <c r="J201" s="55">
        <v>15.299999999999999</v>
      </c>
      <c r="K201" s="54"/>
      <c r="L201" s="56" t="b">
        <v>0</v>
      </c>
      <c r="M201" s="56" t="b">
        <v>0</v>
      </c>
      <c r="N201" s="54">
        <v>1</v>
      </c>
      <c r="O201" s="54" t="s">
        <v>228</v>
      </c>
      <c r="P201" s="54">
        <v>22</v>
      </c>
      <c r="Q201" s="54">
        <v>60</v>
      </c>
      <c r="R201" s="54">
        <v>175</v>
      </c>
      <c r="S201" s="54" t="s">
        <v>546</v>
      </c>
      <c r="T201" s="54" t="s">
        <v>560</v>
      </c>
      <c r="U201" s="54" t="s">
        <v>561</v>
      </c>
      <c r="V201" s="54" t="s">
        <v>548</v>
      </c>
      <c r="W201" s="54" t="b">
        <v>0</v>
      </c>
      <c r="X201" s="54"/>
      <c r="Y201" s="57" t="s">
        <v>562</v>
      </c>
      <c r="Z201" s="54" t="s">
        <v>563</v>
      </c>
      <c r="AA201" s="54"/>
      <c r="AB201" s="54" t="s">
        <v>550</v>
      </c>
      <c r="AC201" s="56" t="b">
        <v>1</v>
      </c>
      <c r="AD201" s="56" t="b">
        <v>0</v>
      </c>
      <c r="AE201" s="54" t="s">
        <v>302</v>
      </c>
      <c r="AF201" s="58">
        <v>46242</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v>9.0999999999999998E-2</v>
      </c>
      <c r="BC201" s="60">
        <v>4.0599999999999996</v>
      </c>
      <c r="BD201" s="61">
        <v>6.0295000000000001E-2</v>
      </c>
      <c r="BE201" s="62" t="s">
        <v>293</v>
      </c>
      <c r="BF201" s="35">
        <f t="shared" si="0"/>
        <v>4.0600000000000005</v>
      </c>
      <c r="BG201" s="35">
        <f t="shared" si="0"/>
        <v>6.0295000000000001E-2</v>
      </c>
      <c r="BH201" s="35" t="str">
        <f t="shared" si="340"/>
        <v>Low</v>
      </c>
      <c r="BI201" s="110">
        <f t="shared" si="341"/>
        <v>0</v>
      </c>
      <c r="BJ201" s="83">
        <f>VLOOKUP($F201,REP_Info!$D$6:$H$250,5,FALSE)</f>
        <v>1.8620000000000001</v>
      </c>
      <c r="BK201" s="30">
        <f t="shared" si="342"/>
        <v>15.941500000000001</v>
      </c>
      <c r="BL201" s="30">
        <f t="shared" si="342"/>
        <v>15.535500000000003</v>
      </c>
      <c r="BM201" s="30">
        <f t="shared" si="342"/>
        <v>15.332499999999998</v>
      </c>
      <c r="BN201" s="29">
        <f t="shared" si="342"/>
        <v>15.264833333333334</v>
      </c>
      <c r="BO201" s="85" t="str">
        <f t="shared" si="2"/>
        <v>$$$</v>
      </c>
      <c r="BP201" s="88" t="str">
        <f t="shared" si="343"/>
        <v>$$$</v>
      </c>
      <c r="BQ201" s="88" t="str">
        <f t="shared" si="4"/>
        <v>$$$</v>
      </c>
      <c r="BR201" s="88" t="str">
        <f t="shared" si="5"/>
        <v>$$$</v>
      </c>
      <c r="BS201" s="29" t="e">
        <f t="shared" si="344"/>
        <v>#N/A</v>
      </c>
      <c r="BT201" s="29" t="e">
        <f t="shared" si="344"/>
        <v>#N/A</v>
      </c>
      <c r="BU201" s="29" t="e">
        <f t="shared" si="344"/>
        <v>#N/A</v>
      </c>
      <c r="BV201" s="29" t="e">
        <f t="shared" si="344"/>
        <v>#N/A</v>
      </c>
      <c r="BW201" s="29" t="e">
        <f t="shared" si="344"/>
        <v>#N/A</v>
      </c>
      <c r="BX201" s="29" t="e">
        <f t="shared" si="344"/>
        <v>#N/A</v>
      </c>
      <c r="BY201" s="29" t="e">
        <f t="shared" si="344"/>
        <v>#N/A</v>
      </c>
      <c r="BZ201" s="29" t="e">
        <f t="shared" si="344"/>
        <v>#N/A</v>
      </c>
      <c r="CA201" s="29" t="e">
        <f t="shared" si="344"/>
        <v>#N/A</v>
      </c>
      <c r="CB201" s="29" t="e">
        <f t="shared" si="344"/>
        <v>#N/A</v>
      </c>
      <c r="CC201" s="29" t="e">
        <f t="shared" si="344"/>
        <v>#N/A</v>
      </c>
      <c r="CD201" s="29" t="e">
        <f t="shared" si="344"/>
        <v>#N/A</v>
      </c>
      <c r="CE201" s="6" t="str">
        <f t="shared" si="220"/>
        <v/>
      </c>
      <c r="CF201" s="27" t="e">
        <f>IF(AND(CI201,NOT(AD201)),LOOKUP(CF$5,{0,750,1500},H201:J201),"")</f>
        <v>#N/A</v>
      </c>
      <c r="CG201" s="6" t="str">
        <f t="shared" si="221"/>
        <v/>
      </c>
      <c r="CH201" t="e">
        <f t="shared" si="345"/>
        <v>#N/A</v>
      </c>
      <c r="CI201" t="e">
        <f t="shared" si="346"/>
        <v>#N/A</v>
      </c>
      <c r="CJ201" s="6" t="e">
        <f t="shared" si="11"/>
        <v>#N/A</v>
      </c>
      <c r="CK201" s="6">
        <f t="shared" si="12"/>
        <v>1</v>
      </c>
      <c r="CL201" s="6">
        <f t="shared" si="26"/>
        <v>1</v>
      </c>
      <c r="CM201" s="6">
        <f t="shared" si="13"/>
        <v>1</v>
      </c>
      <c r="CN201" s="6">
        <f t="shared" si="14"/>
        <v>1</v>
      </c>
      <c r="CO201" s="6">
        <f t="shared" si="15"/>
        <v>0</v>
      </c>
      <c r="CP201" s="6">
        <f t="shared" si="16"/>
        <v>1</v>
      </c>
      <c r="CQ201" s="6">
        <f t="shared" si="347"/>
        <v>1</v>
      </c>
      <c r="CR201" s="81" t="str">
        <f t="shared" si="17"/>
        <v/>
      </c>
      <c r="CS201">
        <f t="shared" si="348"/>
        <v>0</v>
      </c>
      <c r="CT201">
        <f t="shared" si="19"/>
        <v>175</v>
      </c>
      <c r="CU201" t="str">
        <f t="shared" si="29"/>
        <v/>
      </c>
      <c r="CV201" s="81">
        <f t="shared" si="349"/>
        <v>175</v>
      </c>
      <c r="CW201" s="81">
        <f>(CV201/25)^1.5*(Calculator!$BU$4/10000)*CW$5</f>
        <v>47.821272343654172</v>
      </c>
      <c r="CX201" t="str">
        <f t="shared" si="350"/>
        <v>$175</v>
      </c>
    </row>
    <row r="202" spans="2:102" x14ac:dyDescent="0.25">
      <c r="B202" s="115" t="s">
        <v>233</v>
      </c>
      <c r="C202" s="13">
        <v>46242.178472222222</v>
      </c>
      <c r="D202">
        <v>31957</v>
      </c>
      <c r="E202" s="54" t="s">
        <v>235</v>
      </c>
      <c r="F202" s="54" t="s">
        <v>545</v>
      </c>
      <c r="G202" s="54" t="s">
        <v>559</v>
      </c>
      <c r="H202" s="55">
        <v>15.4</v>
      </c>
      <c r="I202" s="55">
        <v>14.899999999999999</v>
      </c>
      <c r="J202" s="55">
        <v>14.7</v>
      </c>
      <c r="K202" s="54"/>
      <c r="L202" s="56" t="b">
        <v>0</v>
      </c>
      <c r="M202" s="56" t="b">
        <v>0</v>
      </c>
      <c r="N202" s="54">
        <v>1</v>
      </c>
      <c r="O202" s="54" t="s">
        <v>228</v>
      </c>
      <c r="P202" s="54">
        <v>22</v>
      </c>
      <c r="Q202" s="54">
        <v>60</v>
      </c>
      <c r="R202" s="54">
        <v>175</v>
      </c>
      <c r="S202" s="54" t="s">
        <v>546</v>
      </c>
      <c r="T202" s="54" t="s">
        <v>560</v>
      </c>
      <c r="U202" s="54" t="s">
        <v>564</v>
      </c>
      <c r="V202" s="54" t="s">
        <v>548</v>
      </c>
      <c r="W202" s="54" t="b">
        <v>0</v>
      </c>
      <c r="X202" s="54"/>
      <c r="Y202" s="57" t="s">
        <v>565</v>
      </c>
      <c r="Z202" s="54" t="s">
        <v>563</v>
      </c>
      <c r="AA202" s="54"/>
      <c r="AB202" s="54" t="s">
        <v>550</v>
      </c>
      <c r="AC202" s="56" t="b">
        <v>1</v>
      </c>
      <c r="AD202" s="56" t="b">
        <v>0</v>
      </c>
      <c r="AE202" s="54" t="s">
        <v>302</v>
      </c>
      <c r="AF202" s="58">
        <v>46242</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9.2999999999999999E-2</v>
      </c>
      <c r="BC202" s="60">
        <v>4.9000000000000004</v>
      </c>
      <c r="BD202" s="61">
        <v>5.1461E-2</v>
      </c>
      <c r="BE202" s="62" t="s">
        <v>293</v>
      </c>
      <c r="BF202" s="35">
        <f t="shared" ref="BF202:BG216" si="351">IF($E202=$E$4,BF$4,IF($E202=$E$5,BF$5,""))</f>
        <v>4.9000000000000004</v>
      </c>
      <c r="BG202" s="35">
        <f t="shared" si="351"/>
        <v>4.9811000000000001E-2</v>
      </c>
      <c r="BH202" s="35" t="str">
        <f t="shared" si="340"/>
        <v>Low</v>
      </c>
      <c r="BI202" s="110">
        <f t="shared" si="341"/>
        <v>0</v>
      </c>
      <c r="BJ202" s="83">
        <f>VLOOKUP($F202,REP_Info!$D$6:$H$250,5,FALSE)</f>
        <v>1.8620000000000001</v>
      </c>
      <c r="BK202" s="30">
        <f t="shared" si="342"/>
        <v>15.261099999999999</v>
      </c>
      <c r="BL202" s="30">
        <f t="shared" si="342"/>
        <v>14.771100000000002</v>
      </c>
      <c r="BM202" s="30">
        <f t="shared" si="342"/>
        <v>14.5261</v>
      </c>
      <c r="BN202" s="29">
        <f t="shared" si="342"/>
        <v>14.444433333333333</v>
      </c>
      <c r="BO202" s="85" t="str">
        <f t="shared" si="2"/>
        <v>$$$</v>
      </c>
      <c r="BP202" s="88" t="str">
        <f t="shared" si="343"/>
        <v>$$$</v>
      </c>
      <c r="BQ202" s="88" t="str">
        <f t="shared" si="4"/>
        <v>$$$</v>
      </c>
      <c r="BR202" s="88" t="str">
        <f t="shared" si="5"/>
        <v>$$$</v>
      </c>
      <c r="BS202" s="29" t="e">
        <f t="shared" si="344"/>
        <v>#N/A</v>
      </c>
      <c r="BT202" s="29" t="e">
        <f t="shared" si="344"/>
        <v>#N/A</v>
      </c>
      <c r="BU202" s="29" t="e">
        <f t="shared" si="344"/>
        <v>#N/A</v>
      </c>
      <c r="BV202" s="29" t="e">
        <f t="shared" si="344"/>
        <v>#N/A</v>
      </c>
      <c r="BW202" s="29" t="e">
        <f t="shared" si="344"/>
        <v>#N/A</v>
      </c>
      <c r="BX202" s="29" t="e">
        <f t="shared" si="344"/>
        <v>#N/A</v>
      </c>
      <c r="BY202" s="29" t="e">
        <f t="shared" si="344"/>
        <v>#N/A</v>
      </c>
      <c r="BZ202" s="29" t="e">
        <f t="shared" si="344"/>
        <v>#N/A</v>
      </c>
      <c r="CA202" s="29" t="e">
        <f t="shared" si="344"/>
        <v>#N/A</v>
      </c>
      <c r="CB202" s="29" t="e">
        <f t="shared" si="344"/>
        <v>#N/A</v>
      </c>
      <c r="CC202" s="29" t="e">
        <f t="shared" si="344"/>
        <v>#N/A</v>
      </c>
      <c r="CD202" s="29" t="e">
        <f t="shared" si="344"/>
        <v>#N/A</v>
      </c>
      <c r="CE202" s="6" t="str">
        <f t="shared" si="220"/>
        <v/>
      </c>
      <c r="CF202" s="27" t="e">
        <f>IF(AND(CI202,NOT(AD202)),LOOKUP(CF$5,{0,750,1500},H202:J202),"")</f>
        <v>#N/A</v>
      </c>
      <c r="CG202" s="6" t="str">
        <f t="shared" si="221"/>
        <v/>
      </c>
      <c r="CH202" t="e">
        <f t="shared" si="345"/>
        <v>#N/A</v>
      </c>
      <c r="CI202" t="e">
        <f t="shared" si="346"/>
        <v>#N/A</v>
      </c>
      <c r="CJ202" s="6" t="e">
        <f t="shared" si="11"/>
        <v>#N/A</v>
      </c>
      <c r="CK202" s="6">
        <f t="shared" si="12"/>
        <v>1</v>
      </c>
      <c r="CL202" s="6">
        <f t="shared" si="26"/>
        <v>1</v>
      </c>
      <c r="CM202" s="6">
        <f t="shared" si="13"/>
        <v>1</v>
      </c>
      <c r="CN202" s="6">
        <f t="shared" si="14"/>
        <v>1</v>
      </c>
      <c r="CO202" s="6">
        <f t="shared" si="15"/>
        <v>0</v>
      </c>
      <c r="CP202" s="6">
        <f t="shared" si="16"/>
        <v>1</v>
      </c>
      <c r="CQ202" s="6">
        <f t="shared" si="347"/>
        <v>1</v>
      </c>
      <c r="CR202" s="81" t="str">
        <f t="shared" si="17"/>
        <v/>
      </c>
      <c r="CS202">
        <f t="shared" si="348"/>
        <v>0</v>
      </c>
      <c r="CT202">
        <f t="shared" si="19"/>
        <v>175</v>
      </c>
      <c r="CU202" t="str">
        <f t="shared" si="29"/>
        <v/>
      </c>
      <c r="CV202" s="81">
        <f t="shared" si="349"/>
        <v>175</v>
      </c>
      <c r="CW202" s="81">
        <f>(CV202/25)^1.5*(Calculator!$BU$4/10000)*CW$5</f>
        <v>47.821272343654172</v>
      </c>
      <c r="CX202" t="str">
        <f t="shared" si="350"/>
        <v>$175</v>
      </c>
    </row>
    <row r="203" spans="2:102" x14ac:dyDescent="0.25">
      <c r="B203" s="115" t="s">
        <v>233</v>
      </c>
      <c r="C203" s="13">
        <v>46242.178472222222</v>
      </c>
      <c r="D203">
        <v>33606</v>
      </c>
      <c r="E203" s="54" t="s">
        <v>237</v>
      </c>
      <c r="F203" s="54" t="s">
        <v>545</v>
      </c>
      <c r="G203" s="54" t="s">
        <v>326</v>
      </c>
      <c r="H203" s="55">
        <v>15.9</v>
      </c>
      <c r="I203" s="55">
        <v>15.5</v>
      </c>
      <c r="J203" s="55">
        <v>15.299999999999999</v>
      </c>
      <c r="K203" s="54"/>
      <c r="L203" s="56" t="b">
        <v>0</v>
      </c>
      <c r="M203" s="56" t="b">
        <v>0</v>
      </c>
      <c r="N203" s="54">
        <v>1</v>
      </c>
      <c r="O203" s="54" t="s">
        <v>228</v>
      </c>
      <c r="P203" s="54">
        <v>22</v>
      </c>
      <c r="Q203" s="54">
        <v>24</v>
      </c>
      <c r="R203" s="54">
        <v>175</v>
      </c>
      <c r="S203" s="54" t="s">
        <v>546</v>
      </c>
      <c r="T203" s="54" t="s">
        <v>560</v>
      </c>
      <c r="U203" s="54" t="s">
        <v>566</v>
      </c>
      <c r="V203" s="54" t="s">
        <v>548</v>
      </c>
      <c r="W203" s="54" t="b">
        <v>0</v>
      </c>
      <c r="X203" s="54"/>
      <c r="Y203" s="57" t="s">
        <v>567</v>
      </c>
      <c r="Z203" s="54" t="s">
        <v>563</v>
      </c>
      <c r="AA203" s="54"/>
      <c r="AB203" s="54" t="s">
        <v>550</v>
      </c>
      <c r="AC203" s="56" t="b">
        <v>1</v>
      </c>
      <c r="AD203" s="56" t="b">
        <v>0</v>
      </c>
      <c r="AE203" s="54" t="s">
        <v>302</v>
      </c>
      <c r="AF203" s="58">
        <v>46242</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9.0999999999999998E-2</v>
      </c>
      <c r="BC203" s="60">
        <v>4.0599999999999996</v>
      </c>
      <c r="BD203" s="61">
        <v>6.0295000000000001E-2</v>
      </c>
      <c r="BE203" s="62" t="s">
        <v>293</v>
      </c>
      <c r="BF203" s="35">
        <f t="shared" si="351"/>
        <v>4.0600000000000005</v>
      </c>
      <c r="BG203" s="35">
        <f t="shared" si="351"/>
        <v>6.0295000000000001E-2</v>
      </c>
      <c r="BH203" s="35" t="str">
        <f t="shared" si="340"/>
        <v>Low</v>
      </c>
      <c r="BI203" s="110">
        <f t="shared" si="341"/>
        <v>0</v>
      </c>
      <c r="BJ203" s="83">
        <f>VLOOKUP($F203,REP_Info!$D$6:$H$250,5,FALSE)</f>
        <v>1.8620000000000001</v>
      </c>
      <c r="BK203" s="30">
        <f t="shared" si="342"/>
        <v>15.941500000000001</v>
      </c>
      <c r="BL203" s="30">
        <f t="shared" si="342"/>
        <v>15.535500000000003</v>
      </c>
      <c r="BM203" s="30">
        <f t="shared" si="342"/>
        <v>15.332499999999998</v>
      </c>
      <c r="BN203" s="29">
        <f t="shared" si="342"/>
        <v>15.264833333333334</v>
      </c>
      <c r="BO203" s="85" t="str">
        <f t="shared" si="2"/>
        <v>$$$</v>
      </c>
      <c r="BP203" s="88" t="str">
        <f t="shared" si="343"/>
        <v>$$$</v>
      </c>
      <c r="BQ203" s="88" t="str">
        <f t="shared" si="4"/>
        <v>$$$</v>
      </c>
      <c r="BR203" s="88" t="str">
        <f t="shared" si="5"/>
        <v>$$$</v>
      </c>
      <c r="BS203" s="29" t="e">
        <f t="shared" si="344"/>
        <v>#N/A</v>
      </c>
      <c r="BT203" s="29" t="e">
        <f t="shared" si="344"/>
        <v>#N/A</v>
      </c>
      <c r="BU203" s="29" t="e">
        <f t="shared" si="344"/>
        <v>#N/A</v>
      </c>
      <c r="BV203" s="29" t="e">
        <f t="shared" si="344"/>
        <v>#N/A</v>
      </c>
      <c r="BW203" s="29" t="e">
        <f t="shared" si="344"/>
        <v>#N/A</v>
      </c>
      <c r="BX203" s="29" t="e">
        <f t="shared" si="344"/>
        <v>#N/A</v>
      </c>
      <c r="BY203" s="29" t="e">
        <f t="shared" si="344"/>
        <v>#N/A</v>
      </c>
      <c r="BZ203" s="29" t="e">
        <f t="shared" si="344"/>
        <v>#N/A</v>
      </c>
      <c r="CA203" s="29" t="e">
        <f t="shared" si="344"/>
        <v>#N/A</v>
      </c>
      <c r="CB203" s="29" t="e">
        <f t="shared" si="344"/>
        <v>#N/A</v>
      </c>
      <c r="CC203" s="29" t="e">
        <f t="shared" si="344"/>
        <v>#N/A</v>
      </c>
      <c r="CD203" s="29" t="e">
        <f t="shared" si="344"/>
        <v>#N/A</v>
      </c>
      <c r="CE203" s="6" t="str">
        <f t="shared" si="220"/>
        <v/>
      </c>
      <c r="CF203" s="27" t="e">
        <f>IF(AND(CI203,NOT(AD203)),LOOKUP(CF$5,{0,750,1500},H203:J203),"")</f>
        <v>#N/A</v>
      </c>
      <c r="CG203" s="6" t="str">
        <f t="shared" si="221"/>
        <v/>
      </c>
      <c r="CH203" t="e">
        <f t="shared" si="345"/>
        <v>#N/A</v>
      </c>
      <c r="CI203" t="e">
        <f t="shared" si="346"/>
        <v>#N/A</v>
      </c>
      <c r="CJ203" s="6" t="e">
        <f t="shared" si="11"/>
        <v>#N/A</v>
      </c>
      <c r="CK203" s="6">
        <f t="shared" si="12"/>
        <v>1</v>
      </c>
      <c r="CL203" s="6">
        <f t="shared" si="26"/>
        <v>1</v>
      </c>
      <c r="CM203" s="6">
        <f t="shared" si="13"/>
        <v>1</v>
      </c>
      <c r="CN203" s="6">
        <f t="shared" si="14"/>
        <v>1</v>
      </c>
      <c r="CO203" s="6">
        <f t="shared" si="15"/>
        <v>0</v>
      </c>
      <c r="CP203" s="6">
        <f t="shared" si="16"/>
        <v>1</v>
      </c>
      <c r="CQ203" s="6">
        <f t="shared" si="347"/>
        <v>1</v>
      </c>
      <c r="CR203" s="81" t="str">
        <f t="shared" si="17"/>
        <v/>
      </c>
      <c r="CS203">
        <f t="shared" si="348"/>
        <v>0</v>
      </c>
      <c r="CT203">
        <f t="shared" si="19"/>
        <v>175</v>
      </c>
      <c r="CU203" t="str">
        <f t="shared" si="29"/>
        <v/>
      </c>
      <c r="CV203" s="81">
        <f t="shared" si="349"/>
        <v>175</v>
      </c>
      <c r="CW203" s="81">
        <f>(CV203/25)^1.5*(Calculator!$BU$4/10000)*CW$5</f>
        <v>47.821272343654172</v>
      </c>
      <c r="CX203" t="str">
        <f t="shared" si="350"/>
        <v>$175</v>
      </c>
    </row>
    <row r="204" spans="2:102" x14ac:dyDescent="0.25">
      <c r="B204" s="115" t="s">
        <v>233</v>
      </c>
      <c r="C204" s="13">
        <v>46242.178472222222</v>
      </c>
      <c r="D204">
        <v>33608</v>
      </c>
      <c r="E204" s="54" t="s">
        <v>235</v>
      </c>
      <c r="F204" s="54" t="s">
        <v>545</v>
      </c>
      <c r="G204" s="54" t="s">
        <v>326</v>
      </c>
      <c r="H204" s="55">
        <v>15.4</v>
      </c>
      <c r="I204" s="55">
        <v>14.899999999999999</v>
      </c>
      <c r="J204" s="55">
        <v>14.7</v>
      </c>
      <c r="K204" s="54"/>
      <c r="L204" s="56" t="b">
        <v>0</v>
      </c>
      <c r="M204" s="56" t="b">
        <v>0</v>
      </c>
      <c r="N204" s="54">
        <v>1</v>
      </c>
      <c r="O204" s="54" t="s">
        <v>228</v>
      </c>
      <c r="P204" s="54">
        <v>22</v>
      </c>
      <c r="Q204" s="54">
        <v>24</v>
      </c>
      <c r="R204" s="54">
        <v>175</v>
      </c>
      <c r="S204" s="54" t="s">
        <v>546</v>
      </c>
      <c r="T204" s="54" t="s">
        <v>560</v>
      </c>
      <c r="U204" s="54" t="s">
        <v>568</v>
      </c>
      <c r="V204" s="54" t="s">
        <v>548</v>
      </c>
      <c r="W204" s="54" t="b">
        <v>0</v>
      </c>
      <c r="X204" s="54"/>
      <c r="Y204" s="57" t="s">
        <v>569</v>
      </c>
      <c r="Z204" s="54" t="s">
        <v>563</v>
      </c>
      <c r="AA204" s="54"/>
      <c r="AB204" s="54" t="s">
        <v>550</v>
      </c>
      <c r="AC204" s="56" t="b">
        <v>1</v>
      </c>
      <c r="AD204" s="56" t="b">
        <v>0</v>
      </c>
      <c r="AE204" s="54" t="s">
        <v>302</v>
      </c>
      <c r="AF204" s="58">
        <v>46242</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9.2999999999999999E-2</v>
      </c>
      <c r="BC204" s="60">
        <v>4.9000000000000004</v>
      </c>
      <c r="BD204" s="61">
        <v>5.1461E-2</v>
      </c>
      <c r="BE204" s="62" t="s">
        <v>293</v>
      </c>
      <c r="BF204" s="35">
        <f t="shared" si="351"/>
        <v>4.9000000000000004</v>
      </c>
      <c r="BG204" s="35">
        <f t="shared" si="351"/>
        <v>4.9811000000000001E-2</v>
      </c>
      <c r="BH204" s="35" t="str">
        <f t="shared" si="340"/>
        <v>Low</v>
      </c>
      <c r="BI204" s="110">
        <f t="shared" si="341"/>
        <v>0</v>
      </c>
      <c r="BJ204" s="83">
        <f>VLOOKUP($F204,REP_Info!$D$6:$H$250,5,FALSE)</f>
        <v>1.8620000000000001</v>
      </c>
      <c r="BK204" s="30">
        <f t="shared" si="342"/>
        <v>15.261099999999999</v>
      </c>
      <c r="BL204" s="30">
        <f t="shared" si="342"/>
        <v>14.771100000000002</v>
      </c>
      <c r="BM204" s="30">
        <f t="shared" si="342"/>
        <v>14.5261</v>
      </c>
      <c r="BN204" s="29">
        <f t="shared" si="342"/>
        <v>14.444433333333333</v>
      </c>
      <c r="BO204" s="85" t="str">
        <f t="shared" si="2"/>
        <v>$$$</v>
      </c>
      <c r="BP204" s="88" t="str">
        <f t="shared" si="343"/>
        <v>$$$</v>
      </c>
      <c r="BQ204" s="88" t="str">
        <f t="shared" si="4"/>
        <v>$$$</v>
      </c>
      <c r="BR204" s="88" t="str">
        <f t="shared" si="5"/>
        <v>$$$</v>
      </c>
      <c r="BS204" s="29" t="e">
        <f t="shared" si="344"/>
        <v>#N/A</v>
      </c>
      <c r="BT204" s="29" t="e">
        <f t="shared" si="344"/>
        <v>#N/A</v>
      </c>
      <c r="BU204" s="29" t="e">
        <f t="shared" si="344"/>
        <v>#N/A</v>
      </c>
      <c r="BV204" s="29" t="e">
        <f t="shared" si="344"/>
        <v>#N/A</v>
      </c>
      <c r="BW204" s="29" t="e">
        <f t="shared" si="344"/>
        <v>#N/A</v>
      </c>
      <c r="BX204" s="29" t="e">
        <f t="shared" si="344"/>
        <v>#N/A</v>
      </c>
      <c r="BY204" s="29" t="e">
        <f t="shared" si="344"/>
        <v>#N/A</v>
      </c>
      <c r="BZ204" s="29" t="e">
        <f t="shared" si="344"/>
        <v>#N/A</v>
      </c>
      <c r="CA204" s="29" t="e">
        <f t="shared" si="344"/>
        <v>#N/A</v>
      </c>
      <c r="CB204" s="29" t="e">
        <f t="shared" si="344"/>
        <v>#N/A</v>
      </c>
      <c r="CC204" s="29" t="e">
        <f t="shared" si="344"/>
        <v>#N/A</v>
      </c>
      <c r="CD204" s="29" t="e">
        <f t="shared" si="344"/>
        <v>#N/A</v>
      </c>
      <c r="CE204" s="6" t="str">
        <f t="shared" si="220"/>
        <v/>
      </c>
      <c r="CF204" s="27" t="e">
        <f>IF(AND(CI204,NOT(AD204)),LOOKUP(CF$5,{0,750,1500},H204:J204),"")</f>
        <v>#N/A</v>
      </c>
      <c r="CG204" s="6" t="str">
        <f t="shared" si="221"/>
        <v/>
      </c>
      <c r="CH204" t="e">
        <f t="shared" si="345"/>
        <v>#N/A</v>
      </c>
      <c r="CI204" t="e">
        <f t="shared" si="346"/>
        <v>#N/A</v>
      </c>
      <c r="CJ204" s="6" t="e">
        <f t="shared" si="11"/>
        <v>#N/A</v>
      </c>
      <c r="CK204" s="6">
        <f t="shared" si="12"/>
        <v>1</v>
      </c>
      <c r="CL204" s="6">
        <f t="shared" si="26"/>
        <v>1</v>
      </c>
      <c r="CM204" s="6">
        <f t="shared" si="13"/>
        <v>1</v>
      </c>
      <c r="CN204" s="6">
        <f t="shared" si="14"/>
        <v>1</v>
      </c>
      <c r="CO204" s="6">
        <f t="shared" si="15"/>
        <v>0</v>
      </c>
      <c r="CP204" s="6">
        <f t="shared" si="16"/>
        <v>1</v>
      </c>
      <c r="CQ204" s="6">
        <f t="shared" si="347"/>
        <v>1</v>
      </c>
      <c r="CR204" s="81" t="str">
        <f t="shared" si="17"/>
        <v/>
      </c>
      <c r="CS204">
        <f t="shared" si="348"/>
        <v>0</v>
      </c>
      <c r="CT204">
        <f t="shared" si="19"/>
        <v>175</v>
      </c>
      <c r="CU204" t="str">
        <f t="shared" si="29"/>
        <v/>
      </c>
      <c r="CV204" s="81">
        <f t="shared" si="349"/>
        <v>175</v>
      </c>
      <c r="CW204" s="81">
        <f>(CV204/25)^1.5*(Calculator!$BU$4/10000)*CW$5</f>
        <v>47.821272343654172</v>
      </c>
      <c r="CX204" t="str">
        <f t="shared" si="350"/>
        <v>$175</v>
      </c>
    </row>
    <row r="205" spans="2:102" x14ac:dyDescent="0.25">
      <c r="B205" s="115" t="s">
        <v>233</v>
      </c>
      <c r="C205" s="13">
        <v>46236.341666666667</v>
      </c>
      <c r="D205">
        <v>619</v>
      </c>
      <c r="E205" s="54" t="s">
        <v>235</v>
      </c>
      <c r="F205" s="54" t="s">
        <v>570</v>
      </c>
      <c r="G205" s="54" t="s">
        <v>571</v>
      </c>
      <c r="H205" s="55">
        <v>17.7</v>
      </c>
      <c r="I205" s="55">
        <v>16.5</v>
      </c>
      <c r="J205" s="55">
        <v>15.8</v>
      </c>
      <c r="K205" s="54"/>
      <c r="L205" s="56" t="b">
        <v>0</v>
      </c>
      <c r="M205" s="56" t="b">
        <v>0</v>
      </c>
      <c r="N205" s="54">
        <v>0</v>
      </c>
      <c r="O205" s="54" t="s">
        <v>238</v>
      </c>
      <c r="P205" s="54">
        <v>15</v>
      </c>
      <c r="Q205" s="54">
        <v>0</v>
      </c>
      <c r="R205" s="54">
        <v>0</v>
      </c>
      <c r="S205" s="54" t="s">
        <v>572</v>
      </c>
      <c r="T205" s="54" t="s">
        <v>573</v>
      </c>
      <c r="U205" s="54" t="s">
        <v>574</v>
      </c>
      <c r="V205" s="54" t="s">
        <v>575</v>
      </c>
      <c r="W205" s="54" t="b">
        <v>0</v>
      </c>
      <c r="X205" s="54"/>
      <c r="Y205" s="57" t="s">
        <v>1805</v>
      </c>
      <c r="Z205" s="54" t="s">
        <v>576</v>
      </c>
      <c r="AA205" s="54"/>
      <c r="AB205" s="54" t="s">
        <v>577</v>
      </c>
      <c r="AC205" s="56" t="b">
        <v>0</v>
      </c>
      <c r="AD205" s="56" t="b">
        <v>0</v>
      </c>
      <c r="AE205" s="54"/>
      <c r="AF205" s="58"/>
      <c r="AG205" s="62" t="s">
        <v>293</v>
      </c>
      <c r="AH205" s="54"/>
      <c r="AI205" s="54"/>
      <c r="AJ205" s="54"/>
      <c r="AK205" s="54"/>
      <c r="AL205" s="54"/>
      <c r="AM205" s="54">
        <v>0</v>
      </c>
      <c r="AN205" s="54"/>
      <c r="AO205" s="54"/>
      <c r="AP205" s="54"/>
      <c r="AQ205" s="54"/>
      <c r="AR205" s="54"/>
      <c r="AS205" s="54"/>
      <c r="AT205" s="54"/>
      <c r="AU205" s="54"/>
      <c r="AV205" s="54"/>
      <c r="AW205" s="54"/>
      <c r="AX205" s="59"/>
      <c r="AY205" s="59"/>
      <c r="AZ205" s="59"/>
      <c r="BA205" s="59"/>
      <c r="BB205" s="59"/>
      <c r="BC205" s="60"/>
      <c r="BD205" s="61"/>
      <c r="BE205" s="62"/>
      <c r="BF205" s="35">
        <f t="shared" si="351"/>
        <v>4.9000000000000004</v>
      </c>
      <c r="BG205" s="35">
        <f t="shared" si="351"/>
        <v>4.9811000000000001E-2</v>
      </c>
      <c r="BH205" s="35" t="str">
        <f t="shared" si="340"/>
        <v>?</v>
      </c>
      <c r="BI205" s="110" t="str">
        <f t="shared" si="341"/>
        <v/>
      </c>
      <c r="BJ205" s="83" t="e">
        <f>VLOOKUP($F205,REP_Info!$D$6:$H$250,5,FALSE)</f>
        <v>#N/A</v>
      </c>
      <c r="BK205" s="30" t="e">
        <f t="shared" si="342"/>
        <v>#N/A</v>
      </c>
      <c r="BL205" s="30" t="e">
        <f t="shared" si="342"/>
        <v>#N/A</v>
      </c>
      <c r="BM205" s="30" t="e">
        <f t="shared" si="342"/>
        <v>#N/A</v>
      </c>
      <c r="BN205" s="29" t="e">
        <f t="shared" si="342"/>
        <v>#N/A</v>
      </c>
      <c r="BO205" s="85" t="str">
        <f t="shared" si="2"/>
        <v>$$$</v>
      </c>
      <c r="BP205" s="88" t="str">
        <f t="shared" si="343"/>
        <v>$$$</v>
      </c>
      <c r="BQ205" s="88" t="str">
        <f t="shared" si="4"/>
        <v>$$$</v>
      </c>
      <c r="BR205" s="88" t="str">
        <f t="shared" si="5"/>
        <v>$$$</v>
      </c>
      <c r="BS205" s="29" t="e">
        <f t="shared" si="344"/>
        <v>#N/A</v>
      </c>
      <c r="BT205" s="29" t="e">
        <f t="shared" si="344"/>
        <v>#N/A</v>
      </c>
      <c r="BU205" s="29" t="e">
        <f t="shared" si="344"/>
        <v>#N/A</v>
      </c>
      <c r="BV205" s="29" t="e">
        <f t="shared" si="344"/>
        <v>#N/A</v>
      </c>
      <c r="BW205" s="29" t="e">
        <f t="shared" si="344"/>
        <v>#N/A</v>
      </c>
      <c r="BX205" s="29" t="e">
        <f t="shared" si="344"/>
        <v>#N/A</v>
      </c>
      <c r="BY205" s="29" t="e">
        <f t="shared" si="344"/>
        <v>#N/A</v>
      </c>
      <c r="BZ205" s="29" t="e">
        <f t="shared" si="344"/>
        <v>#N/A</v>
      </c>
      <c r="CA205" s="29" t="e">
        <f t="shared" si="344"/>
        <v>#N/A</v>
      </c>
      <c r="CB205" s="29" t="e">
        <f t="shared" si="344"/>
        <v>#N/A</v>
      </c>
      <c r="CC205" s="29" t="e">
        <f t="shared" si="344"/>
        <v>#N/A</v>
      </c>
      <c r="CD205" s="29" t="e">
        <f t="shared" si="344"/>
        <v>#N/A</v>
      </c>
      <c r="CE205" s="6" t="str">
        <f t="shared" si="220"/>
        <v/>
      </c>
      <c r="CF205" s="27" t="e">
        <f>IF(AND(CI205,NOT(AD205)),LOOKUP(CF$5,{0,750,1500},H205:J205),"")</f>
        <v>#N/A</v>
      </c>
      <c r="CG205" s="6" t="str">
        <f t="shared" si="221"/>
        <v/>
      </c>
      <c r="CH205" t="e">
        <f t="shared" si="345"/>
        <v>#N/A</v>
      </c>
      <c r="CI205" t="e">
        <f t="shared" si="346"/>
        <v>#N/A</v>
      </c>
      <c r="CJ205" s="6" t="e">
        <f t="shared" si="11"/>
        <v>#N/A</v>
      </c>
      <c r="CK205" s="6">
        <f t="shared" si="12"/>
        <v>1</v>
      </c>
      <c r="CL205" s="6">
        <f t="shared" si="26"/>
        <v>1</v>
      </c>
      <c r="CM205" s="6">
        <f t="shared" si="13"/>
        <v>0</v>
      </c>
      <c r="CN205" s="6">
        <f t="shared" si="14"/>
        <v>0</v>
      </c>
      <c r="CO205" s="6">
        <f t="shared" si="15"/>
        <v>1</v>
      </c>
      <c r="CP205" s="6">
        <f t="shared" si="16"/>
        <v>1</v>
      </c>
      <c r="CQ205" s="6">
        <f t="shared" si="347"/>
        <v>1</v>
      </c>
      <c r="CR205" s="81" t="str">
        <f t="shared" si="17"/>
        <v/>
      </c>
      <c r="CS205" t="e">
        <f t="shared" si="348"/>
        <v>#DIV/0!</v>
      </c>
      <c r="CT205">
        <f t="shared" si="19"/>
        <v>0</v>
      </c>
      <c r="CU205" t="str">
        <f t="shared" si="29"/>
        <v/>
      </c>
      <c r="CV205" s="81">
        <f t="shared" si="349"/>
        <v>0</v>
      </c>
      <c r="CW205" s="81">
        <f>(CV205/25)^1.5*(Calculator!$BU$4/10000)*CW$5</f>
        <v>0</v>
      </c>
      <c r="CX205" t="str">
        <f t="shared" si="350"/>
        <v>$0</v>
      </c>
    </row>
    <row r="206" spans="2:102" x14ac:dyDescent="0.25">
      <c r="B206" s="115" t="s">
        <v>233</v>
      </c>
      <c r="C206" s="13">
        <v>46236.341666666667</v>
      </c>
      <c r="D206">
        <v>31423</v>
      </c>
      <c r="E206" s="54" t="s">
        <v>237</v>
      </c>
      <c r="F206" s="54" t="s">
        <v>570</v>
      </c>
      <c r="G206" s="54" t="s">
        <v>571</v>
      </c>
      <c r="H206" s="55">
        <v>18.399999999999999</v>
      </c>
      <c r="I206" s="55">
        <v>17.299999999999997</v>
      </c>
      <c r="J206" s="55">
        <v>16.7</v>
      </c>
      <c r="K206" s="54"/>
      <c r="L206" s="56" t="b">
        <v>0</v>
      </c>
      <c r="M206" s="56" t="b">
        <v>0</v>
      </c>
      <c r="N206" s="54">
        <v>0</v>
      </c>
      <c r="O206" s="54" t="s">
        <v>238</v>
      </c>
      <c r="P206" s="54">
        <v>15</v>
      </c>
      <c r="Q206" s="54">
        <v>0</v>
      </c>
      <c r="R206" s="54">
        <v>0</v>
      </c>
      <c r="S206" s="54" t="s">
        <v>572</v>
      </c>
      <c r="T206" s="54" t="s">
        <v>573</v>
      </c>
      <c r="U206" s="54" t="s">
        <v>574</v>
      </c>
      <c r="V206" s="54" t="s">
        <v>575</v>
      </c>
      <c r="W206" s="54" t="b">
        <v>0</v>
      </c>
      <c r="X206" s="54"/>
      <c r="Y206" s="57" t="s">
        <v>1806</v>
      </c>
      <c r="Z206" s="54" t="s">
        <v>576</v>
      </c>
      <c r="AA206" s="54"/>
      <c r="AB206" s="54" t="s">
        <v>577</v>
      </c>
      <c r="AC206" s="56" t="b">
        <v>0</v>
      </c>
      <c r="AD206" s="56" t="b">
        <v>0</v>
      </c>
      <c r="AE206" s="54"/>
      <c r="AF206" s="58"/>
      <c r="AG206" s="62" t="s">
        <v>293</v>
      </c>
      <c r="AH206" s="54"/>
      <c r="AI206" s="54"/>
      <c r="AJ206" s="54"/>
      <c r="AK206" s="54"/>
      <c r="AL206" s="54"/>
      <c r="AM206" s="54">
        <v>0</v>
      </c>
      <c r="AN206" s="54"/>
      <c r="AO206" s="54"/>
      <c r="AP206" s="54"/>
      <c r="AQ206" s="54"/>
      <c r="AR206" s="54"/>
      <c r="AS206" s="54"/>
      <c r="AT206" s="54"/>
      <c r="AU206" s="54"/>
      <c r="AV206" s="54"/>
      <c r="AW206" s="54"/>
      <c r="AX206" s="59"/>
      <c r="AY206" s="59"/>
      <c r="AZ206" s="59"/>
      <c r="BA206" s="59"/>
      <c r="BB206" s="59"/>
      <c r="BC206" s="60"/>
      <c r="BD206" s="61"/>
      <c r="BE206" s="62"/>
      <c r="BF206" s="35">
        <f t="shared" si="351"/>
        <v>4.0600000000000005</v>
      </c>
      <c r="BG206" s="35">
        <f t="shared" si="351"/>
        <v>6.0295000000000001E-2</v>
      </c>
      <c r="BH206" s="35" t="str">
        <f t="shared" si="340"/>
        <v>?</v>
      </c>
      <c r="BI206" s="110" t="str">
        <f t="shared" si="341"/>
        <v/>
      </c>
      <c r="BJ206" s="83" t="e">
        <f>VLOOKUP($F206,REP_Info!$D$6:$H$250,5,FALSE)</f>
        <v>#N/A</v>
      </c>
      <c r="BK206" s="30" t="e">
        <f t="shared" si="342"/>
        <v>#N/A</v>
      </c>
      <c r="BL206" s="30" t="e">
        <f t="shared" si="342"/>
        <v>#N/A</v>
      </c>
      <c r="BM206" s="30" t="e">
        <f t="shared" si="342"/>
        <v>#N/A</v>
      </c>
      <c r="BN206" s="29" t="e">
        <f t="shared" si="342"/>
        <v>#N/A</v>
      </c>
      <c r="BO206" s="85" t="str">
        <f t="shared" si="2"/>
        <v>$$$</v>
      </c>
      <c r="BP206" s="88" t="str">
        <f t="shared" si="343"/>
        <v>$$$</v>
      </c>
      <c r="BQ206" s="88" t="str">
        <f t="shared" si="4"/>
        <v>$$$</v>
      </c>
      <c r="BR206" s="88" t="str">
        <f t="shared" si="5"/>
        <v>$$$</v>
      </c>
      <c r="BS206" s="29" t="e">
        <f t="shared" si="344"/>
        <v>#N/A</v>
      </c>
      <c r="BT206" s="29" t="e">
        <f t="shared" si="344"/>
        <v>#N/A</v>
      </c>
      <c r="BU206" s="29" t="e">
        <f t="shared" si="344"/>
        <v>#N/A</v>
      </c>
      <c r="BV206" s="29" t="e">
        <f t="shared" si="344"/>
        <v>#N/A</v>
      </c>
      <c r="BW206" s="29" t="e">
        <f t="shared" si="344"/>
        <v>#N/A</v>
      </c>
      <c r="BX206" s="29" t="e">
        <f t="shared" si="344"/>
        <v>#N/A</v>
      </c>
      <c r="BY206" s="29" t="e">
        <f t="shared" si="344"/>
        <v>#N/A</v>
      </c>
      <c r="BZ206" s="29" t="e">
        <f t="shared" si="344"/>
        <v>#N/A</v>
      </c>
      <c r="CA206" s="29" t="e">
        <f t="shared" si="344"/>
        <v>#N/A</v>
      </c>
      <c r="CB206" s="29" t="e">
        <f t="shared" si="344"/>
        <v>#N/A</v>
      </c>
      <c r="CC206" s="29" t="e">
        <f t="shared" si="344"/>
        <v>#N/A</v>
      </c>
      <c r="CD206" s="29" t="e">
        <f t="shared" si="344"/>
        <v>#N/A</v>
      </c>
      <c r="CE206" s="6" t="str">
        <f t="shared" si="220"/>
        <v/>
      </c>
      <c r="CF206" s="27" t="e">
        <f>IF(AND(CI206,NOT(AD206)),LOOKUP(CF$5,{0,750,1500},H206:J206),"")</f>
        <v>#N/A</v>
      </c>
      <c r="CG206" s="6" t="str">
        <f t="shared" si="221"/>
        <v/>
      </c>
      <c r="CH206" t="e">
        <f t="shared" si="345"/>
        <v>#N/A</v>
      </c>
      <c r="CI206" t="e">
        <f t="shared" si="346"/>
        <v>#N/A</v>
      </c>
      <c r="CJ206" s="6" t="e">
        <f t="shared" si="11"/>
        <v>#N/A</v>
      </c>
      <c r="CK206" s="6">
        <f t="shared" si="12"/>
        <v>1</v>
      </c>
      <c r="CL206" s="6">
        <f t="shared" si="26"/>
        <v>1</v>
      </c>
      <c r="CM206" s="6">
        <f t="shared" si="13"/>
        <v>0</v>
      </c>
      <c r="CN206" s="6">
        <f t="shared" si="14"/>
        <v>0</v>
      </c>
      <c r="CO206" s="6">
        <f t="shared" si="15"/>
        <v>1</v>
      </c>
      <c r="CP206" s="6">
        <f t="shared" si="16"/>
        <v>1</v>
      </c>
      <c r="CQ206" s="6">
        <f t="shared" si="347"/>
        <v>1</v>
      </c>
      <c r="CR206" s="81" t="str">
        <f t="shared" si="17"/>
        <v/>
      </c>
      <c r="CS206" t="e">
        <f t="shared" si="348"/>
        <v>#DIV/0!</v>
      </c>
      <c r="CT206">
        <f t="shared" si="19"/>
        <v>0</v>
      </c>
      <c r="CU206" t="str">
        <f t="shared" si="29"/>
        <v/>
      </c>
      <c r="CV206" s="81">
        <f t="shared" si="349"/>
        <v>0</v>
      </c>
      <c r="CW206" s="81">
        <f>(CV206/25)^1.5*(Calculator!$BU$4/10000)*CW$5</f>
        <v>0</v>
      </c>
      <c r="CX206" t="str">
        <f t="shared" si="350"/>
        <v>$0</v>
      </c>
    </row>
    <row r="207" spans="2:102" x14ac:dyDescent="0.25">
      <c r="B207" s="115" t="s">
        <v>233</v>
      </c>
      <c r="C207" s="13">
        <v>46254.637499999997</v>
      </c>
      <c r="D207">
        <v>26302</v>
      </c>
      <c r="E207" s="54" t="s">
        <v>235</v>
      </c>
      <c r="F207" s="54" t="s">
        <v>578</v>
      </c>
      <c r="G207" s="54" t="s">
        <v>1618</v>
      </c>
      <c r="H207" s="55">
        <v>10.9</v>
      </c>
      <c r="I207" s="55">
        <v>10.4</v>
      </c>
      <c r="J207" s="55">
        <v>10.100000000000001</v>
      </c>
      <c r="K207" s="54"/>
      <c r="L207" s="56" t="b">
        <v>0</v>
      </c>
      <c r="M207" s="56" t="b">
        <v>0</v>
      </c>
      <c r="N207" s="54">
        <v>1</v>
      </c>
      <c r="O207" s="54" t="s">
        <v>228</v>
      </c>
      <c r="P207" s="54">
        <v>100</v>
      </c>
      <c r="Q207" s="54">
        <v>12</v>
      </c>
      <c r="R207" s="54">
        <v>150</v>
      </c>
      <c r="S207" s="54" t="s">
        <v>579</v>
      </c>
      <c r="T207" s="54" t="s">
        <v>580</v>
      </c>
      <c r="U207" s="54" t="s">
        <v>581</v>
      </c>
      <c r="V207" s="54" t="s">
        <v>582</v>
      </c>
      <c r="W207" s="54" t="b">
        <v>0</v>
      </c>
      <c r="X207" s="54"/>
      <c r="Y207" s="57" t="s">
        <v>2280</v>
      </c>
      <c r="Z207" s="54" t="s">
        <v>579</v>
      </c>
      <c r="AA207" s="54"/>
      <c r="AB207" s="54" t="s">
        <v>583</v>
      </c>
      <c r="AC207" s="56" t="b">
        <v>1</v>
      </c>
      <c r="AD207" s="56" t="b">
        <v>0</v>
      </c>
      <c r="AE207" s="54" t="s">
        <v>302</v>
      </c>
      <c r="AF207" s="58">
        <v>46252</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4.8951000000000001E-2</v>
      </c>
      <c r="BC207" s="60">
        <v>4.9000000000000004</v>
      </c>
      <c r="BD207" s="61">
        <v>4.9811000000000001E-2</v>
      </c>
      <c r="BE207" s="62" t="s">
        <v>293</v>
      </c>
      <c r="BF207" s="35">
        <f t="shared" si="351"/>
        <v>4.9000000000000004</v>
      </c>
      <c r="BG207" s="35">
        <f t="shared" si="351"/>
        <v>4.9811000000000001E-2</v>
      </c>
      <c r="BH207" s="35" t="str">
        <f t="shared" si="340"/>
        <v>Low</v>
      </c>
      <c r="BI207" s="110">
        <f t="shared" si="341"/>
        <v>0</v>
      </c>
      <c r="BJ207" s="83">
        <f>VLOOKUP($F207,REP_Info!$D$6:$H$250,5,FALSE)</f>
        <v>4.5250000000000004</v>
      </c>
      <c r="BK207" s="30">
        <f t="shared" si="342"/>
        <v>10.856200000000001</v>
      </c>
      <c r="BL207" s="30">
        <f t="shared" si="342"/>
        <v>10.366200000000001</v>
      </c>
      <c r="BM207" s="30">
        <f t="shared" si="342"/>
        <v>10.1212</v>
      </c>
      <c r="BN207" s="29">
        <f t="shared" si="342"/>
        <v>10.039533333333335</v>
      </c>
      <c r="BO207" s="85" t="str">
        <f t="shared" si="2"/>
        <v>$$$</v>
      </c>
      <c r="BP207" s="88" t="str">
        <f t="shared" si="343"/>
        <v>$$$</v>
      </c>
      <c r="BQ207" s="88" t="str">
        <f t="shared" si="4"/>
        <v>$$$</v>
      </c>
      <c r="BR207" s="88" t="str">
        <f t="shared" si="5"/>
        <v>$$$</v>
      </c>
      <c r="BS207" s="29" t="e">
        <f t="shared" si="344"/>
        <v>#N/A</v>
      </c>
      <c r="BT207" s="29" t="e">
        <f t="shared" si="344"/>
        <v>#N/A</v>
      </c>
      <c r="BU207" s="29" t="e">
        <f t="shared" si="344"/>
        <v>#N/A</v>
      </c>
      <c r="BV207" s="29" t="e">
        <f t="shared" si="344"/>
        <v>#N/A</v>
      </c>
      <c r="BW207" s="29" t="e">
        <f t="shared" si="344"/>
        <v>#N/A</v>
      </c>
      <c r="BX207" s="29" t="e">
        <f t="shared" si="344"/>
        <v>#N/A</v>
      </c>
      <c r="BY207" s="29" t="e">
        <f t="shared" si="344"/>
        <v>#N/A</v>
      </c>
      <c r="BZ207" s="29" t="e">
        <f t="shared" si="344"/>
        <v>#N/A</v>
      </c>
      <c r="CA207" s="29" t="e">
        <f t="shared" si="344"/>
        <v>#N/A</v>
      </c>
      <c r="CB207" s="29" t="e">
        <f t="shared" si="344"/>
        <v>#N/A</v>
      </c>
      <c r="CC207" s="29" t="e">
        <f t="shared" si="344"/>
        <v>#N/A</v>
      </c>
      <c r="CD207" s="29" t="e">
        <f t="shared" si="344"/>
        <v>#N/A</v>
      </c>
      <c r="CE207" s="6" t="str">
        <f t="shared" ref="CE207:CE270" si="352">IF(ISNUMBER(CF207),RANK($CF207,$CF$8:$CF$357,1),"")</f>
        <v/>
      </c>
      <c r="CF207" s="27" t="e">
        <f>IF(AND(CI207,NOT(AD207)),LOOKUP(CF$5,{0,750,1500},H207:J207),"")</f>
        <v>#N/A</v>
      </c>
      <c r="CG207" s="6" t="str">
        <f t="shared" ref="CG207:CG270" si="353">IF(ISNUMBER(CH207),RANK($CH207,$CH$8:$CH$357,1),"")</f>
        <v/>
      </c>
      <c r="CH207" t="e">
        <f t="shared" si="345"/>
        <v>#N/A</v>
      </c>
      <c r="CI207" t="e">
        <f t="shared" si="346"/>
        <v>#N/A</v>
      </c>
      <c r="CJ207" s="6" t="e">
        <f t="shared" si="11"/>
        <v>#N/A</v>
      </c>
      <c r="CK207" s="6">
        <f t="shared" si="12"/>
        <v>1</v>
      </c>
      <c r="CL207" s="6">
        <f t="shared" si="26"/>
        <v>1</v>
      </c>
      <c r="CM207" s="6">
        <f t="shared" si="13"/>
        <v>1</v>
      </c>
      <c r="CN207" s="6">
        <f t="shared" si="14"/>
        <v>1</v>
      </c>
      <c r="CO207" s="6">
        <f t="shared" si="15"/>
        <v>1</v>
      </c>
      <c r="CP207" s="6">
        <f t="shared" si="16"/>
        <v>1</v>
      </c>
      <c r="CQ207" s="6">
        <f t="shared" si="347"/>
        <v>1</v>
      </c>
      <c r="CR207" s="81" t="str">
        <f t="shared" si="17"/>
        <v/>
      </c>
      <c r="CS207">
        <f t="shared" si="348"/>
        <v>0</v>
      </c>
      <c r="CT207">
        <f t="shared" si="19"/>
        <v>150</v>
      </c>
      <c r="CU207" t="str">
        <f t="shared" si="29"/>
        <v/>
      </c>
      <c r="CV207" s="81">
        <f t="shared" si="349"/>
        <v>150</v>
      </c>
      <c r="CW207" s="81">
        <f>(CV207/25)^1.5*(Calculator!$BU$4/10000)*CW$5</f>
        <v>37.949052970673385</v>
      </c>
      <c r="CX207" t="str">
        <f t="shared" si="350"/>
        <v>$150</v>
      </c>
    </row>
    <row r="208" spans="2:102" x14ac:dyDescent="0.25">
      <c r="B208" s="115" t="s">
        <v>233</v>
      </c>
      <c r="C208" s="13">
        <v>46242.178472222222</v>
      </c>
      <c r="D208">
        <v>31355</v>
      </c>
      <c r="E208" s="54" t="s">
        <v>237</v>
      </c>
      <c r="F208" s="54" t="s">
        <v>578</v>
      </c>
      <c r="G208" s="54" t="s">
        <v>1618</v>
      </c>
      <c r="H208" s="55">
        <v>11.700000000000001</v>
      </c>
      <c r="I208" s="55">
        <v>11.3</v>
      </c>
      <c r="J208" s="55">
        <v>11.1</v>
      </c>
      <c r="K208" s="54"/>
      <c r="L208" s="56" t="b">
        <v>0</v>
      </c>
      <c r="M208" s="56" t="b">
        <v>0</v>
      </c>
      <c r="N208" s="54">
        <v>1</v>
      </c>
      <c r="O208" s="54" t="s">
        <v>228</v>
      </c>
      <c r="P208" s="54">
        <v>100</v>
      </c>
      <c r="Q208" s="54">
        <v>12</v>
      </c>
      <c r="R208" s="54">
        <v>150</v>
      </c>
      <c r="S208" s="54" t="s">
        <v>579</v>
      </c>
      <c r="T208" s="54" t="s">
        <v>584</v>
      </c>
      <c r="U208" s="54" t="s">
        <v>581</v>
      </c>
      <c r="V208" s="54" t="s">
        <v>582</v>
      </c>
      <c r="W208" s="54" t="b">
        <v>0</v>
      </c>
      <c r="X208" s="54"/>
      <c r="Y208" s="57" t="s">
        <v>1921</v>
      </c>
      <c r="Z208" s="54" t="s">
        <v>585</v>
      </c>
      <c r="AA208" s="54"/>
      <c r="AB208" s="54" t="s">
        <v>583</v>
      </c>
      <c r="AC208" s="56" t="b">
        <v>1</v>
      </c>
      <c r="AD208" s="56" t="b">
        <v>0</v>
      </c>
      <c r="AE208" s="54" t="s">
        <v>302</v>
      </c>
      <c r="AF208" s="58">
        <v>46241</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4.8989999999999999E-2</v>
      </c>
      <c r="BC208" s="60">
        <v>4.0599999999999996</v>
      </c>
      <c r="BD208" s="61">
        <v>6.0295000000000001E-2</v>
      </c>
      <c r="BE208" s="62" t="s">
        <v>293</v>
      </c>
      <c r="BF208" s="35">
        <f t="shared" si="351"/>
        <v>4.0600000000000005</v>
      </c>
      <c r="BG208" s="35">
        <f t="shared" si="351"/>
        <v>6.0295000000000001E-2</v>
      </c>
      <c r="BH208" s="35" t="str">
        <f t="shared" si="340"/>
        <v>Low</v>
      </c>
      <c r="BI208" s="110">
        <f t="shared" si="341"/>
        <v>0</v>
      </c>
      <c r="BJ208" s="83">
        <f>VLOOKUP($F208,REP_Info!$D$6:$H$250,5,FALSE)</f>
        <v>4.5250000000000004</v>
      </c>
      <c r="BK208" s="30">
        <f t="shared" si="342"/>
        <v>11.740500000000001</v>
      </c>
      <c r="BL208" s="30">
        <f t="shared" si="342"/>
        <v>11.3345</v>
      </c>
      <c r="BM208" s="30">
        <f t="shared" si="342"/>
        <v>11.131500000000001</v>
      </c>
      <c r="BN208" s="29">
        <f t="shared" si="342"/>
        <v>11.063833333333333</v>
      </c>
      <c r="BO208" s="85" t="str">
        <f t="shared" si="2"/>
        <v>$$$</v>
      </c>
      <c r="BP208" s="88" t="str">
        <f t="shared" si="343"/>
        <v>$$$</v>
      </c>
      <c r="BQ208" s="88" t="str">
        <f t="shared" si="4"/>
        <v>$$$</v>
      </c>
      <c r="BR208" s="88" t="str">
        <f t="shared" si="5"/>
        <v>$$$</v>
      </c>
      <c r="BS208" s="29" t="e">
        <f t="shared" si="344"/>
        <v>#N/A</v>
      </c>
      <c r="BT208" s="29" t="e">
        <f t="shared" si="344"/>
        <v>#N/A</v>
      </c>
      <c r="BU208" s="29" t="e">
        <f t="shared" si="344"/>
        <v>#N/A</v>
      </c>
      <c r="BV208" s="29" t="e">
        <f t="shared" si="344"/>
        <v>#N/A</v>
      </c>
      <c r="BW208" s="29" t="e">
        <f t="shared" si="344"/>
        <v>#N/A</v>
      </c>
      <c r="BX208" s="29" t="e">
        <f t="shared" si="344"/>
        <v>#N/A</v>
      </c>
      <c r="BY208" s="29" t="e">
        <f t="shared" si="344"/>
        <v>#N/A</v>
      </c>
      <c r="BZ208" s="29" t="e">
        <f t="shared" si="344"/>
        <v>#N/A</v>
      </c>
      <c r="CA208" s="29" t="e">
        <f t="shared" si="344"/>
        <v>#N/A</v>
      </c>
      <c r="CB208" s="29" t="e">
        <f t="shared" si="344"/>
        <v>#N/A</v>
      </c>
      <c r="CC208" s="29" t="e">
        <f t="shared" si="344"/>
        <v>#N/A</v>
      </c>
      <c r="CD208" s="29" t="e">
        <f t="shared" si="344"/>
        <v>#N/A</v>
      </c>
      <c r="CE208" s="6" t="str">
        <f t="shared" si="352"/>
        <v/>
      </c>
      <c r="CF208" s="27" t="e">
        <f>IF(AND(CI208,NOT(AD208)),LOOKUP(CF$5,{0,750,1500},H208:J208),"")</f>
        <v>#N/A</v>
      </c>
      <c r="CG208" s="6" t="str">
        <f t="shared" si="353"/>
        <v/>
      </c>
      <c r="CH208" t="e">
        <f t="shared" si="345"/>
        <v>#N/A</v>
      </c>
      <c r="CI208" t="e">
        <f t="shared" si="346"/>
        <v>#N/A</v>
      </c>
      <c r="CJ208" s="6" t="e">
        <f t="shared" si="11"/>
        <v>#N/A</v>
      </c>
      <c r="CK208" s="6">
        <f t="shared" si="12"/>
        <v>1</v>
      </c>
      <c r="CL208" s="6">
        <f t="shared" si="26"/>
        <v>1</v>
      </c>
      <c r="CM208" s="6">
        <f t="shared" si="13"/>
        <v>1</v>
      </c>
      <c r="CN208" s="6">
        <f t="shared" si="14"/>
        <v>1</v>
      </c>
      <c r="CO208" s="6">
        <f t="shared" si="15"/>
        <v>1</v>
      </c>
      <c r="CP208" s="6">
        <f t="shared" si="16"/>
        <v>1</v>
      </c>
      <c r="CQ208" s="6">
        <f t="shared" si="347"/>
        <v>1</v>
      </c>
      <c r="CR208" s="81" t="str">
        <f t="shared" si="17"/>
        <v/>
      </c>
      <c r="CS208">
        <f t="shared" si="348"/>
        <v>0</v>
      </c>
      <c r="CT208">
        <f t="shared" si="19"/>
        <v>150</v>
      </c>
      <c r="CU208" t="str">
        <f t="shared" si="29"/>
        <v/>
      </c>
      <c r="CV208" s="81">
        <f t="shared" si="349"/>
        <v>150</v>
      </c>
      <c r="CW208" s="81">
        <f>(CV208/25)^1.5*(Calculator!$BU$4/10000)*CW$5</f>
        <v>37.949052970673385</v>
      </c>
      <c r="CX208" t="str">
        <f t="shared" si="350"/>
        <v>$150</v>
      </c>
    </row>
    <row r="209" spans="2:102" x14ac:dyDescent="0.25">
      <c r="B209" s="115" t="s">
        <v>233</v>
      </c>
      <c r="C209" s="13">
        <v>46242.178472222222</v>
      </c>
      <c r="D209">
        <v>35157</v>
      </c>
      <c r="E209" s="54" t="s">
        <v>237</v>
      </c>
      <c r="F209" s="54" t="s">
        <v>578</v>
      </c>
      <c r="G209" s="54" t="s">
        <v>586</v>
      </c>
      <c r="H209" s="55">
        <v>13.5</v>
      </c>
      <c r="I209" s="55">
        <v>13.100000000000001</v>
      </c>
      <c r="J209" s="55">
        <v>12.9</v>
      </c>
      <c r="K209" s="54"/>
      <c r="L209" s="56" t="b">
        <v>0</v>
      </c>
      <c r="M209" s="56" t="b">
        <v>1</v>
      </c>
      <c r="N209" s="54">
        <v>1</v>
      </c>
      <c r="O209" s="54" t="s">
        <v>228</v>
      </c>
      <c r="P209" s="54">
        <v>100</v>
      </c>
      <c r="Q209" s="54">
        <v>12</v>
      </c>
      <c r="R209" s="54">
        <v>150</v>
      </c>
      <c r="S209" s="54" t="s">
        <v>579</v>
      </c>
      <c r="T209" s="54" t="s">
        <v>587</v>
      </c>
      <c r="U209" s="54" t="s">
        <v>588</v>
      </c>
      <c r="V209" s="54" t="s">
        <v>582</v>
      </c>
      <c r="W209" s="54" t="b">
        <v>0</v>
      </c>
      <c r="X209" s="54"/>
      <c r="Y209" s="57" t="s">
        <v>1922</v>
      </c>
      <c r="Z209" s="54" t="s">
        <v>579</v>
      </c>
      <c r="AA209" s="54"/>
      <c r="AB209" s="54" t="s">
        <v>583</v>
      </c>
      <c r="AC209" s="56" t="b">
        <v>1</v>
      </c>
      <c r="AD209" s="56" t="b">
        <v>0</v>
      </c>
      <c r="AE209" s="54" t="s">
        <v>302</v>
      </c>
      <c r="AF209" s="58">
        <v>46239</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c r="BC209" s="60"/>
      <c r="BD209" s="61"/>
      <c r="BE209" s="62" t="e">
        <v>#N/A</v>
      </c>
      <c r="BF209" s="35">
        <f t="shared" si="351"/>
        <v>4.0600000000000005</v>
      </c>
      <c r="BG209" s="35">
        <f t="shared" si="351"/>
        <v>6.0295000000000001E-2</v>
      </c>
      <c r="BH209" s="35" t="str">
        <f t="shared" si="340"/>
        <v>?</v>
      </c>
      <c r="BI209" s="110">
        <f t="shared" si="341"/>
        <v>0</v>
      </c>
      <c r="BJ209" s="83">
        <f>VLOOKUP($F209,REP_Info!$D$6:$H$250,5,FALSE)</f>
        <v>4.5250000000000004</v>
      </c>
      <c r="BK209" s="30" t="e">
        <f t="shared" si="342"/>
        <v>#N/A</v>
      </c>
      <c r="BL209" s="30" t="e">
        <f t="shared" si="342"/>
        <v>#N/A</v>
      </c>
      <c r="BM209" s="30" t="e">
        <f t="shared" si="342"/>
        <v>#N/A</v>
      </c>
      <c r="BN209" s="29" t="e">
        <f t="shared" si="342"/>
        <v>#N/A</v>
      </c>
      <c r="BO209" s="85" t="str">
        <f t="shared" si="2"/>
        <v>$$$</v>
      </c>
      <c r="BP209" s="88" t="str">
        <f t="shared" si="343"/>
        <v>$$$</v>
      </c>
      <c r="BQ209" s="88" t="str">
        <f t="shared" si="4"/>
        <v>$$$</v>
      </c>
      <c r="BR209" s="88" t="str">
        <f t="shared" si="5"/>
        <v>$$$</v>
      </c>
      <c r="BS209" s="29" t="e">
        <f t="shared" si="344"/>
        <v>#N/A</v>
      </c>
      <c r="BT209" s="29" t="e">
        <f t="shared" si="344"/>
        <v>#N/A</v>
      </c>
      <c r="BU209" s="29" t="e">
        <f t="shared" si="344"/>
        <v>#N/A</v>
      </c>
      <c r="BV209" s="29" t="e">
        <f t="shared" si="344"/>
        <v>#N/A</v>
      </c>
      <c r="BW209" s="29" t="e">
        <f t="shared" si="344"/>
        <v>#N/A</v>
      </c>
      <c r="BX209" s="29" t="e">
        <f t="shared" si="344"/>
        <v>#N/A</v>
      </c>
      <c r="BY209" s="29" t="e">
        <f t="shared" si="344"/>
        <v>#N/A</v>
      </c>
      <c r="BZ209" s="29" t="e">
        <f t="shared" si="344"/>
        <v>#N/A</v>
      </c>
      <c r="CA209" s="29" t="e">
        <f t="shared" si="344"/>
        <v>#N/A</v>
      </c>
      <c r="CB209" s="29" t="e">
        <f t="shared" si="344"/>
        <v>#N/A</v>
      </c>
      <c r="CC209" s="29" t="e">
        <f t="shared" si="344"/>
        <v>#N/A</v>
      </c>
      <c r="CD209" s="29" t="e">
        <f t="shared" si="344"/>
        <v>#N/A</v>
      </c>
      <c r="CE209" s="6" t="str">
        <f t="shared" si="352"/>
        <v/>
      </c>
      <c r="CF209" s="27" t="e">
        <f>IF(AND(CI209,NOT(AD209)),LOOKUP(CF$5,{0,750,1500},H209:J209),"")</f>
        <v>#N/A</v>
      </c>
      <c r="CG209" s="6" t="str">
        <f t="shared" si="353"/>
        <v/>
      </c>
      <c r="CH209" t="e">
        <f t="shared" si="345"/>
        <v>#N/A</v>
      </c>
      <c r="CI209" t="e">
        <f t="shared" si="346"/>
        <v>#N/A</v>
      </c>
      <c r="CJ209" s="6" t="e">
        <f t="shared" si="11"/>
        <v>#N/A</v>
      </c>
      <c r="CK209" s="6">
        <f t="shared" si="12"/>
        <v>1</v>
      </c>
      <c r="CL209" s="6">
        <f t="shared" si="26"/>
        <v>1</v>
      </c>
      <c r="CM209" s="6">
        <f t="shared" si="13"/>
        <v>1</v>
      </c>
      <c r="CN209" s="6">
        <f t="shared" si="14"/>
        <v>1</v>
      </c>
      <c r="CO209" s="6">
        <f t="shared" si="15"/>
        <v>1</v>
      </c>
      <c r="CP209" s="6">
        <f t="shared" si="16"/>
        <v>1</v>
      </c>
      <c r="CQ209" s="6">
        <f t="shared" si="347"/>
        <v>1</v>
      </c>
      <c r="CR209" s="81" t="str">
        <f t="shared" si="17"/>
        <v/>
      </c>
      <c r="CS209">
        <f t="shared" si="348"/>
        <v>0</v>
      </c>
      <c r="CT209">
        <f t="shared" si="19"/>
        <v>150</v>
      </c>
      <c r="CU209" t="str">
        <f t="shared" si="29"/>
        <v/>
      </c>
      <c r="CV209" s="81">
        <f t="shared" si="349"/>
        <v>150</v>
      </c>
      <c r="CW209" s="81">
        <f>(CV209/25)^1.5*(Calculator!$BU$4/10000)*CW$5</f>
        <v>37.949052970673385</v>
      </c>
      <c r="CX209" t="str">
        <f t="shared" si="350"/>
        <v>$150</v>
      </c>
    </row>
    <row r="210" spans="2:102" x14ac:dyDescent="0.25">
      <c r="B210" s="115" t="s">
        <v>233</v>
      </c>
      <c r="C210" s="13">
        <v>46254.637499999997</v>
      </c>
      <c r="D210">
        <v>35158</v>
      </c>
      <c r="E210" s="54" t="s">
        <v>235</v>
      </c>
      <c r="F210" s="54" t="s">
        <v>578</v>
      </c>
      <c r="G210" s="54" t="s">
        <v>586</v>
      </c>
      <c r="H210" s="55">
        <v>12.6</v>
      </c>
      <c r="I210" s="55">
        <v>12.1</v>
      </c>
      <c r="J210" s="55">
        <v>11.799999999999999</v>
      </c>
      <c r="K210" s="54"/>
      <c r="L210" s="56" t="b">
        <v>0</v>
      </c>
      <c r="M210" s="56" t="b">
        <v>1</v>
      </c>
      <c r="N210" s="54">
        <v>1</v>
      </c>
      <c r="O210" s="54" t="s">
        <v>228</v>
      </c>
      <c r="P210" s="54">
        <v>100</v>
      </c>
      <c r="Q210" s="54">
        <v>12</v>
      </c>
      <c r="R210" s="54">
        <v>150</v>
      </c>
      <c r="S210" s="54" t="s">
        <v>579</v>
      </c>
      <c r="T210" s="54" t="s">
        <v>587</v>
      </c>
      <c r="U210" s="54" t="s">
        <v>588</v>
      </c>
      <c r="V210" s="54" t="s">
        <v>582</v>
      </c>
      <c r="W210" s="54" t="b">
        <v>0</v>
      </c>
      <c r="X210" s="54"/>
      <c r="Y210" s="57" t="s">
        <v>2281</v>
      </c>
      <c r="Z210" s="54" t="s">
        <v>579</v>
      </c>
      <c r="AA210" s="54"/>
      <c r="AB210" s="54" t="s">
        <v>583</v>
      </c>
      <c r="AC210" s="56" t="b">
        <v>1</v>
      </c>
      <c r="AD210" s="56" t="b">
        <v>0</v>
      </c>
      <c r="AE210" s="54" t="s">
        <v>302</v>
      </c>
      <c r="AF210" s="58">
        <v>46252</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c r="BC210" s="60"/>
      <c r="BD210" s="61"/>
      <c r="BE210" s="62" t="e">
        <v>#N/A</v>
      </c>
      <c r="BF210" s="35">
        <f t="shared" si="351"/>
        <v>4.9000000000000004</v>
      </c>
      <c r="BG210" s="35">
        <f t="shared" si="351"/>
        <v>4.9811000000000001E-2</v>
      </c>
      <c r="BH210" s="35" t="str">
        <f t="shared" si="340"/>
        <v>?</v>
      </c>
      <c r="BI210" s="110">
        <f t="shared" si="341"/>
        <v>0</v>
      </c>
      <c r="BJ210" s="83">
        <f>VLOOKUP($F210,REP_Info!$D$6:$H$250,5,FALSE)</f>
        <v>4.5250000000000004</v>
      </c>
      <c r="BK210" s="30" t="e">
        <f t="shared" si="342"/>
        <v>#N/A</v>
      </c>
      <c r="BL210" s="30" t="e">
        <f t="shared" si="342"/>
        <v>#N/A</v>
      </c>
      <c r="BM210" s="30" t="e">
        <f t="shared" si="342"/>
        <v>#N/A</v>
      </c>
      <c r="BN210" s="29" t="e">
        <f t="shared" si="342"/>
        <v>#N/A</v>
      </c>
      <c r="BO210" s="85" t="str">
        <f t="shared" si="2"/>
        <v>$$$</v>
      </c>
      <c r="BP210" s="88" t="str">
        <f t="shared" si="343"/>
        <v>$$$</v>
      </c>
      <c r="BQ210" s="88" t="str">
        <f t="shared" si="4"/>
        <v>$$$</v>
      </c>
      <c r="BR210" s="88" t="str">
        <f t="shared" si="5"/>
        <v>$$$</v>
      </c>
      <c r="BS210" s="29" t="e">
        <f t="shared" si="344"/>
        <v>#N/A</v>
      </c>
      <c r="BT210" s="29" t="e">
        <f t="shared" si="344"/>
        <v>#N/A</v>
      </c>
      <c r="BU210" s="29" t="e">
        <f t="shared" si="344"/>
        <v>#N/A</v>
      </c>
      <c r="BV210" s="29" t="e">
        <f t="shared" si="344"/>
        <v>#N/A</v>
      </c>
      <c r="BW210" s="29" t="e">
        <f t="shared" si="344"/>
        <v>#N/A</v>
      </c>
      <c r="BX210" s="29" t="e">
        <f t="shared" si="344"/>
        <v>#N/A</v>
      </c>
      <c r="BY210" s="29" t="e">
        <f t="shared" si="344"/>
        <v>#N/A</v>
      </c>
      <c r="BZ210" s="29" t="e">
        <f t="shared" si="344"/>
        <v>#N/A</v>
      </c>
      <c r="CA210" s="29" t="e">
        <f t="shared" si="344"/>
        <v>#N/A</v>
      </c>
      <c r="CB210" s="29" t="e">
        <f t="shared" si="344"/>
        <v>#N/A</v>
      </c>
      <c r="CC210" s="29" t="e">
        <f t="shared" si="344"/>
        <v>#N/A</v>
      </c>
      <c r="CD210" s="29" t="e">
        <f t="shared" si="344"/>
        <v>#N/A</v>
      </c>
      <c r="CE210" s="6" t="str">
        <f t="shared" si="352"/>
        <v/>
      </c>
      <c r="CF210" s="27" t="e">
        <f>IF(AND(CI210,NOT(AD210)),LOOKUP(CF$5,{0,750,1500},H210:J210),"")</f>
        <v>#N/A</v>
      </c>
      <c r="CG210" s="6" t="str">
        <f t="shared" si="353"/>
        <v/>
      </c>
      <c r="CH210" t="e">
        <f t="shared" si="345"/>
        <v>#N/A</v>
      </c>
      <c r="CI210" t="e">
        <f t="shared" si="346"/>
        <v>#N/A</v>
      </c>
      <c r="CJ210" s="6" t="e">
        <f t="shared" si="11"/>
        <v>#N/A</v>
      </c>
      <c r="CK210" s="6">
        <f t="shared" si="12"/>
        <v>1</v>
      </c>
      <c r="CL210" s="6">
        <f t="shared" si="26"/>
        <v>1</v>
      </c>
      <c r="CM210" s="6">
        <f t="shared" si="13"/>
        <v>1</v>
      </c>
      <c r="CN210" s="6">
        <f t="shared" si="14"/>
        <v>1</v>
      </c>
      <c r="CO210" s="6">
        <f t="shared" si="15"/>
        <v>1</v>
      </c>
      <c r="CP210" s="6">
        <f t="shared" si="16"/>
        <v>1</v>
      </c>
      <c r="CQ210" s="6">
        <f t="shared" si="347"/>
        <v>1</v>
      </c>
      <c r="CR210" s="81" t="str">
        <f t="shared" si="17"/>
        <v/>
      </c>
      <c r="CS210">
        <f t="shared" si="348"/>
        <v>0</v>
      </c>
      <c r="CT210">
        <f t="shared" si="19"/>
        <v>150</v>
      </c>
      <c r="CU210" t="str">
        <f t="shared" si="29"/>
        <v/>
      </c>
      <c r="CV210" s="81">
        <f t="shared" si="349"/>
        <v>150</v>
      </c>
      <c r="CW210" s="81">
        <f>(CV210/25)^1.5*(Calculator!$BU$4/10000)*CW$5</f>
        <v>37.949052970673385</v>
      </c>
      <c r="CX210" t="str">
        <f t="shared" si="350"/>
        <v>$150</v>
      </c>
    </row>
    <row r="211" spans="2:102" x14ac:dyDescent="0.25">
      <c r="B211" s="115" t="s">
        <v>233</v>
      </c>
      <c r="C211" s="13">
        <v>46254.637499999997</v>
      </c>
      <c r="D211">
        <v>35677</v>
      </c>
      <c r="E211" s="54" t="s">
        <v>235</v>
      </c>
      <c r="F211" s="54" t="s">
        <v>578</v>
      </c>
      <c r="G211" s="54" t="s">
        <v>1923</v>
      </c>
      <c r="H211" s="55">
        <v>10.4</v>
      </c>
      <c r="I211" s="55">
        <v>10</v>
      </c>
      <c r="J211" s="55">
        <v>9.7000000000000011</v>
      </c>
      <c r="K211" s="54"/>
      <c r="L211" s="56" t="b">
        <v>0</v>
      </c>
      <c r="M211" s="56" t="b">
        <v>0</v>
      </c>
      <c r="N211" s="54">
        <v>1</v>
      </c>
      <c r="O211" s="54" t="s">
        <v>228</v>
      </c>
      <c r="P211" s="54">
        <v>100</v>
      </c>
      <c r="Q211" s="54">
        <v>10</v>
      </c>
      <c r="R211" s="54">
        <v>150</v>
      </c>
      <c r="S211" s="54" t="s">
        <v>579</v>
      </c>
      <c r="T211" s="54" t="s">
        <v>1924</v>
      </c>
      <c r="U211" s="54" t="s">
        <v>581</v>
      </c>
      <c r="V211" s="54" t="s">
        <v>582</v>
      </c>
      <c r="W211" s="54" t="b">
        <v>0</v>
      </c>
      <c r="X211" s="54"/>
      <c r="Y211" s="57" t="s">
        <v>2282</v>
      </c>
      <c r="Z211" s="54" t="s">
        <v>579</v>
      </c>
      <c r="AA211" s="54"/>
      <c r="AB211" s="54" t="s">
        <v>583</v>
      </c>
      <c r="AC211" s="56" t="b">
        <v>1</v>
      </c>
      <c r="AD211" s="56" t="b">
        <v>0</v>
      </c>
      <c r="AE211" s="54" t="s">
        <v>302</v>
      </c>
      <c r="AF211" s="58">
        <v>46252</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4.4807E-2</v>
      </c>
      <c r="BC211" s="60">
        <v>4.9000000000000004</v>
      </c>
      <c r="BD211" s="61">
        <v>4.9811000000000001E-2</v>
      </c>
      <c r="BE211" s="62" t="s">
        <v>293</v>
      </c>
      <c r="BF211" s="35">
        <f t="shared" si="351"/>
        <v>4.9000000000000004</v>
      </c>
      <c r="BG211" s="35">
        <f t="shared" si="351"/>
        <v>4.9811000000000001E-2</v>
      </c>
      <c r="BH211" s="35" t="str">
        <f t="shared" si="340"/>
        <v>Low</v>
      </c>
      <c r="BI211" s="110">
        <f t="shared" si="341"/>
        <v>0</v>
      </c>
      <c r="BJ211" s="83">
        <f>VLOOKUP($F211,REP_Info!$D$6:$H$250,5,FALSE)</f>
        <v>4.5250000000000004</v>
      </c>
      <c r="BK211" s="30">
        <f t="shared" si="342"/>
        <v>10.441800000000001</v>
      </c>
      <c r="BL211" s="30">
        <f t="shared" si="342"/>
        <v>9.9517999999999986</v>
      </c>
      <c r="BM211" s="30">
        <f t="shared" si="342"/>
        <v>9.7068000000000012</v>
      </c>
      <c r="BN211" s="29">
        <f t="shared" si="342"/>
        <v>9.6251333333333342</v>
      </c>
      <c r="BO211" s="85" t="str">
        <f t="shared" si="2"/>
        <v>$$$</v>
      </c>
      <c r="BP211" s="88" t="str">
        <f t="shared" si="343"/>
        <v>$$$</v>
      </c>
      <c r="BQ211" s="88" t="str">
        <f t="shared" si="4"/>
        <v>$$$</v>
      </c>
      <c r="BR211" s="88" t="str">
        <f t="shared" si="5"/>
        <v>$$$</v>
      </c>
      <c r="BS211" s="29" t="e">
        <f t="shared" si="344"/>
        <v>#N/A</v>
      </c>
      <c r="BT211" s="29" t="e">
        <f t="shared" si="344"/>
        <v>#N/A</v>
      </c>
      <c r="BU211" s="29" t="e">
        <f t="shared" si="344"/>
        <v>#N/A</v>
      </c>
      <c r="BV211" s="29" t="e">
        <f t="shared" si="344"/>
        <v>#N/A</v>
      </c>
      <c r="BW211" s="29" t="e">
        <f t="shared" si="344"/>
        <v>#N/A</v>
      </c>
      <c r="BX211" s="29" t="e">
        <f t="shared" si="344"/>
        <v>#N/A</v>
      </c>
      <c r="BY211" s="29" t="e">
        <f t="shared" si="344"/>
        <v>#N/A</v>
      </c>
      <c r="BZ211" s="29" t="e">
        <f t="shared" si="344"/>
        <v>#N/A</v>
      </c>
      <c r="CA211" s="29" t="e">
        <f t="shared" si="344"/>
        <v>#N/A</v>
      </c>
      <c r="CB211" s="29" t="e">
        <f t="shared" si="344"/>
        <v>#N/A</v>
      </c>
      <c r="CC211" s="29" t="e">
        <f t="shared" si="344"/>
        <v>#N/A</v>
      </c>
      <c r="CD211" s="29" t="e">
        <f t="shared" si="344"/>
        <v>#N/A</v>
      </c>
      <c r="CE211" s="6" t="str">
        <f t="shared" si="352"/>
        <v/>
      </c>
      <c r="CF211" s="27" t="e">
        <f>IF(AND(CI211,NOT(AD211)),LOOKUP(CF$5,{0,750,1500},H211:J211),"")</f>
        <v>#N/A</v>
      </c>
      <c r="CG211" s="6" t="str">
        <f t="shared" si="353"/>
        <v/>
      </c>
      <c r="CH211" t="e">
        <f t="shared" si="345"/>
        <v>#N/A</v>
      </c>
      <c r="CI211" t="e">
        <f t="shared" si="346"/>
        <v>#N/A</v>
      </c>
      <c r="CJ211" s="6" t="e">
        <f t="shared" si="11"/>
        <v>#N/A</v>
      </c>
      <c r="CK211" s="6">
        <f t="shared" si="12"/>
        <v>1</v>
      </c>
      <c r="CL211" s="6">
        <f t="shared" si="26"/>
        <v>1</v>
      </c>
      <c r="CM211" s="6">
        <f t="shared" si="13"/>
        <v>1</v>
      </c>
      <c r="CN211" s="6">
        <f t="shared" si="14"/>
        <v>0</v>
      </c>
      <c r="CO211" s="6">
        <f t="shared" si="15"/>
        <v>1</v>
      </c>
      <c r="CP211" s="6">
        <f t="shared" si="16"/>
        <v>1</v>
      </c>
      <c r="CQ211" s="6">
        <f t="shared" si="347"/>
        <v>1</v>
      </c>
      <c r="CR211" s="81" t="str">
        <f t="shared" si="17"/>
        <v/>
      </c>
      <c r="CS211">
        <f t="shared" si="348"/>
        <v>3.5999999999999992</v>
      </c>
      <c r="CT211">
        <f t="shared" si="19"/>
        <v>150</v>
      </c>
      <c r="CU211" t="str">
        <f t="shared" si="29"/>
        <v/>
      </c>
      <c r="CV211" s="81">
        <f t="shared" si="349"/>
        <v>150</v>
      </c>
      <c r="CW211" s="81">
        <f>(CV211/25)^1.5*(Calculator!$BU$4/10000)*CW$5</f>
        <v>37.949052970673385</v>
      </c>
      <c r="CX211" t="str">
        <f t="shared" si="350"/>
        <v>$150</v>
      </c>
    </row>
    <row r="212" spans="2:102" x14ac:dyDescent="0.25">
      <c r="B212" s="115" t="s">
        <v>233</v>
      </c>
      <c r="C212" s="13">
        <v>46242.178472222222</v>
      </c>
      <c r="D212">
        <v>35683</v>
      </c>
      <c r="E212" s="54" t="s">
        <v>237</v>
      </c>
      <c r="F212" s="54" t="s">
        <v>578</v>
      </c>
      <c r="G212" s="54" t="s">
        <v>1925</v>
      </c>
      <c r="H212" s="55">
        <v>11.4</v>
      </c>
      <c r="I212" s="55">
        <v>11</v>
      </c>
      <c r="J212" s="55">
        <v>10.8</v>
      </c>
      <c r="K212" s="54"/>
      <c r="L212" s="56" t="b">
        <v>0</v>
      </c>
      <c r="M212" s="56" t="b">
        <v>0</v>
      </c>
      <c r="N212" s="54">
        <v>1</v>
      </c>
      <c r="O212" s="54" t="s">
        <v>228</v>
      </c>
      <c r="P212" s="54">
        <v>100</v>
      </c>
      <c r="Q212" s="54">
        <v>10</v>
      </c>
      <c r="R212" s="54">
        <v>150</v>
      </c>
      <c r="S212" s="54" t="s">
        <v>579</v>
      </c>
      <c r="T212" s="54" t="s">
        <v>1924</v>
      </c>
      <c r="U212" s="54" t="s">
        <v>1885</v>
      </c>
      <c r="V212" s="54" t="s">
        <v>582</v>
      </c>
      <c r="W212" s="54" t="b">
        <v>0</v>
      </c>
      <c r="X212" s="54"/>
      <c r="Y212" s="57" t="s">
        <v>1926</v>
      </c>
      <c r="Z212" s="54" t="s">
        <v>579</v>
      </c>
      <c r="AA212" s="54"/>
      <c r="AB212" s="54" t="s">
        <v>583</v>
      </c>
      <c r="AC212" s="56" t="b">
        <v>1</v>
      </c>
      <c r="AD212" s="56" t="b">
        <v>0</v>
      </c>
      <c r="AE212" s="54" t="s">
        <v>302</v>
      </c>
      <c r="AF212" s="58">
        <v>46241</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4.5952E-2</v>
      </c>
      <c r="BC212" s="60">
        <v>4.0599999999999996</v>
      </c>
      <c r="BD212" s="61">
        <v>6.0295000000000001E-2</v>
      </c>
      <c r="BE212" s="62" t="s">
        <v>293</v>
      </c>
      <c r="BF212" s="35">
        <f t="shared" si="351"/>
        <v>4.0600000000000005</v>
      </c>
      <c r="BG212" s="35">
        <f t="shared" si="351"/>
        <v>6.0295000000000001E-2</v>
      </c>
      <c r="BH212" s="35" t="str">
        <f t="shared" si="340"/>
        <v>Low</v>
      </c>
      <c r="BI212" s="110">
        <f t="shared" si="341"/>
        <v>0</v>
      </c>
      <c r="BJ212" s="83">
        <f>VLOOKUP($F212,REP_Info!$D$6:$H$250,5,FALSE)</f>
        <v>4.5250000000000004</v>
      </c>
      <c r="BK212" s="30">
        <f t="shared" si="342"/>
        <v>11.4367</v>
      </c>
      <c r="BL212" s="30">
        <f t="shared" si="342"/>
        <v>11.030700000000001</v>
      </c>
      <c r="BM212" s="30">
        <f t="shared" si="342"/>
        <v>10.8277</v>
      </c>
      <c r="BN212" s="29">
        <f t="shared" si="342"/>
        <v>10.760033333333332</v>
      </c>
      <c r="BO212" s="85" t="str">
        <f t="shared" si="2"/>
        <v>$$$</v>
      </c>
      <c r="BP212" s="88" t="str">
        <f t="shared" si="343"/>
        <v>$$$</v>
      </c>
      <c r="BQ212" s="88" t="str">
        <f t="shared" si="4"/>
        <v>$$$</v>
      </c>
      <c r="BR212" s="88" t="str">
        <f t="shared" si="5"/>
        <v>$$$</v>
      </c>
      <c r="BS212" s="29" t="e">
        <f t="shared" si="344"/>
        <v>#N/A</v>
      </c>
      <c r="BT212" s="29" t="e">
        <f t="shared" si="344"/>
        <v>#N/A</v>
      </c>
      <c r="BU212" s="29" t="e">
        <f t="shared" si="344"/>
        <v>#N/A</v>
      </c>
      <c r="BV212" s="29" t="e">
        <f t="shared" si="344"/>
        <v>#N/A</v>
      </c>
      <c r="BW212" s="29" t="e">
        <f t="shared" si="344"/>
        <v>#N/A</v>
      </c>
      <c r="BX212" s="29" t="e">
        <f t="shared" si="344"/>
        <v>#N/A</v>
      </c>
      <c r="BY212" s="29" t="e">
        <f t="shared" si="344"/>
        <v>#N/A</v>
      </c>
      <c r="BZ212" s="29" t="e">
        <f t="shared" si="344"/>
        <v>#N/A</v>
      </c>
      <c r="CA212" s="29" t="e">
        <f t="shared" si="344"/>
        <v>#N/A</v>
      </c>
      <c r="CB212" s="29" t="e">
        <f t="shared" si="344"/>
        <v>#N/A</v>
      </c>
      <c r="CC212" s="29" t="e">
        <f t="shared" si="344"/>
        <v>#N/A</v>
      </c>
      <c r="CD212" s="29" t="e">
        <f t="shared" si="344"/>
        <v>#N/A</v>
      </c>
      <c r="CE212" s="6" t="str">
        <f t="shared" si="352"/>
        <v/>
      </c>
      <c r="CF212" s="27" t="e">
        <f>IF(AND(CI212,NOT(AD212)),LOOKUP(CF$5,{0,750,1500},H212:J212),"")</f>
        <v>#N/A</v>
      </c>
      <c r="CG212" s="6" t="str">
        <f t="shared" si="353"/>
        <v/>
      </c>
      <c r="CH212" t="e">
        <f t="shared" si="345"/>
        <v>#N/A</v>
      </c>
      <c r="CI212" t="e">
        <f t="shared" si="346"/>
        <v>#N/A</v>
      </c>
      <c r="CJ212" s="6" t="e">
        <f t="shared" si="11"/>
        <v>#N/A</v>
      </c>
      <c r="CK212" s="6">
        <f t="shared" si="12"/>
        <v>1</v>
      </c>
      <c r="CL212" s="6">
        <f t="shared" si="26"/>
        <v>1</v>
      </c>
      <c r="CM212" s="6">
        <f t="shared" si="13"/>
        <v>1</v>
      </c>
      <c r="CN212" s="6">
        <f t="shared" si="14"/>
        <v>0</v>
      </c>
      <c r="CO212" s="6">
        <f t="shared" si="15"/>
        <v>1</v>
      </c>
      <c r="CP212" s="6">
        <f t="shared" si="16"/>
        <v>1</v>
      </c>
      <c r="CQ212" s="6">
        <f t="shared" si="347"/>
        <v>1</v>
      </c>
      <c r="CR212" s="81" t="str">
        <f t="shared" si="17"/>
        <v/>
      </c>
      <c r="CS212">
        <f t="shared" si="348"/>
        <v>3.5999999999999992</v>
      </c>
      <c r="CT212">
        <f t="shared" si="19"/>
        <v>150</v>
      </c>
      <c r="CU212" t="str">
        <f t="shared" si="29"/>
        <v/>
      </c>
      <c r="CV212" s="81">
        <f t="shared" si="349"/>
        <v>150</v>
      </c>
      <c r="CW212" s="81">
        <f>(CV212/25)^1.5*(Calculator!$BU$4/10000)*CW$5</f>
        <v>37.949052970673385</v>
      </c>
      <c r="CX212" t="str">
        <f t="shared" si="350"/>
        <v>$150</v>
      </c>
    </row>
    <row r="213" spans="2:102" x14ac:dyDescent="0.25">
      <c r="B213" s="115" t="s">
        <v>233</v>
      </c>
      <c r="C213" s="13">
        <v>46254.637499999997</v>
      </c>
      <c r="D213">
        <v>37239</v>
      </c>
      <c r="E213" s="54" t="s">
        <v>235</v>
      </c>
      <c r="F213" s="54" t="s">
        <v>578</v>
      </c>
      <c r="G213" s="54" t="s">
        <v>1927</v>
      </c>
      <c r="H213" s="55">
        <v>10.5</v>
      </c>
      <c r="I213" s="55">
        <v>10</v>
      </c>
      <c r="J213" s="55">
        <v>9.7000000000000011</v>
      </c>
      <c r="K213" s="54"/>
      <c r="L213" s="56" t="b">
        <v>0</v>
      </c>
      <c r="M213" s="56" t="b">
        <v>0</v>
      </c>
      <c r="N213" s="54">
        <v>1</v>
      </c>
      <c r="O213" s="54" t="s">
        <v>228</v>
      </c>
      <c r="P213" s="54">
        <v>100</v>
      </c>
      <c r="Q213" s="54">
        <v>5</v>
      </c>
      <c r="R213" s="54">
        <v>150</v>
      </c>
      <c r="S213" s="54" t="s">
        <v>589</v>
      </c>
      <c r="T213" s="54" t="s">
        <v>1928</v>
      </c>
      <c r="U213" s="54" t="s">
        <v>582</v>
      </c>
      <c r="V213" s="54" t="s">
        <v>582</v>
      </c>
      <c r="W213" s="54" t="b">
        <v>0</v>
      </c>
      <c r="X213" s="54"/>
      <c r="Y213" s="57" t="s">
        <v>2283</v>
      </c>
      <c r="Z213" s="54" t="s">
        <v>589</v>
      </c>
      <c r="AA213" s="54"/>
      <c r="AB213" s="54" t="s">
        <v>583</v>
      </c>
      <c r="AC213" s="56" t="b">
        <v>1</v>
      </c>
      <c r="AD213" s="56" t="b">
        <v>0</v>
      </c>
      <c r="AE213" s="54" t="s">
        <v>302</v>
      </c>
      <c r="AF213" s="58">
        <v>46252</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4.4974E-2</v>
      </c>
      <c r="BC213" s="60">
        <v>4.9000000000000004</v>
      </c>
      <c r="BD213" s="61">
        <v>4.9811000000000001E-2</v>
      </c>
      <c r="BE213" s="62" t="s">
        <v>293</v>
      </c>
      <c r="BF213" s="35">
        <f t="shared" si="351"/>
        <v>4.9000000000000004</v>
      </c>
      <c r="BG213" s="35">
        <f t="shared" si="351"/>
        <v>4.9811000000000001E-2</v>
      </c>
      <c r="BH213" s="35" t="str">
        <f t="shared" si="340"/>
        <v>Low</v>
      </c>
      <c r="BI213" s="110">
        <f t="shared" si="341"/>
        <v>0</v>
      </c>
      <c r="BJ213" s="83">
        <f>VLOOKUP($F213,REP_Info!$D$6:$H$250,5,FALSE)</f>
        <v>4.5250000000000004</v>
      </c>
      <c r="BK213" s="30">
        <f t="shared" si="342"/>
        <v>10.458500000000001</v>
      </c>
      <c r="BL213" s="30">
        <f t="shared" si="342"/>
        <v>9.9685000000000006</v>
      </c>
      <c r="BM213" s="30">
        <f t="shared" si="342"/>
        <v>9.7234999999999996</v>
      </c>
      <c r="BN213" s="29">
        <f t="shared" si="342"/>
        <v>9.6418333333333326</v>
      </c>
      <c r="BO213" s="85" t="str">
        <f t="shared" si="2"/>
        <v>$$$</v>
      </c>
      <c r="BP213" s="88" t="str">
        <f t="shared" si="343"/>
        <v>$$$</v>
      </c>
      <c r="BQ213" s="88" t="str">
        <f t="shared" si="4"/>
        <v>$$$</v>
      </c>
      <c r="BR213" s="88" t="str">
        <f t="shared" si="5"/>
        <v>$$$</v>
      </c>
      <c r="BS213" s="29" t="e">
        <f t="shared" si="344"/>
        <v>#N/A</v>
      </c>
      <c r="BT213" s="29" t="e">
        <f t="shared" si="344"/>
        <v>#N/A</v>
      </c>
      <c r="BU213" s="29" t="e">
        <f t="shared" si="344"/>
        <v>#N/A</v>
      </c>
      <c r="BV213" s="29" t="e">
        <f t="shared" si="344"/>
        <v>#N/A</v>
      </c>
      <c r="BW213" s="29" t="e">
        <f t="shared" si="344"/>
        <v>#N/A</v>
      </c>
      <c r="BX213" s="29" t="e">
        <f t="shared" si="344"/>
        <v>#N/A</v>
      </c>
      <c r="BY213" s="29" t="e">
        <f t="shared" si="344"/>
        <v>#N/A</v>
      </c>
      <c r="BZ213" s="29" t="e">
        <f t="shared" si="344"/>
        <v>#N/A</v>
      </c>
      <c r="CA213" s="29" t="e">
        <f t="shared" si="344"/>
        <v>#N/A</v>
      </c>
      <c r="CB213" s="29" t="e">
        <f t="shared" si="344"/>
        <v>#N/A</v>
      </c>
      <c r="CC213" s="29" t="e">
        <f t="shared" si="344"/>
        <v>#N/A</v>
      </c>
      <c r="CD213" s="29" t="e">
        <f t="shared" si="344"/>
        <v>#N/A</v>
      </c>
      <c r="CE213" s="6" t="str">
        <f t="shared" si="352"/>
        <v/>
      </c>
      <c r="CF213" s="27" t="e">
        <f>IF(AND(CI213,NOT(AD213)),LOOKUP(CF$5,{0,750,1500},H213:J213),"")</f>
        <v>#N/A</v>
      </c>
      <c r="CG213" s="6" t="str">
        <f t="shared" si="353"/>
        <v/>
      </c>
      <c r="CH213" t="e">
        <f t="shared" si="345"/>
        <v>#N/A</v>
      </c>
      <c r="CI213" t="e">
        <f t="shared" si="346"/>
        <v>#N/A</v>
      </c>
      <c r="CJ213" s="6" t="e">
        <f t="shared" si="11"/>
        <v>#N/A</v>
      </c>
      <c r="CK213" s="6">
        <f t="shared" si="12"/>
        <v>1</v>
      </c>
      <c r="CL213" s="6">
        <f t="shared" ref="CL213:CL216" si="354">IFERROR(--OR(ISBLANK(CL$5),$BJ213="",AND(ISNUMBER($BJ213),$BJ213&lt;=CL$5)),1)</f>
        <v>1</v>
      </c>
      <c r="CM213" s="6">
        <f t="shared" si="13"/>
        <v>1</v>
      </c>
      <c r="CN213" s="6">
        <f t="shared" si="14"/>
        <v>0</v>
      </c>
      <c r="CO213" s="6">
        <f t="shared" si="15"/>
        <v>1</v>
      </c>
      <c r="CP213" s="6">
        <f t="shared" si="16"/>
        <v>1</v>
      </c>
      <c r="CQ213" s="6">
        <f t="shared" si="347"/>
        <v>1</v>
      </c>
      <c r="CR213" s="81" t="str">
        <f t="shared" si="17"/>
        <v/>
      </c>
      <c r="CS213">
        <f t="shared" si="348"/>
        <v>25.2</v>
      </c>
      <c r="CT213">
        <f t="shared" si="19"/>
        <v>150</v>
      </c>
      <c r="CU213" t="str">
        <f t="shared" ref="CU213:CU216" si="355">IF(AND(ISERR(FIND("remain",$R213)),ISERR(FIND("left",$R213))),"","r")&amp;IF(ISERR(FIND("mon",$R213)),"","m")</f>
        <v/>
      </c>
      <c r="CV213" s="81">
        <f t="shared" si="349"/>
        <v>150</v>
      </c>
      <c r="CW213" s="81">
        <f>(CV213/25)^1.5*(Calculator!$BU$4/10000)*CW$5</f>
        <v>37.949052970673385</v>
      </c>
      <c r="CX213" t="str">
        <f t="shared" si="350"/>
        <v>$150</v>
      </c>
    </row>
    <row r="214" spans="2:102" x14ac:dyDescent="0.25">
      <c r="B214" s="115" t="s">
        <v>233</v>
      </c>
      <c r="C214" s="13">
        <v>46242.178472222222</v>
      </c>
      <c r="D214">
        <v>37292</v>
      </c>
      <c r="E214" s="54" t="s">
        <v>237</v>
      </c>
      <c r="F214" s="54" t="s">
        <v>578</v>
      </c>
      <c r="G214" s="54" t="s">
        <v>1927</v>
      </c>
      <c r="H214" s="55">
        <v>11.4</v>
      </c>
      <c r="I214" s="55">
        <v>11</v>
      </c>
      <c r="J214" s="55">
        <v>10.8</v>
      </c>
      <c r="K214" s="54"/>
      <c r="L214" s="56" t="b">
        <v>0</v>
      </c>
      <c r="M214" s="56" t="b">
        <v>0</v>
      </c>
      <c r="N214" s="54">
        <v>1</v>
      </c>
      <c r="O214" s="54" t="s">
        <v>228</v>
      </c>
      <c r="P214" s="54">
        <v>100</v>
      </c>
      <c r="Q214" s="54">
        <v>5</v>
      </c>
      <c r="R214" s="54">
        <v>150</v>
      </c>
      <c r="S214" s="54" t="s">
        <v>589</v>
      </c>
      <c r="T214" s="54" t="s">
        <v>1928</v>
      </c>
      <c r="U214" s="54" t="s">
        <v>582</v>
      </c>
      <c r="V214" s="54" t="s">
        <v>582</v>
      </c>
      <c r="W214" s="54" t="b">
        <v>0</v>
      </c>
      <c r="X214" s="54"/>
      <c r="Y214" s="57" t="s">
        <v>1929</v>
      </c>
      <c r="Z214" s="54" t="s">
        <v>589</v>
      </c>
      <c r="AA214" s="54"/>
      <c r="AB214" s="54" t="s">
        <v>583</v>
      </c>
      <c r="AC214" s="56" t="b">
        <v>1</v>
      </c>
      <c r="AD214" s="56" t="b">
        <v>0</v>
      </c>
      <c r="AE214" s="54" t="s">
        <v>302</v>
      </c>
      <c r="AF214" s="58">
        <v>46241</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4.5783999999999998E-2</v>
      </c>
      <c r="BC214" s="60">
        <v>4.0599999999999996</v>
      </c>
      <c r="BD214" s="61">
        <v>6.0295000000000001E-2</v>
      </c>
      <c r="BE214" s="62" t="s">
        <v>293</v>
      </c>
      <c r="BF214" s="35">
        <f t="shared" si="351"/>
        <v>4.0600000000000005</v>
      </c>
      <c r="BG214" s="35">
        <f t="shared" si="351"/>
        <v>6.0295000000000001E-2</v>
      </c>
      <c r="BH214" s="35" t="str">
        <f t="shared" si="340"/>
        <v>Low</v>
      </c>
      <c r="BI214" s="110">
        <f t="shared" si="341"/>
        <v>0</v>
      </c>
      <c r="BJ214" s="83">
        <f>VLOOKUP($F214,REP_Info!$D$6:$H$250,5,FALSE)</f>
        <v>4.5250000000000004</v>
      </c>
      <c r="BK214" s="30">
        <f t="shared" si="342"/>
        <v>11.4199</v>
      </c>
      <c r="BL214" s="30">
        <f t="shared" si="342"/>
        <v>11.013900000000001</v>
      </c>
      <c r="BM214" s="30">
        <f t="shared" si="342"/>
        <v>10.810900000000002</v>
      </c>
      <c r="BN214" s="29">
        <f t="shared" si="342"/>
        <v>10.743233333333334</v>
      </c>
      <c r="BO214" s="85" t="str">
        <f t="shared" si="2"/>
        <v>$$$</v>
      </c>
      <c r="BP214" s="88" t="str">
        <f t="shared" si="343"/>
        <v>$$$</v>
      </c>
      <c r="BQ214" s="88" t="str">
        <f t="shared" si="4"/>
        <v>$$$</v>
      </c>
      <c r="BR214" s="88" t="str">
        <f t="shared" si="5"/>
        <v>$$$</v>
      </c>
      <c r="BS214" s="29" t="e">
        <f t="shared" si="344"/>
        <v>#N/A</v>
      </c>
      <c r="BT214" s="29" t="e">
        <f t="shared" si="344"/>
        <v>#N/A</v>
      </c>
      <c r="BU214" s="29" t="e">
        <f t="shared" si="344"/>
        <v>#N/A</v>
      </c>
      <c r="BV214" s="29" t="e">
        <f t="shared" si="344"/>
        <v>#N/A</v>
      </c>
      <c r="BW214" s="29" t="e">
        <f t="shared" si="344"/>
        <v>#N/A</v>
      </c>
      <c r="BX214" s="29" t="e">
        <f t="shared" si="344"/>
        <v>#N/A</v>
      </c>
      <c r="BY214" s="29" t="e">
        <f t="shared" si="344"/>
        <v>#N/A</v>
      </c>
      <c r="BZ214" s="29" t="e">
        <f t="shared" si="344"/>
        <v>#N/A</v>
      </c>
      <c r="CA214" s="29" t="e">
        <f t="shared" si="344"/>
        <v>#N/A</v>
      </c>
      <c r="CB214" s="29" t="e">
        <f t="shared" si="344"/>
        <v>#N/A</v>
      </c>
      <c r="CC214" s="29" t="e">
        <f t="shared" si="344"/>
        <v>#N/A</v>
      </c>
      <c r="CD214" s="29" t="e">
        <f t="shared" si="344"/>
        <v>#N/A</v>
      </c>
      <c r="CE214" s="6" t="str">
        <f t="shared" si="352"/>
        <v/>
      </c>
      <c r="CF214" s="27" t="e">
        <f>IF(AND(CI214,NOT(AD214)),LOOKUP(CF$5,{0,750,1500},H214:J214),"")</f>
        <v>#N/A</v>
      </c>
      <c r="CG214" s="6" t="str">
        <f t="shared" si="353"/>
        <v/>
      </c>
      <c r="CH214" t="e">
        <f t="shared" si="345"/>
        <v>#N/A</v>
      </c>
      <c r="CI214" t="e">
        <f t="shared" si="346"/>
        <v>#N/A</v>
      </c>
      <c r="CJ214" s="6" t="e">
        <f t="shared" si="11"/>
        <v>#N/A</v>
      </c>
      <c r="CK214" s="6">
        <f t="shared" si="12"/>
        <v>1</v>
      </c>
      <c r="CL214" s="6">
        <f t="shared" si="354"/>
        <v>1</v>
      </c>
      <c r="CM214" s="6">
        <f t="shared" si="13"/>
        <v>1</v>
      </c>
      <c r="CN214" s="6">
        <f t="shared" si="14"/>
        <v>0</v>
      </c>
      <c r="CO214" s="6">
        <f t="shared" si="15"/>
        <v>1</v>
      </c>
      <c r="CP214" s="6">
        <f t="shared" si="16"/>
        <v>1</v>
      </c>
      <c r="CQ214" s="6">
        <f t="shared" si="347"/>
        <v>1</v>
      </c>
      <c r="CR214" s="81" t="str">
        <f t="shared" si="17"/>
        <v/>
      </c>
      <c r="CS214">
        <f t="shared" si="348"/>
        <v>25.2</v>
      </c>
      <c r="CT214">
        <f t="shared" si="19"/>
        <v>150</v>
      </c>
      <c r="CU214" t="str">
        <f t="shared" si="355"/>
        <v/>
      </c>
      <c r="CV214" s="81">
        <f t="shared" si="349"/>
        <v>150</v>
      </c>
      <c r="CW214" s="81">
        <f>(CV214/25)^1.5*(Calculator!$BU$4/10000)*CW$5</f>
        <v>37.949052970673385</v>
      </c>
      <c r="CX214" t="str">
        <f t="shared" si="350"/>
        <v>$150</v>
      </c>
    </row>
    <row r="215" spans="2:102" x14ac:dyDescent="0.25">
      <c r="B215" s="115" t="s">
        <v>233</v>
      </c>
      <c r="C215" s="13">
        <v>46254.637499999997</v>
      </c>
      <c r="D215">
        <v>35736</v>
      </c>
      <c r="E215" s="54" t="s">
        <v>235</v>
      </c>
      <c r="F215" s="54" t="s">
        <v>590</v>
      </c>
      <c r="G215" s="54" t="s">
        <v>591</v>
      </c>
      <c r="H215" s="55">
        <v>12.9</v>
      </c>
      <c r="I215" s="55">
        <v>12.4</v>
      </c>
      <c r="J215" s="55">
        <v>12.2</v>
      </c>
      <c r="K215" s="54"/>
      <c r="L215" s="56" t="b">
        <v>0</v>
      </c>
      <c r="M215" s="56" t="b">
        <v>0</v>
      </c>
      <c r="N215" s="54">
        <v>1</v>
      </c>
      <c r="O215" s="54" t="s">
        <v>228</v>
      </c>
      <c r="P215" s="54">
        <v>100</v>
      </c>
      <c r="Q215" s="54">
        <v>24</v>
      </c>
      <c r="R215" s="54">
        <v>250</v>
      </c>
      <c r="S215" s="54" t="s">
        <v>579</v>
      </c>
      <c r="T215" s="54" t="s">
        <v>592</v>
      </c>
      <c r="U215" s="54" t="s">
        <v>581</v>
      </c>
      <c r="V215" s="54" t="s">
        <v>582</v>
      </c>
      <c r="W215" s="54" t="b">
        <v>0</v>
      </c>
      <c r="X215" s="54"/>
      <c r="Y215" s="57" t="s">
        <v>2284</v>
      </c>
      <c r="Z215" s="54" t="s">
        <v>579</v>
      </c>
      <c r="AA215" s="54"/>
      <c r="AB215" s="54" t="s">
        <v>583</v>
      </c>
      <c r="AC215" s="56" t="b">
        <v>1</v>
      </c>
      <c r="AD215" s="56" t="b">
        <v>0</v>
      </c>
      <c r="AE215" s="54" t="s">
        <v>302</v>
      </c>
      <c r="AF215" s="58">
        <v>46252</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6.9502999999999995E-2</v>
      </c>
      <c r="BC215" s="60">
        <v>4.9000000000000004</v>
      </c>
      <c r="BD215" s="61">
        <v>4.9811000000000001E-2</v>
      </c>
      <c r="BE215" s="62" t="s">
        <v>293</v>
      </c>
      <c r="BF215" s="35">
        <f t="shared" si="351"/>
        <v>4.9000000000000004</v>
      </c>
      <c r="BG215" s="35">
        <f t="shared" si="351"/>
        <v>4.9811000000000001E-2</v>
      </c>
      <c r="BH215" s="35" t="str">
        <f t="shared" si="340"/>
        <v>Low</v>
      </c>
      <c r="BI215" s="110">
        <f t="shared" si="341"/>
        <v>0</v>
      </c>
      <c r="BJ215" s="83">
        <f>VLOOKUP($F215,REP_Info!$D$6:$H$250,5,FALSE)</f>
        <v>4.5250000000000004</v>
      </c>
      <c r="BK215" s="30">
        <f t="shared" si="342"/>
        <v>12.9114</v>
      </c>
      <c r="BL215" s="30">
        <f t="shared" si="342"/>
        <v>12.4214</v>
      </c>
      <c r="BM215" s="30">
        <f t="shared" si="342"/>
        <v>12.176400000000001</v>
      </c>
      <c r="BN215" s="29">
        <f t="shared" si="342"/>
        <v>12.094733333333332</v>
      </c>
      <c r="BO215" s="85" t="str">
        <f t="shared" si="2"/>
        <v>$$$</v>
      </c>
      <c r="BP215" s="88" t="str">
        <f t="shared" si="343"/>
        <v>$$$</v>
      </c>
      <c r="BQ215" s="88" t="str">
        <f t="shared" si="4"/>
        <v>$$$</v>
      </c>
      <c r="BR215" s="88" t="str">
        <f t="shared" si="5"/>
        <v>$$$</v>
      </c>
      <c r="BS215" s="29" t="e">
        <f t="shared" si="344"/>
        <v>#N/A</v>
      </c>
      <c r="BT215" s="29" t="e">
        <f t="shared" si="344"/>
        <v>#N/A</v>
      </c>
      <c r="BU215" s="29" t="e">
        <f t="shared" si="344"/>
        <v>#N/A</v>
      </c>
      <c r="BV215" s="29" t="e">
        <f t="shared" si="344"/>
        <v>#N/A</v>
      </c>
      <c r="BW215" s="29" t="e">
        <f t="shared" si="344"/>
        <v>#N/A</v>
      </c>
      <c r="BX215" s="29" t="e">
        <f t="shared" si="344"/>
        <v>#N/A</v>
      </c>
      <c r="BY215" s="29" t="e">
        <f t="shared" si="344"/>
        <v>#N/A</v>
      </c>
      <c r="BZ215" s="29" t="e">
        <f t="shared" si="344"/>
        <v>#N/A</v>
      </c>
      <c r="CA215" s="29" t="e">
        <f t="shared" si="344"/>
        <v>#N/A</v>
      </c>
      <c r="CB215" s="29" t="e">
        <f t="shared" si="344"/>
        <v>#N/A</v>
      </c>
      <c r="CC215" s="29" t="e">
        <f t="shared" si="344"/>
        <v>#N/A</v>
      </c>
      <c r="CD215" s="29" t="e">
        <f t="shared" si="344"/>
        <v>#N/A</v>
      </c>
      <c r="CE215" s="6" t="str">
        <f t="shared" si="352"/>
        <v/>
      </c>
      <c r="CF215" s="27" t="e">
        <f>IF(AND(CI215,NOT(AD215)),LOOKUP(CF$5,{0,750,1500},H215:J215),"")</f>
        <v>#N/A</v>
      </c>
      <c r="CG215" s="6" t="str">
        <f t="shared" si="353"/>
        <v/>
      </c>
      <c r="CH215" t="e">
        <f t="shared" si="345"/>
        <v>#N/A</v>
      </c>
      <c r="CI215" t="e">
        <f t="shared" si="346"/>
        <v>#N/A</v>
      </c>
      <c r="CJ215" s="6" t="e">
        <f t="shared" si="11"/>
        <v>#N/A</v>
      </c>
      <c r="CK215" s="6">
        <f t="shared" si="12"/>
        <v>1</v>
      </c>
      <c r="CL215" s="6">
        <f t="shared" si="354"/>
        <v>1</v>
      </c>
      <c r="CM215" s="6">
        <f t="shared" si="13"/>
        <v>1</v>
      </c>
      <c r="CN215" s="6">
        <f t="shared" si="14"/>
        <v>1</v>
      </c>
      <c r="CO215" s="6">
        <f t="shared" si="15"/>
        <v>0</v>
      </c>
      <c r="CP215" s="6">
        <f t="shared" si="16"/>
        <v>1</v>
      </c>
      <c r="CQ215" s="6">
        <f t="shared" si="347"/>
        <v>1</v>
      </c>
      <c r="CR215" s="81" t="str">
        <f t="shared" si="17"/>
        <v/>
      </c>
      <c r="CS215">
        <f t="shared" si="348"/>
        <v>0</v>
      </c>
      <c r="CT215">
        <f t="shared" si="19"/>
        <v>250</v>
      </c>
      <c r="CU215" t="str">
        <f t="shared" si="355"/>
        <v/>
      </c>
      <c r="CV215" s="81">
        <f t="shared" si="349"/>
        <v>250</v>
      </c>
      <c r="CW215" s="81">
        <f>(CV215/25)^1.5*(Calculator!$BU$4/10000)*CW$5</f>
        <v>81.653361199867305</v>
      </c>
      <c r="CX215" t="str">
        <f t="shared" si="350"/>
        <v>$250</v>
      </c>
    </row>
    <row r="216" spans="2:102" x14ac:dyDescent="0.25">
      <c r="B216" s="115" t="s">
        <v>233</v>
      </c>
      <c r="C216" s="13">
        <v>46242.178472222222</v>
      </c>
      <c r="D216">
        <v>35740</v>
      </c>
      <c r="E216" s="54" t="s">
        <v>237</v>
      </c>
      <c r="F216" s="54" t="s">
        <v>590</v>
      </c>
      <c r="G216" s="54" t="s">
        <v>591</v>
      </c>
      <c r="H216" s="55">
        <v>13.8</v>
      </c>
      <c r="I216" s="55">
        <v>13.4</v>
      </c>
      <c r="J216" s="55">
        <v>13.200000000000001</v>
      </c>
      <c r="K216" s="54"/>
      <c r="L216" s="56" t="b">
        <v>0</v>
      </c>
      <c r="M216" s="56" t="b">
        <v>0</v>
      </c>
      <c r="N216" s="54">
        <v>1</v>
      </c>
      <c r="O216" s="54" t="s">
        <v>228</v>
      </c>
      <c r="P216" s="54">
        <v>100</v>
      </c>
      <c r="Q216" s="54">
        <v>24</v>
      </c>
      <c r="R216" s="54">
        <v>250</v>
      </c>
      <c r="S216" s="54" t="s">
        <v>579</v>
      </c>
      <c r="T216" s="54" t="s">
        <v>592</v>
      </c>
      <c r="U216" s="54" t="s">
        <v>581</v>
      </c>
      <c r="V216" s="54" t="s">
        <v>582</v>
      </c>
      <c r="W216" s="54" t="b">
        <v>0</v>
      </c>
      <c r="X216" s="54"/>
      <c r="Y216" s="57" t="s">
        <v>1930</v>
      </c>
      <c r="Z216" s="54" t="s">
        <v>589</v>
      </c>
      <c r="AA216" s="54"/>
      <c r="AB216" s="54" t="s">
        <v>583</v>
      </c>
      <c r="AC216" s="56" t="b">
        <v>1</v>
      </c>
      <c r="AD216" s="56" t="b">
        <v>0</v>
      </c>
      <c r="AE216" s="54" t="s">
        <v>302</v>
      </c>
      <c r="AF216" s="58">
        <v>46239</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6.9322999999999996E-2</v>
      </c>
      <c r="BC216" s="60">
        <v>4.0599999999999996</v>
      </c>
      <c r="BD216" s="61">
        <v>6.0295000000000001E-2</v>
      </c>
      <c r="BE216" s="62" t="s">
        <v>293</v>
      </c>
      <c r="BF216" s="35">
        <f t="shared" si="351"/>
        <v>4.0600000000000005</v>
      </c>
      <c r="BG216" s="35">
        <f t="shared" si="351"/>
        <v>6.0295000000000001E-2</v>
      </c>
      <c r="BH216" s="35" t="str">
        <f t="shared" si="340"/>
        <v>Low</v>
      </c>
      <c r="BI216" s="110">
        <f t="shared" si="341"/>
        <v>0</v>
      </c>
      <c r="BJ216" s="83">
        <f>VLOOKUP($F216,REP_Info!$D$6:$H$250,5,FALSE)</f>
        <v>4.5250000000000004</v>
      </c>
      <c r="BK216" s="30">
        <f t="shared" si="342"/>
        <v>13.7738</v>
      </c>
      <c r="BL216" s="30">
        <f t="shared" si="342"/>
        <v>13.367799999999999</v>
      </c>
      <c r="BM216" s="30">
        <f t="shared" si="342"/>
        <v>13.1648</v>
      </c>
      <c r="BN216" s="29">
        <f t="shared" si="342"/>
        <v>13.097133333333334</v>
      </c>
      <c r="BO216" s="85" t="str">
        <f t="shared" si="2"/>
        <v>$$$</v>
      </c>
      <c r="BP216" s="88" t="str">
        <f t="shared" si="343"/>
        <v>$$$</v>
      </c>
      <c r="BQ216" s="88" t="str">
        <f t="shared" si="4"/>
        <v>$$$</v>
      </c>
      <c r="BR216" s="88" t="str">
        <f t="shared" si="5"/>
        <v>$$$</v>
      </c>
      <c r="BS216" s="29" t="e">
        <f t="shared" si="344"/>
        <v>#N/A</v>
      </c>
      <c r="BT216" s="29" t="e">
        <f t="shared" si="344"/>
        <v>#N/A</v>
      </c>
      <c r="BU216" s="29" t="e">
        <f t="shared" si="344"/>
        <v>#N/A</v>
      </c>
      <c r="BV216" s="29" t="e">
        <f t="shared" si="344"/>
        <v>#N/A</v>
      </c>
      <c r="BW216" s="29" t="e">
        <f t="shared" si="344"/>
        <v>#N/A</v>
      </c>
      <c r="BX216" s="29" t="e">
        <f t="shared" si="344"/>
        <v>#N/A</v>
      </c>
      <c r="BY216" s="29" t="e">
        <f t="shared" si="344"/>
        <v>#N/A</v>
      </c>
      <c r="BZ216" s="29" t="e">
        <f t="shared" si="344"/>
        <v>#N/A</v>
      </c>
      <c r="CA216" s="29" t="e">
        <f t="shared" si="344"/>
        <v>#N/A</v>
      </c>
      <c r="CB216" s="29" t="e">
        <f t="shared" si="344"/>
        <v>#N/A</v>
      </c>
      <c r="CC216" s="29" t="e">
        <f t="shared" si="344"/>
        <v>#N/A</v>
      </c>
      <c r="CD216" s="29" t="e">
        <f t="shared" si="344"/>
        <v>#N/A</v>
      </c>
      <c r="CE216" s="6" t="str">
        <f t="shared" si="352"/>
        <v/>
      </c>
      <c r="CF216" s="27" t="e">
        <f>IF(AND(CI216,NOT(AD216)),LOOKUP(CF$5,{0,750,1500},H216:J216),"")</f>
        <v>#N/A</v>
      </c>
      <c r="CG216" s="6" t="str">
        <f t="shared" si="353"/>
        <v/>
      </c>
      <c r="CH216" t="e">
        <f t="shared" si="345"/>
        <v>#N/A</v>
      </c>
      <c r="CI216" t="e">
        <f t="shared" si="346"/>
        <v>#N/A</v>
      </c>
      <c r="CJ216" s="6" t="e">
        <f t="shared" si="11"/>
        <v>#N/A</v>
      </c>
      <c r="CK216" s="6">
        <f t="shared" si="12"/>
        <v>1</v>
      </c>
      <c r="CL216" s="6">
        <f t="shared" si="354"/>
        <v>1</v>
      </c>
      <c r="CM216" s="6">
        <f t="shared" si="13"/>
        <v>1</v>
      </c>
      <c r="CN216" s="6">
        <f t="shared" si="14"/>
        <v>1</v>
      </c>
      <c r="CO216" s="6">
        <f t="shared" si="15"/>
        <v>0</v>
      </c>
      <c r="CP216" s="6">
        <f t="shared" si="16"/>
        <v>1</v>
      </c>
      <c r="CQ216" s="6">
        <f t="shared" si="347"/>
        <v>1</v>
      </c>
      <c r="CR216" s="81" t="str">
        <f t="shared" si="17"/>
        <v/>
      </c>
      <c r="CS216">
        <f t="shared" si="348"/>
        <v>0</v>
      </c>
      <c r="CT216">
        <f t="shared" si="19"/>
        <v>250</v>
      </c>
      <c r="CU216" t="str">
        <f t="shared" si="355"/>
        <v/>
      </c>
      <c r="CV216" s="81">
        <f t="shared" si="349"/>
        <v>250</v>
      </c>
      <c r="CW216" s="81">
        <f>(CV216/25)^1.5*(Calculator!$BU$4/10000)*CW$5</f>
        <v>81.653361199867305</v>
      </c>
      <c r="CX216" t="str">
        <f t="shared" si="350"/>
        <v>$250</v>
      </c>
    </row>
    <row r="217" spans="2:102" x14ac:dyDescent="0.25">
      <c r="B217" s="115" t="s">
        <v>233</v>
      </c>
      <c r="C217" s="13">
        <v>46251.443749999999</v>
      </c>
      <c r="D217">
        <v>20182</v>
      </c>
      <c r="E217" s="54" t="s">
        <v>235</v>
      </c>
      <c r="F217" s="54" t="s">
        <v>593</v>
      </c>
      <c r="G217" s="54" t="s">
        <v>1759</v>
      </c>
      <c r="H217" s="55">
        <v>16.2</v>
      </c>
      <c r="I217" s="55">
        <v>15.7</v>
      </c>
      <c r="J217" s="55">
        <v>15.4</v>
      </c>
      <c r="K217" s="54"/>
      <c r="L217" s="56" t="b">
        <v>1</v>
      </c>
      <c r="M217" s="56" t="b">
        <v>0</v>
      </c>
      <c r="N217" s="54">
        <v>1</v>
      </c>
      <c r="O217" s="54" t="s">
        <v>228</v>
      </c>
      <c r="P217" s="54">
        <v>26</v>
      </c>
      <c r="Q217" s="54">
        <v>6</v>
      </c>
      <c r="R217" s="54">
        <v>49</v>
      </c>
      <c r="S217" s="54" t="s">
        <v>1760</v>
      </c>
      <c r="T217" s="54" t="s">
        <v>1761</v>
      </c>
      <c r="U217" s="54" t="s">
        <v>1754</v>
      </c>
      <c r="V217" s="54" t="s">
        <v>1762</v>
      </c>
      <c r="W217" s="54" t="b">
        <v>0</v>
      </c>
      <c r="X217" s="54"/>
      <c r="Y217" s="57" t="s">
        <v>1763</v>
      </c>
      <c r="Z217" s="54" t="s">
        <v>1764</v>
      </c>
      <c r="AA217" s="54" t="s">
        <v>1765</v>
      </c>
      <c r="AB217" s="54" t="s">
        <v>1766</v>
      </c>
      <c r="AC217" s="56" t="b">
        <v>1</v>
      </c>
      <c r="AD217" s="56" t="b">
        <v>0</v>
      </c>
      <c r="AE217" s="54" t="s">
        <v>302</v>
      </c>
      <c r="AF217" s="58">
        <v>46249</v>
      </c>
      <c r="AG217" s="62" t="s">
        <v>293</v>
      </c>
      <c r="AH217" s="54">
        <v>0</v>
      </c>
      <c r="AI217" s="54"/>
      <c r="AJ217" s="54"/>
      <c r="AK217" s="54"/>
      <c r="AL217" s="54"/>
      <c r="AM217" s="54">
        <v>0</v>
      </c>
      <c r="AN217" s="54"/>
      <c r="AO217" s="54"/>
      <c r="AP217" s="54"/>
      <c r="AQ217" s="54"/>
      <c r="AR217" s="54"/>
      <c r="AS217" s="54"/>
      <c r="AT217" s="54"/>
      <c r="AU217" s="54"/>
      <c r="AV217" s="54"/>
      <c r="AW217" s="54"/>
      <c r="AX217" s="59"/>
      <c r="AY217" s="59"/>
      <c r="AZ217" s="59"/>
      <c r="BA217" s="59"/>
      <c r="BB217" s="59">
        <v>0.10199999999999999</v>
      </c>
      <c r="BC217" s="60">
        <v>4.9000000000000004</v>
      </c>
      <c r="BD217" s="61">
        <v>4.9811000000000001E-2</v>
      </c>
      <c r="BE217" s="62" t="s">
        <v>293</v>
      </c>
      <c r="BF217" s="35">
        <f t="shared" ref="BF217:BG221" si="356">IF($E217=$E$4,BF$4,IF($E217=$E$5,BF$5,""))</f>
        <v>4.9000000000000004</v>
      </c>
      <c r="BG217" s="35">
        <f t="shared" si="356"/>
        <v>4.9811000000000001E-2</v>
      </c>
      <c r="BH217" s="35" t="str">
        <f t="shared" ref="BH217:BH221" si="357">IF(ISTEXT(BE217),IF(AND(AV217=0,SUM(AN217:AQ217)=0),IF(AM217&lt;=0,IF(BE217="Y","Low","Flat"),"Med"),"High"),"?")</f>
        <v>Low</v>
      </c>
      <c r="BI217" s="110">
        <f t="shared" ref="BI217:BI221" si="358">IF(ISNUMBER(AH217),0*BI$5*SIN((EDATE($A$3,$Q217)-DATE(YEAR(EDATE($A$3,$Q217)),1,0)-BI$4)*2*PI()/365),"")</f>
        <v>0</v>
      </c>
      <c r="BJ217" s="83">
        <f>VLOOKUP($F217,REP_Info!$D$6:$H$250,5,FALSE)</f>
        <v>2.665</v>
      </c>
      <c r="BK217" s="30">
        <f t="shared" ref="BK217:BN221" si="359">IF(BK$7&gt;0,(LOOKUP(BK$7,$AH217:$AL217,$AM217:$AQ217)+IF($AG217="Y",SUMPRODUCT($AX217:$BB217-$AW217:$BA217,BK$7-$AR217:$AV217,N(BK$7&gt;$AR217:$AV217)),BK$7*LOOKUP(BK$7,$AR217:$AV217,$AX217:$BB217))+IF($BE217="Y",$BF217,$BC217)+BK$7*IF($BE217="Y",$BG217,$BD217))*100/BK$7,"")</f>
        <v>16.161099999999998</v>
      </c>
      <c r="BL217" s="30">
        <f t="shared" si="359"/>
        <v>15.671100000000003</v>
      </c>
      <c r="BM217" s="30">
        <f t="shared" si="359"/>
        <v>15.4261</v>
      </c>
      <c r="BN217" s="29">
        <f t="shared" si="359"/>
        <v>15.344433333333331</v>
      </c>
      <c r="BO217" s="85" t="str">
        <f t="shared" si="2"/>
        <v>$$$</v>
      </c>
      <c r="BP217" s="88" t="str">
        <f t="shared" ref="BP217:BP221" si="360">IFERROR(BO217*100/BO$5,"$$$")</f>
        <v>$$$</v>
      </c>
      <c r="BQ217" s="88" t="str">
        <f t="shared" si="4"/>
        <v>$$$</v>
      </c>
      <c r="BR217" s="88" t="str">
        <f t="shared" si="5"/>
        <v>$$$</v>
      </c>
      <c r="BS217" s="29" t="e">
        <f t="shared" ref="BS217:CD221" si="361">IF($CI217,IF(BS$7&gt;0,IF(BS$4&gt;$Q217,$BF217+BS$7*(BS$5+$BG217+$BI217),LOOKUP(BS$7,$AH217:$AL217,$AM217:$AQ217)+IF($AG217="Y",SUMPRODUCT($AX217:$BB217-$AW217:$BA217,BS$7-$AR217:$AV217,N(BS$7&gt;$AR217:$AV217)),BS$7*LOOKUP(BS$7,$AR217:$AV217,$AX217:$BB217))+IF($BE217="Y",$BF217,$BC217)+BS$7*IF($BE217="Y",$BG217,$BD217))*100/BS$7,""),NA())</f>
        <v>#N/A</v>
      </c>
      <c r="BT217" s="29" t="e">
        <f t="shared" si="361"/>
        <v>#N/A</v>
      </c>
      <c r="BU217" s="29" t="e">
        <f t="shared" si="361"/>
        <v>#N/A</v>
      </c>
      <c r="BV217" s="29" t="e">
        <f t="shared" si="361"/>
        <v>#N/A</v>
      </c>
      <c r="BW217" s="29" t="e">
        <f t="shared" si="361"/>
        <v>#N/A</v>
      </c>
      <c r="BX217" s="29" t="e">
        <f t="shared" si="361"/>
        <v>#N/A</v>
      </c>
      <c r="BY217" s="29" t="e">
        <f t="shared" si="361"/>
        <v>#N/A</v>
      </c>
      <c r="BZ217" s="29" t="e">
        <f t="shared" si="361"/>
        <v>#N/A</v>
      </c>
      <c r="CA217" s="29" t="e">
        <f t="shared" si="361"/>
        <v>#N/A</v>
      </c>
      <c r="CB217" s="29" t="e">
        <f t="shared" si="361"/>
        <v>#N/A</v>
      </c>
      <c r="CC217" s="29" t="e">
        <f t="shared" si="361"/>
        <v>#N/A</v>
      </c>
      <c r="CD217" s="29" t="e">
        <f t="shared" si="361"/>
        <v>#N/A</v>
      </c>
      <c r="CE217" s="6" t="str">
        <f t="shared" si="352"/>
        <v/>
      </c>
      <c r="CF217" s="27" t="e">
        <f>IF(AND(CI217,NOT(AD217)),LOOKUP(CF$5,{0,750,1500},H217:J217),"")</f>
        <v>#N/A</v>
      </c>
      <c r="CG217" s="6" t="str">
        <f t="shared" si="353"/>
        <v/>
      </c>
      <c r="CH217" t="e">
        <f t="shared" ref="CH217:CH221" si="362">IF(CI217,IF(ISNUMBER(BO217),BO217,100000)+CV217/10000+IF(ISNUMBER(BJ217),BJ217,2)/10000-P217/100000+ROW()/10000000,"")</f>
        <v>#N/A</v>
      </c>
      <c r="CI217" t="e">
        <f t="shared" ref="CI217:CI221" si="363">PRODUCT(CJ217:CQ217)</f>
        <v>#N/A</v>
      </c>
      <c r="CJ217" s="6" t="e">
        <f t="shared" si="11"/>
        <v>#N/A</v>
      </c>
      <c r="CK217" s="6">
        <f t="shared" si="12"/>
        <v>1</v>
      </c>
      <c r="CL217" s="6">
        <f t="shared" si="26"/>
        <v>1</v>
      </c>
      <c r="CM217" s="6">
        <f t="shared" si="13"/>
        <v>1</v>
      </c>
      <c r="CN217" s="6">
        <f t="shared" si="14"/>
        <v>0</v>
      </c>
      <c r="CO217" s="6">
        <f t="shared" si="15"/>
        <v>1</v>
      </c>
      <c r="CP217" s="6">
        <f t="shared" si="16"/>
        <v>1</v>
      </c>
      <c r="CQ217" s="6">
        <f t="shared" ref="CQ217:CQ221" si="364">IF(CQ$5="Any",1,IF(AND(CQ$5="Med",AV217=0,SUM(AN217:AQ217)=0),1,IF(AND(CQ$5="Low",AV217=0,SUM(AN217:AQ217)=0,AM217=0),1,IF(AND(CQ$5="Flat",AV217=0,SUM(AN217:AQ217)=0,AM217=0,IFERROR(NOT(BE217="Y"),0)),1,0))))</f>
        <v>1</v>
      </c>
      <c r="CR217" s="81" t="str">
        <f t="shared" si="17"/>
        <v/>
      </c>
      <c r="CS217">
        <f t="shared" ref="CS217:CS221" si="365">CS$5*(12/(MIN(12,Q217))-1)</f>
        <v>18</v>
      </c>
      <c r="CT217">
        <f t="shared" si="19"/>
        <v>49</v>
      </c>
      <c r="CU217" t="str">
        <f t="shared" si="29"/>
        <v/>
      </c>
      <c r="CV217" s="81">
        <f t="shared" ref="CV217:CV221" si="366">CT217*IF(CU217="",1,Q217)</f>
        <v>49</v>
      </c>
      <c r="CW217" s="81">
        <f>(CV217/25)^1.5*(Calculator!$BU$4/10000)*CW$5</f>
        <v>7.0852988639999941</v>
      </c>
      <c r="CX217" t="str">
        <f t="shared" ref="CX217:CX221" si="367">"$"&amp;IF(LEFT(CU217,1)="r",CT217&amp;"/"&amp;CU217,CV217)</f>
        <v>$49</v>
      </c>
    </row>
    <row r="218" spans="2:102" x14ac:dyDescent="0.25">
      <c r="B218" s="115" t="s">
        <v>233</v>
      </c>
      <c r="C218" s="13">
        <v>46251.443749999999</v>
      </c>
      <c r="D218">
        <v>20183</v>
      </c>
      <c r="E218" s="54" t="s">
        <v>235</v>
      </c>
      <c r="F218" s="54" t="s">
        <v>593</v>
      </c>
      <c r="G218" s="54" t="s">
        <v>1767</v>
      </c>
      <c r="H218" s="55">
        <v>16.2</v>
      </c>
      <c r="I218" s="55">
        <v>15.7</v>
      </c>
      <c r="J218" s="55">
        <v>15.4</v>
      </c>
      <c r="K218" s="54"/>
      <c r="L218" s="56" t="b">
        <v>1</v>
      </c>
      <c r="M218" s="56" t="b">
        <v>0</v>
      </c>
      <c r="N218" s="54">
        <v>1</v>
      </c>
      <c r="O218" s="54" t="s">
        <v>228</v>
      </c>
      <c r="P218" s="54">
        <v>26</v>
      </c>
      <c r="Q218" s="54">
        <v>12</v>
      </c>
      <c r="R218" s="54">
        <v>49</v>
      </c>
      <c r="S218" s="54" t="s">
        <v>1760</v>
      </c>
      <c r="T218" s="54" t="s">
        <v>1768</v>
      </c>
      <c r="U218" s="54" t="s">
        <v>1756</v>
      </c>
      <c r="V218" s="54" t="s">
        <v>1769</v>
      </c>
      <c r="W218" s="54" t="b">
        <v>0</v>
      </c>
      <c r="X218" s="54"/>
      <c r="Y218" s="57" t="s">
        <v>1770</v>
      </c>
      <c r="Z218" s="54" t="s">
        <v>1764</v>
      </c>
      <c r="AA218" s="54" t="s">
        <v>1771</v>
      </c>
      <c r="AB218" s="54" t="s">
        <v>1766</v>
      </c>
      <c r="AC218" s="56" t="b">
        <v>1</v>
      </c>
      <c r="AD218" s="56" t="b">
        <v>0</v>
      </c>
      <c r="AE218" s="54" t="s">
        <v>302</v>
      </c>
      <c r="AF218" s="58">
        <v>46249</v>
      </c>
      <c r="AG218" s="62" t="s">
        <v>293</v>
      </c>
      <c r="AH218" s="54">
        <v>0</v>
      </c>
      <c r="AI218" s="54"/>
      <c r="AJ218" s="54"/>
      <c r="AK218" s="54"/>
      <c r="AL218" s="54"/>
      <c r="AM218" s="54">
        <v>0</v>
      </c>
      <c r="AN218" s="54"/>
      <c r="AO218" s="54"/>
      <c r="AP218" s="54"/>
      <c r="AQ218" s="54"/>
      <c r="AR218" s="54"/>
      <c r="AS218" s="54"/>
      <c r="AT218" s="54"/>
      <c r="AU218" s="54"/>
      <c r="AV218" s="54"/>
      <c r="AW218" s="54"/>
      <c r="AX218" s="59"/>
      <c r="AY218" s="59"/>
      <c r="AZ218" s="59"/>
      <c r="BA218" s="59"/>
      <c r="BB218" s="59">
        <v>0.10199999999999999</v>
      </c>
      <c r="BC218" s="60">
        <v>4.9000000000000004</v>
      </c>
      <c r="BD218" s="61">
        <v>4.9811000000000001E-2</v>
      </c>
      <c r="BE218" s="62" t="s">
        <v>293</v>
      </c>
      <c r="BF218" s="35">
        <f t="shared" si="356"/>
        <v>4.9000000000000004</v>
      </c>
      <c r="BG218" s="35">
        <f t="shared" si="356"/>
        <v>4.9811000000000001E-2</v>
      </c>
      <c r="BH218" s="35" t="str">
        <f t="shared" si="357"/>
        <v>Low</v>
      </c>
      <c r="BI218" s="110">
        <f t="shared" si="358"/>
        <v>0</v>
      </c>
      <c r="BJ218" s="83">
        <f>VLOOKUP($F218,REP_Info!$D$6:$H$250,5,FALSE)</f>
        <v>2.665</v>
      </c>
      <c r="BK218" s="30">
        <f t="shared" si="359"/>
        <v>16.161099999999998</v>
      </c>
      <c r="BL218" s="30">
        <f t="shared" si="359"/>
        <v>15.671100000000003</v>
      </c>
      <c r="BM218" s="30">
        <f t="shared" si="359"/>
        <v>15.4261</v>
      </c>
      <c r="BN218" s="29">
        <f t="shared" si="359"/>
        <v>15.344433333333331</v>
      </c>
      <c r="BO218" s="85" t="str">
        <f t="shared" si="2"/>
        <v>$$$</v>
      </c>
      <c r="BP218" s="88" t="str">
        <f t="shared" si="360"/>
        <v>$$$</v>
      </c>
      <c r="BQ218" s="88" t="str">
        <f t="shared" si="4"/>
        <v>$$$</v>
      </c>
      <c r="BR218" s="88" t="str">
        <f t="shared" si="5"/>
        <v>$$$</v>
      </c>
      <c r="BS218" s="29" t="e">
        <f t="shared" si="361"/>
        <v>#N/A</v>
      </c>
      <c r="BT218" s="29" t="e">
        <f t="shared" si="361"/>
        <v>#N/A</v>
      </c>
      <c r="BU218" s="29" t="e">
        <f t="shared" si="361"/>
        <v>#N/A</v>
      </c>
      <c r="BV218" s="29" t="e">
        <f t="shared" si="361"/>
        <v>#N/A</v>
      </c>
      <c r="BW218" s="29" t="e">
        <f t="shared" si="361"/>
        <v>#N/A</v>
      </c>
      <c r="BX218" s="29" t="e">
        <f t="shared" si="361"/>
        <v>#N/A</v>
      </c>
      <c r="BY218" s="29" t="e">
        <f t="shared" si="361"/>
        <v>#N/A</v>
      </c>
      <c r="BZ218" s="29" t="e">
        <f t="shared" si="361"/>
        <v>#N/A</v>
      </c>
      <c r="CA218" s="29" t="e">
        <f t="shared" si="361"/>
        <v>#N/A</v>
      </c>
      <c r="CB218" s="29" t="e">
        <f t="shared" si="361"/>
        <v>#N/A</v>
      </c>
      <c r="CC218" s="29" t="e">
        <f t="shared" si="361"/>
        <v>#N/A</v>
      </c>
      <c r="CD218" s="29" t="e">
        <f t="shared" si="361"/>
        <v>#N/A</v>
      </c>
      <c r="CE218" s="6" t="str">
        <f t="shared" si="352"/>
        <v/>
      </c>
      <c r="CF218" s="27" t="e">
        <f>IF(AND(CI218,NOT(AD218)),LOOKUP(CF$5,{0,750,1500},H218:J218),"")</f>
        <v>#N/A</v>
      </c>
      <c r="CG218" s="6" t="str">
        <f t="shared" si="353"/>
        <v/>
      </c>
      <c r="CH218" t="e">
        <f t="shared" si="362"/>
        <v>#N/A</v>
      </c>
      <c r="CI218" t="e">
        <f t="shared" si="363"/>
        <v>#N/A</v>
      </c>
      <c r="CJ218" s="6" t="e">
        <f t="shared" si="11"/>
        <v>#N/A</v>
      </c>
      <c r="CK218" s="6">
        <f t="shared" si="12"/>
        <v>1</v>
      </c>
      <c r="CL218" s="6">
        <f t="shared" si="26"/>
        <v>1</v>
      </c>
      <c r="CM218" s="6">
        <f t="shared" si="13"/>
        <v>1</v>
      </c>
      <c r="CN218" s="6">
        <f t="shared" si="14"/>
        <v>1</v>
      </c>
      <c r="CO218" s="6">
        <f t="shared" si="15"/>
        <v>1</v>
      </c>
      <c r="CP218" s="6">
        <f t="shared" si="16"/>
        <v>1</v>
      </c>
      <c r="CQ218" s="6">
        <f t="shared" si="364"/>
        <v>1</v>
      </c>
      <c r="CR218" s="81" t="str">
        <f t="shared" si="17"/>
        <v/>
      </c>
      <c r="CS218">
        <f t="shared" si="365"/>
        <v>0</v>
      </c>
      <c r="CT218">
        <f t="shared" si="19"/>
        <v>49</v>
      </c>
      <c r="CU218" t="str">
        <f t="shared" si="29"/>
        <v/>
      </c>
      <c r="CV218" s="81">
        <f t="shared" si="366"/>
        <v>49</v>
      </c>
      <c r="CW218" s="81">
        <f>(CV218/25)^1.5*(Calculator!$BU$4/10000)*CW$5</f>
        <v>7.0852988639999941</v>
      </c>
      <c r="CX218" t="str">
        <f t="shared" si="367"/>
        <v>$49</v>
      </c>
    </row>
    <row r="219" spans="2:102" x14ac:dyDescent="0.25">
      <c r="B219" s="115" t="s">
        <v>233</v>
      </c>
      <c r="C219" s="13">
        <v>46251.443749999999</v>
      </c>
      <c r="D219">
        <v>20186</v>
      </c>
      <c r="E219" s="54" t="s">
        <v>237</v>
      </c>
      <c r="F219" s="54" t="s">
        <v>593</v>
      </c>
      <c r="G219" s="54" t="s">
        <v>1759</v>
      </c>
      <c r="H219" s="55">
        <v>16.8</v>
      </c>
      <c r="I219" s="55">
        <v>16.400000000000002</v>
      </c>
      <c r="J219" s="55">
        <v>16.2</v>
      </c>
      <c r="K219" s="54"/>
      <c r="L219" s="56" t="b">
        <v>1</v>
      </c>
      <c r="M219" s="56" t="b">
        <v>0</v>
      </c>
      <c r="N219" s="54">
        <v>1</v>
      </c>
      <c r="O219" s="54" t="s">
        <v>228</v>
      </c>
      <c r="P219" s="54">
        <v>26</v>
      </c>
      <c r="Q219" s="54">
        <v>6</v>
      </c>
      <c r="R219" s="54">
        <v>49</v>
      </c>
      <c r="S219" s="54" t="s">
        <v>1760</v>
      </c>
      <c r="T219" s="54" t="s">
        <v>1772</v>
      </c>
      <c r="U219" s="54" t="s">
        <v>1757</v>
      </c>
      <c r="V219" s="54" t="s">
        <v>1762</v>
      </c>
      <c r="W219" s="54" t="b">
        <v>0</v>
      </c>
      <c r="X219" s="54"/>
      <c r="Y219" s="57" t="s">
        <v>1773</v>
      </c>
      <c r="Z219" s="54" t="s">
        <v>1764</v>
      </c>
      <c r="AA219" s="54" t="s">
        <v>1774</v>
      </c>
      <c r="AB219" s="54" t="s">
        <v>1766</v>
      </c>
      <c r="AC219" s="56" t="b">
        <v>1</v>
      </c>
      <c r="AD219" s="56" t="b">
        <v>0</v>
      </c>
      <c r="AE219" s="54" t="s">
        <v>302</v>
      </c>
      <c r="AF219" s="58">
        <v>46249</v>
      </c>
      <c r="AG219" s="62" t="s">
        <v>293</v>
      </c>
      <c r="AH219" s="54">
        <v>0</v>
      </c>
      <c r="AI219" s="54"/>
      <c r="AJ219" s="54"/>
      <c r="AK219" s="54"/>
      <c r="AL219" s="54"/>
      <c r="AM219" s="54">
        <v>0</v>
      </c>
      <c r="AN219" s="54"/>
      <c r="AO219" s="54"/>
      <c r="AP219" s="54"/>
      <c r="AQ219" s="54"/>
      <c r="AR219" s="54"/>
      <c r="AS219" s="54"/>
      <c r="AT219" s="54"/>
      <c r="AU219" s="54"/>
      <c r="AV219" s="54"/>
      <c r="AW219" s="54"/>
      <c r="AX219" s="59"/>
      <c r="AY219" s="59"/>
      <c r="AZ219" s="59"/>
      <c r="BA219" s="59"/>
      <c r="BB219" s="59">
        <v>0.1</v>
      </c>
      <c r="BC219" s="60">
        <v>4.0599999999999996</v>
      </c>
      <c r="BD219" s="61">
        <v>6.0295000000000001E-2</v>
      </c>
      <c r="BE219" s="62" t="s">
        <v>293</v>
      </c>
      <c r="BF219" s="35">
        <f t="shared" si="356"/>
        <v>4.0600000000000005</v>
      </c>
      <c r="BG219" s="35">
        <f t="shared" si="356"/>
        <v>6.0295000000000001E-2</v>
      </c>
      <c r="BH219" s="35" t="str">
        <f t="shared" si="357"/>
        <v>Low</v>
      </c>
      <c r="BI219" s="110">
        <f t="shared" si="358"/>
        <v>0</v>
      </c>
      <c r="BJ219" s="83">
        <f>VLOOKUP($F219,REP_Info!$D$6:$H$250,5,FALSE)</f>
        <v>2.665</v>
      </c>
      <c r="BK219" s="30">
        <f t="shared" si="359"/>
        <v>16.841500000000003</v>
      </c>
      <c r="BL219" s="30">
        <f t="shared" si="359"/>
        <v>16.435500000000001</v>
      </c>
      <c r="BM219" s="30">
        <f t="shared" si="359"/>
        <v>16.232499999999998</v>
      </c>
      <c r="BN219" s="29">
        <f t="shared" si="359"/>
        <v>16.164833333333334</v>
      </c>
      <c r="BO219" s="85" t="str">
        <f t="shared" si="2"/>
        <v>$$$</v>
      </c>
      <c r="BP219" s="88" t="str">
        <f t="shared" si="360"/>
        <v>$$$</v>
      </c>
      <c r="BQ219" s="88" t="str">
        <f t="shared" si="4"/>
        <v>$$$</v>
      </c>
      <c r="BR219" s="88" t="str">
        <f t="shared" si="5"/>
        <v>$$$</v>
      </c>
      <c r="BS219" s="29" t="e">
        <f t="shared" si="361"/>
        <v>#N/A</v>
      </c>
      <c r="BT219" s="29" t="e">
        <f t="shared" si="361"/>
        <v>#N/A</v>
      </c>
      <c r="BU219" s="29" t="e">
        <f t="shared" si="361"/>
        <v>#N/A</v>
      </c>
      <c r="BV219" s="29" t="e">
        <f t="shared" si="361"/>
        <v>#N/A</v>
      </c>
      <c r="BW219" s="29" t="e">
        <f t="shared" si="361"/>
        <v>#N/A</v>
      </c>
      <c r="BX219" s="29" t="e">
        <f t="shared" si="361"/>
        <v>#N/A</v>
      </c>
      <c r="BY219" s="29" t="e">
        <f t="shared" si="361"/>
        <v>#N/A</v>
      </c>
      <c r="BZ219" s="29" t="e">
        <f t="shared" si="361"/>
        <v>#N/A</v>
      </c>
      <c r="CA219" s="29" t="e">
        <f t="shared" si="361"/>
        <v>#N/A</v>
      </c>
      <c r="CB219" s="29" t="e">
        <f t="shared" si="361"/>
        <v>#N/A</v>
      </c>
      <c r="CC219" s="29" t="e">
        <f t="shared" si="361"/>
        <v>#N/A</v>
      </c>
      <c r="CD219" s="29" t="e">
        <f t="shared" si="361"/>
        <v>#N/A</v>
      </c>
      <c r="CE219" s="6" t="str">
        <f t="shared" si="352"/>
        <v/>
      </c>
      <c r="CF219" s="27" t="e">
        <f>IF(AND(CI219,NOT(AD219)),LOOKUP(CF$5,{0,750,1500},H219:J219),"")</f>
        <v>#N/A</v>
      </c>
      <c r="CG219" s="6" t="str">
        <f t="shared" si="353"/>
        <v/>
      </c>
      <c r="CH219" t="e">
        <f t="shared" si="362"/>
        <v>#N/A</v>
      </c>
      <c r="CI219" t="e">
        <f t="shared" si="363"/>
        <v>#N/A</v>
      </c>
      <c r="CJ219" s="6" t="e">
        <f t="shared" si="11"/>
        <v>#N/A</v>
      </c>
      <c r="CK219" s="6">
        <f t="shared" si="12"/>
        <v>1</v>
      </c>
      <c r="CL219" s="6">
        <f t="shared" si="26"/>
        <v>1</v>
      </c>
      <c r="CM219" s="6">
        <f t="shared" si="13"/>
        <v>1</v>
      </c>
      <c r="CN219" s="6">
        <f t="shared" si="14"/>
        <v>0</v>
      </c>
      <c r="CO219" s="6">
        <f t="shared" si="15"/>
        <v>1</v>
      </c>
      <c r="CP219" s="6">
        <f t="shared" si="16"/>
        <v>1</v>
      </c>
      <c r="CQ219" s="6">
        <f t="shared" si="364"/>
        <v>1</v>
      </c>
      <c r="CR219" s="81" t="str">
        <f t="shared" si="17"/>
        <v/>
      </c>
      <c r="CS219">
        <f t="shared" si="365"/>
        <v>18</v>
      </c>
      <c r="CT219">
        <f t="shared" si="19"/>
        <v>49</v>
      </c>
      <c r="CU219" t="str">
        <f t="shared" si="29"/>
        <v/>
      </c>
      <c r="CV219" s="81">
        <f t="shared" si="366"/>
        <v>49</v>
      </c>
      <c r="CW219" s="81">
        <f>(CV219/25)^1.5*(Calculator!$BU$4/10000)*CW$5</f>
        <v>7.0852988639999941</v>
      </c>
      <c r="CX219" t="str">
        <f t="shared" si="367"/>
        <v>$49</v>
      </c>
    </row>
    <row r="220" spans="2:102" x14ac:dyDescent="0.25">
      <c r="B220" s="115" t="s">
        <v>233</v>
      </c>
      <c r="C220" s="13">
        <v>46251.443749999999</v>
      </c>
      <c r="D220">
        <v>20187</v>
      </c>
      <c r="E220" s="54" t="s">
        <v>237</v>
      </c>
      <c r="F220" s="54" t="s">
        <v>593</v>
      </c>
      <c r="G220" s="54" t="s">
        <v>1767</v>
      </c>
      <c r="H220" s="55">
        <v>16.8</v>
      </c>
      <c r="I220" s="55">
        <v>16.400000000000002</v>
      </c>
      <c r="J220" s="55">
        <v>16.2</v>
      </c>
      <c r="K220" s="54"/>
      <c r="L220" s="56" t="b">
        <v>1</v>
      </c>
      <c r="M220" s="56" t="b">
        <v>0</v>
      </c>
      <c r="N220" s="54">
        <v>1</v>
      </c>
      <c r="O220" s="54" t="s">
        <v>228</v>
      </c>
      <c r="P220" s="54">
        <v>26</v>
      </c>
      <c r="Q220" s="54">
        <v>12</v>
      </c>
      <c r="R220" s="54">
        <v>49</v>
      </c>
      <c r="S220" s="54" t="s">
        <v>1760</v>
      </c>
      <c r="T220" s="54" t="s">
        <v>1768</v>
      </c>
      <c r="U220" s="54" t="s">
        <v>1758</v>
      </c>
      <c r="V220" s="54" t="s">
        <v>1769</v>
      </c>
      <c r="W220" s="54" t="b">
        <v>0</v>
      </c>
      <c r="X220" s="54"/>
      <c r="Y220" s="57" t="s">
        <v>1775</v>
      </c>
      <c r="Z220" s="54" t="s">
        <v>1764</v>
      </c>
      <c r="AA220" s="54" t="s">
        <v>1776</v>
      </c>
      <c r="AB220" s="54" t="s">
        <v>1766</v>
      </c>
      <c r="AC220" s="56" t="b">
        <v>1</v>
      </c>
      <c r="AD220" s="56" t="b">
        <v>0</v>
      </c>
      <c r="AE220" s="54" t="s">
        <v>302</v>
      </c>
      <c r="AF220" s="58">
        <v>46249</v>
      </c>
      <c r="AG220" s="62" t="s">
        <v>293</v>
      </c>
      <c r="AH220" s="54">
        <v>0</v>
      </c>
      <c r="AI220" s="54"/>
      <c r="AJ220" s="54"/>
      <c r="AK220" s="54"/>
      <c r="AL220" s="54"/>
      <c r="AM220" s="54">
        <v>0</v>
      </c>
      <c r="AN220" s="54"/>
      <c r="AO220" s="54"/>
      <c r="AP220" s="54"/>
      <c r="AQ220" s="54"/>
      <c r="AR220" s="54"/>
      <c r="AS220" s="54"/>
      <c r="AT220" s="54"/>
      <c r="AU220" s="54"/>
      <c r="AV220" s="54"/>
      <c r="AW220" s="54"/>
      <c r="AX220" s="59"/>
      <c r="AY220" s="59"/>
      <c r="AZ220" s="59"/>
      <c r="BA220" s="59"/>
      <c r="BB220" s="59">
        <v>0.1</v>
      </c>
      <c r="BC220" s="60">
        <v>4.0599999999999996</v>
      </c>
      <c r="BD220" s="61">
        <v>6.0295000000000001E-2</v>
      </c>
      <c r="BE220" s="62" t="s">
        <v>293</v>
      </c>
      <c r="BF220" s="35">
        <f t="shared" si="356"/>
        <v>4.0600000000000005</v>
      </c>
      <c r="BG220" s="35">
        <f t="shared" si="356"/>
        <v>6.0295000000000001E-2</v>
      </c>
      <c r="BH220" s="35" t="str">
        <f t="shared" si="357"/>
        <v>Low</v>
      </c>
      <c r="BI220" s="110">
        <f t="shared" si="358"/>
        <v>0</v>
      </c>
      <c r="BJ220" s="83">
        <f>VLOOKUP($F220,REP_Info!$D$6:$H$250,5,FALSE)</f>
        <v>2.665</v>
      </c>
      <c r="BK220" s="30">
        <f t="shared" si="359"/>
        <v>16.841500000000003</v>
      </c>
      <c r="BL220" s="30">
        <f t="shared" si="359"/>
        <v>16.435500000000001</v>
      </c>
      <c r="BM220" s="30">
        <f t="shared" si="359"/>
        <v>16.232499999999998</v>
      </c>
      <c r="BN220" s="29">
        <f t="shared" si="359"/>
        <v>16.164833333333334</v>
      </c>
      <c r="BO220" s="85" t="str">
        <f t="shared" si="2"/>
        <v>$$$</v>
      </c>
      <c r="BP220" s="88" t="str">
        <f t="shared" si="360"/>
        <v>$$$</v>
      </c>
      <c r="BQ220" s="88" t="str">
        <f t="shared" si="4"/>
        <v>$$$</v>
      </c>
      <c r="BR220" s="88" t="str">
        <f t="shared" si="5"/>
        <v>$$$</v>
      </c>
      <c r="BS220" s="29" t="e">
        <f t="shared" si="361"/>
        <v>#N/A</v>
      </c>
      <c r="BT220" s="29" t="e">
        <f t="shared" si="361"/>
        <v>#N/A</v>
      </c>
      <c r="BU220" s="29" t="e">
        <f t="shared" si="361"/>
        <v>#N/A</v>
      </c>
      <c r="BV220" s="29" t="e">
        <f t="shared" si="361"/>
        <v>#N/A</v>
      </c>
      <c r="BW220" s="29" t="e">
        <f t="shared" si="361"/>
        <v>#N/A</v>
      </c>
      <c r="BX220" s="29" t="e">
        <f t="shared" si="361"/>
        <v>#N/A</v>
      </c>
      <c r="BY220" s="29" t="e">
        <f t="shared" si="361"/>
        <v>#N/A</v>
      </c>
      <c r="BZ220" s="29" t="e">
        <f t="shared" si="361"/>
        <v>#N/A</v>
      </c>
      <c r="CA220" s="29" t="e">
        <f t="shared" si="361"/>
        <v>#N/A</v>
      </c>
      <c r="CB220" s="29" t="e">
        <f t="shared" si="361"/>
        <v>#N/A</v>
      </c>
      <c r="CC220" s="29" t="e">
        <f t="shared" si="361"/>
        <v>#N/A</v>
      </c>
      <c r="CD220" s="29" t="e">
        <f t="shared" si="361"/>
        <v>#N/A</v>
      </c>
      <c r="CE220" s="6" t="str">
        <f t="shared" si="352"/>
        <v/>
      </c>
      <c r="CF220" s="27" t="e">
        <f>IF(AND(CI220,NOT(AD220)),LOOKUP(CF$5,{0,750,1500},H220:J220),"")</f>
        <v>#N/A</v>
      </c>
      <c r="CG220" s="6" t="str">
        <f t="shared" si="353"/>
        <v/>
      </c>
      <c r="CH220" t="e">
        <f t="shared" si="362"/>
        <v>#N/A</v>
      </c>
      <c r="CI220" t="e">
        <f t="shared" si="363"/>
        <v>#N/A</v>
      </c>
      <c r="CJ220" s="6" t="e">
        <f t="shared" si="11"/>
        <v>#N/A</v>
      </c>
      <c r="CK220" s="6">
        <f t="shared" si="12"/>
        <v>1</v>
      </c>
      <c r="CL220" s="6">
        <f t="shared" si="26"/>
        <v>1</v>
      </c>
      <c r="CM220" s="6">
        <f t="shared" si="13"/>
        <v>1</v>
      </c>
      <c r="CN220" s="6">
        <f t="shared" si="14"/>
        <v>1</v>
      </c>
      <c r="CO220" s="6">
        <f t="shared" si="15"/>
        <v>1</v>
      </c>
      <c r="CP220" s="6">
        <f t="shared" si="16"/>
        <v>1</v>
      </c>
      <c r="CQ220" s="6">
        <f t="shared" si="364"/>
        <v>1</v>
      </c>
      <c r="CR220" s="81" t="str">
        <f t="shared" si="17"/>
        <v/>
      </c>
      <c r="CS220">
        <f t="shared" si="365"/>
        <v>0</v>
      </c>
      <c r="CT220">
        <f t="shared" si="19"/>
        <v>49</v>
      </c>
      <c r="CU220" t="str">
        <f t="shared" si="29"/>
        <v/>
      </c>
      <c r="CV220" s="81">
        <f t="shared" si="366"/>
        <v>49</v>
      </c>
      <c r="CW220" s="81">
        <f>(CV220/25)^1.5*(Calculator!$BU$4/10000)*CW$5</f>
        <v>7.0852988639999941</v>
      </c>
      <c r="CX220" t="str">
        <f t="shared" si="367"/>
        <v>$49</v>
      </c>
    </row>
    <row r="221" spans="2:102" x14ac:dyDescent="0.25">
      <c r="B221" s="115" t="s">
        <v>233</v>
      </c>
      <c r="C221" s="13">
        <v>46210.654861111114</v>
      </c>
      <c r="D221">
        <v>33670</v>
      </c>
      <c r="E221" s="54" t="s">
        <v>235</v>
      </c>
      <c r="F221" s="54" t="s">
        <v>594</v>
      </c>
      <c r="G221" s="54" t="s">
        <v>1652</v>
      </c>
      <c r="H221" s="55">
        <v>16.900000000000002</v>
      </c>
      <c r="I221" s="55">
        <v>16.900000000000002</v>
      </c>
      <c r="J221" s="55">
        <v>16.900000000000002</v>
      </c>
      <c r="K221" s="54"/>
      <c r="L221" s="56" t="b">
        <v>1</v>
      </c>
      <c r="M221" s="56" t="b">
        <v>0</v>
      </c>
      <c r="N221" s="54">
        <v>0</v>
      </c>
      <c r="O221" s="54" t="s">
        <v>238</v>
      </c>
      <c r="P221" s="54">
        <v>26</v>
      </c>
      <c r="Q221" s="54">
        <v>1</v>
      </c>
      <c r="R221" s="54">
        <v>50</v>
      </c>
      <c r="S221" s="54" t="s">
        <v>595</v>
      </c>
      <c r="T221" s="54" t="s">
        <v>596</v>
      </c>
      <c r="U221" s="54" t="s">
        <v>597</v>
      </c>
      <c r="V221" s="54" t="s">
        <v>598</v>
      </c>
      <c r="W221" s="54" t="b">
        <v>1</v>
      </c>
      <c r="X221" s="54"/>
      <c r="Y221" s="57" t="s">
        <v>1653</v>
      </c>
      <c r="Z221" s="54" t="s">
        <v>599</v>
      </c>
      <c r="AA221" s="54" t="s">
        <v>600</v>
      </c>
      <c r="AB221" s="54" t="s">
        <v>601</v>
      </c>
      <c r="AC221" s="56" t="b">
        <v>1</v>
      </c>
      <c r="AD221" s="56" t="b">
        <v>0</v>
      </c>
      <c r="AE221" s="54"/>
      <c r="AF221" s="58"/>
      <c r="AG221" s="62" t="s">
        <v>293</v>
      </c>
      <c r="AH221" s="54"/>
      <c r="AI221" s="54"/>
      <c r="AJ221" s="54"/>
      <c r="AK221" s="54"/>
      <c r="AL221" s="54"/>
      <c r="AM221" s="54">
        <v>0</v>
      </c>
      <c r="AN221" s="54"/>
      <c r="AO221" s="54"/>
      <c r="AP221" s="54"/>
      <c r="AQ221" s="54"/>
      <c r="AR221" s="54"/>
      <c r="AS221" s="54"/>
      <c r="AT221" s="54"/>
      <c r="AU221" s="54"/>
      <c r="AV221" s="54"/>
      <c r="AW221" s="54"/>
      <c r="AX221" s="59"/>
      <c r="AY221" s="59"/>
      <c r="AZ221" s="59"/>
      <c r="BA221" s="59"/>
      <c r="BB221" s="59"/>
      <c r="BC221" s="60"/>
      <c r="BD221" s="61"/>
      <c r="BE221" s="62"/>
      <c r="BF221" s="35">
        <f t="shared" si="356"/>
        <v>4.9000000000000004</v>
      </c>
      <c r="BG221" s="35">
        <f t="shared" si="356"/>
        <v>4.9811000000000001E-2</v>
      </c>
      <c r="BH221" s="35" t="str">
        <f t="shared" si="357"/>
        <v>?</v>
      </c>
      <c r="BI221" s="110" t="str">
        <f t="shared" si="358"/>
        <v/>
      </c>
      <c r="BJ221" s="83" t="e">
        <f>VLOOKUP($F221,REP_Info!$D$6:$H$250,5,FALSE)</f>
        <v>#N/A</v>
      </c>
      <c r="BK221" s="30" t="e">
        <f t="shared" si="359"/>
        <v>#N/A</v>
      </c>
      <c r="BL221" s="30" t="e">
        <f t="shared" si="359"/>
        <v>#N/A</v>
      </c>
      <c r="BM221" s="30" t="e">
        <f t="shared" si="359"/>
        <v>#N/A</v>
      </c>
      <c r="BN221" s="29" t="e">
        <f t="shared" si="359"/>
        <v>#N/A</v>
      </c>
      <c r="BO221" s="85" t="str">
        <f t="shared" si="2"/>
        <v>$$$</v>
      </c>
      <c r="BP221" s="88" t="str">
        <f t="shared" si="360"/>
        <v>$$$</v>
      </c>
      <c r="BQ221" s="88" t="str">
        <f t="shared" si="4"/>
        <v>$$$</v>
      </c>
      <c r="BR221" s="88" t="str">
        <f t="shared" si="5"/>
        <v>$$$</v>
      </c>
      <c r="BS221" s="29" t="e">
        <f t="shared" si="361"/>
        <v>#N/A</v>
      </c>
      <c r="BT221" s="29" t="e">
        <f t="shared" si="361"/>
        <v>#N/A</v>
      </c>
      <c r="BU221" s="29" t="e">
        <f t="shared" si="361"/>
        <v>#N/A</v>
      </c>
      <c r="BV221" s="29" t="e">
        <f t="shared" si="361"/>
        <v>#N/A</v>
      </c>
      <c r="BW221" s="29" t="e">
        <f t="shared" si="361"/>
        <v>#N/A</v>
      </c>
      <c r="BX221" s="29" t="e">
        <f t="shared" si="361"/>
        <v>#N/A</v>
      </c>
      <c r="BY221" s="29" t="e">
        <f t="shared" si="361"/>
        <v>#N/A</v>
      </c>
      <c r="BZ221" s="29" t="e">
        <f t="shared" si="361"/>
        <v>#N/A</v>
      </c>
      <c r="CA221" s="29" t="e">
        <f t="shared" si="361"/>
        <v>#N/A</v>
      </c>
      <c r="CB221" s="29" t="e">
        <f t="shared" si="361"/>
        <v>#N/A</v>
      </c>
      <c r="CC221" s="29" t="e">
        <f t="shared" si="361"/>
        <v>#N/A</v>
      </c>
      <c r="CD221" s="29" t="e">
        <f t="shared" si="361"/>
        <v>#N/A</v>
      </c>
      <c r="CE221" s="6" t="str">
        <f t="shared" si="352"/>
        <v/>
      </c>
      <c r="CF221" s="27" t="e">
        <f>IF(AND(CI221,NOT(AD221)),LOOKUP(CF$5,{0,750,1500},H221:J221),"")</f>
        <v>#N/A</v>
      </c>
      <c r="CG221" s="6" t="str">
        <f t="shared" si="353"/>
        <v/>
      </c>
      <c r="CH221" t="e">
        <f t="shared" si="362"/>
        <v>#N/A</v>
      </c>
      <c r="CI221" t="e">
        <f t="shared" si="363"/>
        <v>#N/A</v>
      </c>
      <c r="CJ221" s="6" t="e">
        <f t="shared" si="11"/>
        <v>#N/A</v>
      </c>
      <c r="CK221" s="6">
        <f t="shared" si="12"/>
        <v>1</v>
      </c>
      <c r="CL221" s="6">
        <f t="shared" si="26"/>
        <v>1</v>
      </c>
      <c r="CM221" s="6">
        <f t="shared" si="13"/>
        <v>0</v>
      </c>
      <c r="CN221" s="6">
        <f t="shared" si="14"/>
        <v>0</v>
      </c>
      <c r="CO221" s="6">
        <f t="shared" si="15"/>
        <v>1</v>
      </c>
      <c r="CP221" s="6">
        <f t="shared" si="16"/>
        <v>1</v>
      </c>
      <c r="CQ221" s="6">
        <f t="shared" si="364"/>
        <v>1</v>
      </c>
      <c r="CR221" s="81" t="str">
        <f t="shared" si="17"/>
        <v/>
      </c>
      <c r="CS221">
        <f t="shared" si="365"/>
        <v>198</v>
      </c>
      <c r="CT221">
        <f t="shared" si="19"/>
        <v>50</v>
      </c>
      <c r="CU221" t="str">
        <f t="shared" si="29"/>
        <v/>
      </c>
      <c r="CV221" s="81">
        <f t="shared" si="366"/>
        <v>50</v>
      </c>
      <c r="CW221" s="81">
        <f>(CV221/25)^1.5*(Calculator!$BU$4/10000)*CW$5</f>
        <v>7.3032986493698795</v>
      </c>
      <c r="CX221" t="str">
        <f t="shared" si="367"/>
        <v>$50</v>
      </c>
    </row>
    <row r="222" spans="2:102" x14ac:dyDescent="0.25">
      <c r="B222" s="115" t="s">
        <v>233</v>
      </c>
      <c r="C222" s="13">
        <v>46210.654861111114</v>
      </c>
      <c r="D222">
        <v>33671</v>
      </c>
      <c r="E222" s="54" t="s">
        <v>237</v>
      </c>
      <c r="F222" s="54" t="s">
        <v>594</v>
      </c>
      <c r="G222" s="54" t="s">
        <v>1652</v>
      </c>
      <c r="H222" s="55">
        <v>17.899999999999999</v>
      </c>
      <c r="I222" s="55">
        <v>17.899999999999999</v>
      </c>
      <c r="J222" s="55">
        <v>17.899999999999999</v>
      </c>
      <c r="K222" s="54"/>
      <c r="L222" s="56" t="b">
        <v>1</v>
      </c>
      <c r="M222" s="56" t="b">
        <v>0</v>
      </c>
      <c r="N222" s="54">
        <v>0</v>
      </c>
      <c r="O222" s="54" t="s">
        <v>238</v>
      </c>
      <c r="P222" s="54">
        <v>26</v>
      </c>
      <c r="Q222" s="54">
        <v>1</v>
      </c>
      <c r="R222" s="54">
        <v>50</v>
      </c>
      <c r="S222" s="54" t="s">
        <v>595</v>
      </c>
      <c r="T222" s="54" t="s">
        <v>596</v>
      </c>
      <c r="U222" s="54" t="s">
        <v>597</v>
      </c>
      <c r="V222" s="54" t="s">
        <v>598</v>
      </c>
      <c r="W222" s="54" t="b">
        <v>0</v>
      </c>
      <c r="X222" s="54"/>
      <c r="Y222" s="57" t="s">
        <v>1654</v>
      </c>
      <c r="Z222" s="54" t="s">
        <v>599</v>
      </c>
      <c r="AA222" s="54" t="s">
        <v>600</v>
      </c>
      <c r="AB222" s="54" t="s">
        <v>601</v>
      </c>
      <c r="AC222" s="56" t="b">
        <v>1</v>
      </c>
      <c r="AD222" s="56" t="b">
        <v>0</v>
      </c>
      <c r="AE222" s="54"/>
      <c r="AF222" s="58"/>
      <c r="AG222" s="62" t="s">
        <v>293</v>
      </c>
      <c r="AH222" s="54"/>
      <c r="AI222" s="54"/>
      <c r="AJ222" s="54"/>
      <c r="AK222" s="54"/>
      <c r="AL222" s="54"/>
      <c r="AM222" s="54">
        <v>0</v>
      </c>
      <c r="AN222" s="54"/>
      <c r="AO222" s="54"/>
      <c r="AP222" s="54"/>
      <c r="AQ222" s="54"/>
      <c r="AR222" s="54"/>
      <c r="AS222" s="54"/>
      <c r="AT222" s="54"/>
      <c r="AU222" s="54"/>
      <c r="AV222" s="54"/>
      <c r="AW222" s="54"/>
      <c r="AX222" s="59"/>
      <c r="AY222" s="59"/>
      <c r="AZ222" s="59"/>
      <c r="BA222" s="59"/>
      <c r="BB222" s="59"/>
      <c r="BC222" s="60"/>
      <c r="BD222" s="61"/>
      <c r="BE222" s="62"/>
      <c r="BF222" s="35">
        <f t="shared" ref="BF222:BG223" si="368">IF($E222=$E$4,BF$4,IF($E222=$E$5,BF$5,""))</f>
        <v>4.0600000000000005</v>
      </c>
      <c r="BG222" s="35">
        <f t="shared" si="368"/>
        <v>6.0295000000000001E-2</v>
      </c>
      <c r="BH222" s="35" t="str">
        <f t="shared" ref="BH222:BH223" si="369">IF(ISTEXT(BE222),IF(AND(AV222=0,SUM(AN222:AQ222)=0),IF(AM222&lt;=0,IF(BE222="Y","Low","Flat"),"Med"),"High"),"?")</f>
        <v>?</v>
      </c>
      <c r="BI222" s="110" t="str">
        <f t="shared" ref="BI222:BI223" si="370">IF(ISNUMBER(AH222),0*BI$5*SIN((EDATE($A$3,$Q222)-DATE(YEAR(EDATE($A$3,$Q222)),1,0)-BI$4)*2*PI()/365),"")</f>
        <v/>
      </c>
      <c r="BJ222" s="83" t="e">
        <f>VLOOKUP($F222,REP_Info!$D$6:$H$250,5,FALSE)</f>
        <v>#N/A</v>
      </c>
      <c r="BK222" s="30" t="e">
        <f t="shared" ref="BK222:BN223" si="371">IF(BK$7&gt;0,(LOOKUP(BK$7,$AH222:$AL222,$AM222:$AQ222)+IF($AG222="Y",SUMPRODUCT($AX222:$BB222-$AW222:$BA222,BK$7-$AR222:$AV222,N(BK$7&gt;$AR222:$AV222)),BK$7*LOOKUP(BK$7,$AR222:$AV222,$AX222:$BB222))+IF($BE222="Y",$BF222,$BC222)+BK$7*IF($BE222="Y",$BG222,$BD222))*100/BK$7,"")</f>
        <v>#N/A</v>
      </c>
      <c r="BL222" s="30" t="e">
        <f t="shared" si="371"/>
        <v>#N/A</v>
      </c>
      <c r="BM222" s="30" t="e">
        <f t="shared" si="371"/>
        <v>#N/A</v>
      </c>
      <c r="BN222" s="29" t="e">
        <f t="shared" si="371"/>
        <v>#N/A</v>
      </c>
      <c r="BO222" s="85" t="str">
        <f t="shared" si="2"/>
        <v>$$$</v>
      </c>
      <c r="BP222" s="88" t="str">
        <f t="shared" ref="BP222:BP223" si="372">IFERROR(BO222*100/BO$5,"$$$")</f>
        <v>$$$</v>
      </c>
      <c r="BQ222" s="88" t="str">
        <f t="shared" si="4"/>
        <v>$$$</v>
      </c>
      <c r="BR222" s="88" t="str">
        <f t="shared" si="5"/>
        <v>$$$</v>
      </c>
      <c r="BS222" s="29" t="e">
        <f t="shared" ref="BS222:CD223" si="373">IF($CI222,IF(BS$7&gt;0,IF(BS$4&gt;$Q222,$BF222+BS$7*(BS$5+$BG222+$BI222),LOOKUP(BS$7,$AH222:$AL222,$AM222:$AQ222)+IF($AG222="Y",SUMPRODUCT($AX222:$BB222-$AW222:$BA222,BS$7-$AR222:$AV222,N(BS$7&gt;$AR222:$AV222)),BS$7*LOOKUP(BS$7,$AR222:$AV222,$AX222:$BB222))+IF($BE222="Y",$BF222,$BC222)+BS$7*IF($BE222="Y",$BG222,$BD222))*100/BS$7,""),NA())</f>
        <v>#N/A</v>
      </c>
      <c r="BT222" s="29" t="e">
        <f t="shared" si="373"/>
        <v>#N/A</v>
      </c>
      <c r="BU222" s="29" t="e">
        <f t="shared" si="373"/>
        <v>#N/A</v>
      </c>
      <c r="BV222" s="29" t="e">
        <f t="shared" si="373"/>
        <v>#N/A</v>
      </c>
      <c r="BW222" s="29" t="e">
        <f t="shared" si="373"/>
        <v>#N/A</v>
      </c>
      <c r="BX222" s="29" t="e">
        <f t="shared" si="373"/>
        <v>#N/A</v>
      </c>
      <c r="BY222" s="29" t="e">
        <f t="shared" si="373"/>
        <v>#N/A</v>
      </c>
      <c r="BZ222" s="29" t="e">
        <f t="shared" si="373"/>
        <v>#N/A</v>
      </c>
      <c r="CA222" s="29" t="e">
        <f t="shared" si="373"/>
        <v>#N/A</v>
      </c>
      <c r="CB222" s="29" t="e">
        <f t="shared" si="373"/>
        <v>#N/A</v>
      </c>
      <c r="CC222" s="29" t="e">
        <f t="shared" si="373"/>
        <v>#N/A</v>
      </c>
      <c r="CD222" s="29" t="e">
        <f t="shared" si="373"/>
        <v>#N/A</v>
      </c>
      <c r="CE222" s="6" t="str">
        <f t="shared" si="352"/>
        <v/>
      </c>
      <c r="CF222" s="27" t="e">
        <f>IF(AND(CI222,NOT(AD222)),LOOKUP(CF$5,{0,750,1500},H222:J222),"")</f>
        <v>#N/A</v>
      </c>
      <c r="CG222" s="6" t="str">
        <f t="shared" si="353"/>
        <v/>
      </c>
      <c r="CH222" t="e">
        <f t="shared" ref="CH222:CH223" si="374">IF(CI222,IF(ISNUMBER(BO222),BO222,100000)+CV222/10000+IF(ISNUMBER(BJ222),BJ222,2)/10000-P222/100000+ROW()/10000000,"")</f>
        <v>#N/A</v>
      </c>
      <c r="CI222" t="e">
        <f t="shared" ref="CI222:CI223" si="375">PRODUCT(CJ222:CQ222)</f>
        <v>#N/A</v>
      </c>
      <c r="CJ222" s="6" t="e">
        <f t="shared" si="11"/>
        <v>#N/A</v>
      </c>
      <c r="CK222" s="6">
        <f t="shared" si="12"/>
        <v>1</v>
      </c>
      <c r="CL222" s="6">
        <f t="shared" si="26"/>
        <v>1</v>
      </c>
      <c r="CM222" s="6">
        <f t="shared" si="13"/>
        <v>0</v>
      </c>
      <c r="CN222" s="6">
        <f t="shared" si="14"/>
        <v>0</v>
      </c>
      <c r="CO222" s="6">
        <f t="shared" si="15"/>
        <v>1</v>
      </c>
      <c r="CP222" s="6">
        <f t="shared" si="16"/>
        <v>1</v>
      </c>
      <c r="CQ222" s="6">
        <f t="shared" ref="CQ222:CQ223" si="376">IF(CQ$5="Any",1,IF(AND(CQ$5="Med",AV222=0,SUM(AN222:AQ222)=0),1,IF(AND(CQ$5="Low",AV222=0,SUM(AN222:AQ222)=0,AM222=0),1,IF(AND(CQ$5="Flat",AV222=0,SUM(AN222:AQ222)=0,AM222=0,IFERROR(NOT(BE222="Y"),0)),1,0))))</f>
        <v>1</v>
      </c>
      <c r="CR222" s="81" t="str">
        <f t="shared" si="17"/>
        <v/>
      </c>
      <c r="CS222">
        <f t="shared" ref="CS222:CS223" si="377">CS$5*(12/(MIN(12,Q222))-1)</f>
        <v>198</v>
      </c>
      <c r="CT222">
        <f t="shared" si="19"/>
        <v>50</v>
      </c>
      <c r="CU222" t="str">
        <f t="shared" si="29"/>
        <v/>
      </c>
      <c r="CV222" s="81">
        <f t="shared" ref="CV222:CV223" si="378">CT222*IF(CU222="",1,Q222)</f>
        <v>50</v>
      </c>
      <c r="CW222" s="81">
        <f>(CV222/25)^1.5*(Calculator!$BU$4/10000)*CW$5</f>
        <v>7.3032986493698795</v>
      </c>
      <c r="CX222" t="str">
        <f t="shared" ref="CX222:CX223" si="379">"$"&amp;IF(LEFT(CU222,1)="r",CT222&amp;"/"&amp;CU222,CV222)</f>
        <v>$50</v>
      </c>
    </row>
    <row r="223" spans="2:102" x14ac:dyDescent="0.25">
      <c r="B223" s="115" t="s">
        <v>233</v>
      </c>
      <c r="C223" s="13">
        <v>46210.654861111114</v>
      </c>
      <c r="D223">
        <v>36326</v>
      </c>
      <c r="E223" s="54" t="s">
        <v>235</v>
      </c>
      <c r="F223" s="54" t="s">
        <v>594</v>
      </c>
      <c r="G223" s="54" t="s">
        <v>1586</v>
      </c>
      <c r="H223" s="55">
        <v>16.2</v>
      </c>
      <c r="I223" s="55">
        <v>14.499999999999998</v>
      </c>
      <c r="J223" s="55">
        <v>13.700000000000001</v>
      </c>
      <c r="K223" s="54"/>
      <c r="L223" s="56" t="b">
        <v>1</v>
      </c>
      <c r="M223" s="56" t="b">
        <v>0</v>
      </c>
      <c r="N223" s="54">
        <v>1</v>
      </c>
      <c r="O223" s="54" t="s">
        <v>228</v>
      </c>
      <c r="P223" s="54">
        <v>26</v>
      </c>
      <c r="Q223" s="54">
        <v>3</v>
      </c>
      <c r="R223" s="54">
        <v>50</v>
      </c>
      <c r="S223" s="54" t="s">
        <v>595</v>
      </c>
      <c r="T223" s="54" t="s">
        <v>1587</v>
      </c>
      <c r="U223" s="54" t="s">
        <v>1588</v>
      </c>
      <c r="V223" s="54" t="s">
        <v>1589</v>
      </c>
      <c r="W223" s="54" t="b">
        <v>1</v>
      </c>
      <c r="X223" s="54"/>
      <c r="Y223" s="57" t="s">
        <v>1590</v>
      </c>
      <c r="Z223" s="54" t="s">
        <v>1591</v>
      </c>
      <c r="AA223" s="54" t="s">
        <v>1592</v>
      </c>
      <c r="AB223" s="54" t="s">
        <v>601</v>
      </c>
      <c r="AC223" s="56" t="b">
        <v>1</v>
      </c>
      <c r="AD223" s="56" t="b">
        <v>0</v>
      </c>
      <c r="AE223" s="54" t="s">
        <v>302</v>
      </c>
      <c r="AF223" s="58">
        <v>46184</v>
      </c>
      <c r="AG223" s="62" t="s">
        <v>293</v>
      </c>
      <c r="AH223" s="54">
        <v>0</v>
      </c>
      <c r="AI223" s="54"/>
      <c r="AJ223" s="54"/>
      <c r="AK223" s="54"/>
      <c r="AL223" s="54"/>
      <c r="AM223" s="54">
        <v>11.869975000000002</v>
      </c>
      <c r="AN223" s="54"/>
      <c r="AO223" s="54"/>
      <c r="AP223" s="54"/>
      <c r="AQ223" s="54"/>
      <c r="AR223" s="54"/>
      <c r="AS223" s="54"/>
      <c r="AT223" s="54"/>
      <c r="AU223" s="54"/>
      <c r="AV223" s="54"/>
      <c r="AW223" s="54"/>
      <c r="AX223" s="59"/>
      <c r="AY223" s="59"/>
      <c r="AZ223" s="59"/>
      <c r="BA223" s="59"/>
      <c r="BB223" s="59">
        <v>7.6938999999999994E-2</v>
      </c>
      <c r="BC223" s="60">
        <v>4.9000000000000004</v>
      </c>
      <c r="BD223" s="61">
        <v>5.1461E-2</v>
      </c>
      <c r="BE223" s="62" t="s">
        <v>293</v>
      </c>
      <c r="BF223" s="35">
        <f t="shared" si="368"/>
        <v>4.9000000000000004</v>
      </c>
      <c r="BG223" s="35">
        <f t="shared" si="368"/>
        <v>4.9811000000000001E-2</v>
      </c>
      <c r="BH223" s="35" t="str">
        <f t="shared" si="369"/>
        <v>Med</v>
      </c>
      <c r="BI223" s="110">
        <f t="shared" si="370"/>
        <v>0</v>
      </c>
      <c r="BJ223" s="83" t="e">
        <f>VLOOKUP($F223,REP_Info!$D$6:$H$250,5,FALSE)</f>
        <v>#N/A</v>
      </c>
      <c r="BK223" s="30">
        <f t="shared" si="371"/>
        <v>16.028995000000002</v>
      </c>
      <c r="BL223" s="30">
        <f t="shared" si="371"/>
        <v>14.3519975</v>
      </c>
      <c r="BM223" s="30">
        <f t="shared" si="371"/>
        <v>13.513498749999998</v>
      </c>
      <c r="BN223" s="29">
        <f t="shared" si="371"/>
        <v>13.233999166666665</v>
      </c>
      <c r="BO223" s="85" t="str">
        <f t="shared" si="2"/>
        <v>$$$</v>
      </c>
      <c r="BP223" s="88" t="str">
        <f t="shared" si="372"/>
        <v>$$$</v>
      </c>
      <c r="BQ223" s="88" t="str">
        <f t="shared" si="4"/>
        <v>$$$</v>
      </c>
      <c r="BR223" s="88" t="str">
        <f t="shared" si="5"/>
        <v>$$$</v>
      </c>
      <c r="BS223" s="29" t="e">
        <f t="shared" si="373"/>
        <v>#N/A</v>
      </c>
      <c r="BT223" s="29" t="e">
        <f t="shared" si="373"/>
        <v>#N/A</v>
      </c>
      <c r="BU223" s="29" t="e">
        <f t="shared" si="373"/>
        <v>#N/A</v>
      </c>
      <c r="BV223" s="29" t="e">
        <f t="shared" si="373"/>
        <v>#N/A</v>
      </c>
      <c r="BW223" s="29" t="e">
        <f t="shared" si="373"/>
        <v>#N/A</v>
      </c>
      <c r="BX223" s="29" t="e">
        <f t="shared" si="373"/>
        <v>#N/A</v>
      </c>
      <c r="BY223" s="29" t="e">
        <f t="shared" si="373"/>
        <v>#N/A</v>
      </c>
      <c r="BZ223" s="29" t="e">
        <f t="shared" si="373"/>
        <v>#N/A</v>
      </c>
      <c r="CA223" s="29" t="e">
        <f t="shared" si="373"/>
        <v>#N/A</v>
      </c>
      <c r="CB223" s="29" t="e">
        <f t="shared" si="373"/>
        <v>#N/A</v>
      </c>
      <c r="CC223" s="29" t="e">
        <f t="shared" si="373"/>
        <v>#N/A</v>
      </c>
      <c r="CD223" s="29" t="e">
        <f t="shared" si="373"/>
        <v>#N/A</v>
      </c>
      <c r="CE223" s="6" t="str">
        <f t="shared" si="352"/>
        <v/>
      </c>
      <c r="CF223" s="27" t="e">
        <f>IF(AND(CI223,NOT(AD223)),LOOKUP(CF$5,{0,750,1500},H223:J223),"")</f>
        <v>#N/A</v>
      </c>
      <c r="CG223" s="6" t="str">
        <f t="shared" si="353"/>
        <v/>
      </c>
      <c r="CH223" t="e">
        <f t="shared" si="374"/>
        <v>#N/A</v>
      </c>
      <c r="CI223" t="e">
        <f t="shared" si="375"/>
        <v>#N/A</v>
      </c>
      <c r="CJ223" s="6" t="e">
        <f t="shared" si="11"/>
        <v>#N/A</v>
      </c>
      <c r="CK223" s="6">
        <f t="shared" si="12"/>
        <v>1</v>
      </c>
      <c r="CL223" s="6">
        <f t="shared" si="26"/>
        <v>1</v>
      </c>
      <c r="CM223" s="6">
        <f t="shared" si="13"/>
        <v>1</v>
      </c>
      <c r="CN223" s="6">
        <f t="shared" si="14"/>
        <v>0</v>
      </c>
      <c r="CO223" s="6">
        <f t="shared" si="15"/>
        <v>1</v>
      </c>
      <c r="CP223" s="6">
        <f t="shared" si="16"/>
        <v>1</v>
      </c>
      <c r="CQ223" s="6">
        <f t="shared" si="376"/>
        <v>1</v>
      </c>
      <c r="CR223" s="81" t="str">
        <f t="shared" si="17"/>
        <v/>
      </c>
      <c r="CS223">
        <f t="shared" si="377"/>
        <v>54</v>
      </c>
      <c r="CT223">
        <f t="shared" si="19"/>
        <v>50</v>
      </c>
      <c r="CU223" t="str">
        <f t="shared" si="29"/>
        <v/>
      </c>
      <c r="CV223" s="81">
        <f t="shared" si="378"/>
        <v>50</v>
      </c>
      <c r="CW223" s="81">
        <f>(CV223/25)^1.5*(Calculator!$BU$4/10000)*CW$5</f>
        <v>7.3032986493698795</v>
      </c>
      <c r="CX223" t="str">
        <f t="shared" si="379"/>
        <v>$50</v>
      </c>
    </row>
    <row r="224" spans="2:102" x14ac:dyDescent="0.25">
      <c r="B224" s="115" t="s">
        <v>233</v>
      </c>
      <c r="C224" s="13">
        <v>46210.654861111114</v>
      </c>
      <c r="D224">
        <v>36329</v>
      </c>
      <c r="E224" s="54" t="s">
        <v>237</v>
      </c>
      <c r="F224" s="54" t="s">
        <v>594</v>
      </c>
      <c r="G224" s="54" t="s">
        <v>1586</v>
      </c>
      <c r="H224" s="55">
        <v>15.5</v>
      </c>
      <c r="I224" s="55">
        <v>13.900000000000002</v>
      </c>
      <c r="J224" s="55">
        <v>13.700000000000001</v>
      </c>
      <c r="K224" s="54"/>
      <c r="L224" s="56" t="b">
        <v>1</v>
      </c>
      <c r="M224" s="56" t="b">
        <v>0</v>
      </c>
      <c r="N224" s="54">
        <v>1</v>
      </c>
      <c r="O224" s="54" t="s">
        <v>228</v>
      </c>
      <c r="P224" s="54">
        <v>26</v>
      </c>
      <c r="Q224" s="54">
        <v>3</v>
      </c>
      <c r="R224" s="54">
        <v>50</v>
      </c>
      <c r="S224" s="54" t="s">
        <v>595</v>
      </c>
      <c r="T224" s="54"/>
      <c r="U224" s="54" t="s">
        <v>1588</v>
      </c>
      <c r="V224" s="54" t="s">
        <v>1593</v>
      </c>
      <c r="W224" s="54" t="b">
        <v>1</v>
      </c>
      <c r="X224" s="54"/>
      <c r="Y224" s="57" t="s">
        <v>1594</v>
      </c>
      <c r="Z224" s="54" t="s">
        <v>1591</v>
      </c>
      <c r="AA224" s="54" t="s">
        <v>1592</v>
      </c>
      <c r="AB224" s="54" t="s">
        <v>601</v>
      </c>
      <c r="AC224" s="56" t="b">
        <v>1</v>
      </c>
      <c r="AD224" s="56" t="b">
        <v>0</v>
      </c>
      <c r="AE224" s="54" t="s">
        <v>302</v>
      </c>
      <c r="AF224" s="58">
        <v>46184</v>
      </c>
      <c r="AG224" s="62" t="s">
        <v>293</v>
      </c>
      <c r="AH224" s="54">
        <v>0</v>
      </c>
      <c r="AI224" s="54"/>
      <c r="AJ224" s="54"/>
      <c r="AK224" s="54"/>
      <c r="AL224" s="54"/>
      <c r="AM224" s="54">
        <v>11.869975000000002</v>
      </c>
      <c r="AN224" s="54"/>
      <c r="AO224" s="54"/>
      <c r="AP224" s="54"/>
      <c r="AQ224" s="54"/>
      <c r="AR224" s="54"/>
      <c r="AS224" s="54"/>
      <c r="AT224" s="54"/>
      <c r="AU224" s="54"/>
      <c r="AV224" s="54"/>
      <c r="AW224" s="54"/>
      <c r="AX224" s="59"/>
      <c r="AY224" s="59"/>
      <c r="AZ224" s="59"/>
      <c r="BA224" s="59"/>
      <c r="BB224" s="59">
        <v>6.2044000000000002E-2</v>
      </c>
      <c r="BC224" s="60">
        <v>4.0599999999999996</v>
      </c>
      <c r="BD224" s="61">
        <v>6.1196E-2</v>
      </c>
      <c r="BE224" s="62" t="s">
        <v>293</v>
      </c>
      <c r="BF224" s="35">
        <f t="shared" ref="BF224:BG224" si="380">IF($E224=$E$4,BF$4,IF($E224=$E$5,BF$5,""))</f>
        <v>4.0600000000000005</v>
      </c>
      <c r="BG224" s="35">
        <f t="shared" si="380"/>
        <v>6.0295000000000001E-2</v>
      </c>
      <c r="BH224" s="35" t="str">
        <f t="shared" ref="BH224" si="381">IF(ISTEXT(BE224),IF(AND(AV224=0,SUM(AN224:AQ224)=0),IF(AM224&lt;=0,IF(BE224="Y","Low","Flat"),"Med"),"High"),"?")</f>
        <v>Med</v>
      </c>
      <c r="BI224" s="110">
        <f t="shared" ref="BI224" si="382">IF(ISNUMBER(AH224),0*BI$5*SIN((EDATE($A$3,$Q224)-DATE(YEAR(EDATE($A$3,$Q224)),1,0)-BI$4)*2*PI()/365),"")</f>
        <v>0</v>
      </c>
      <c r="BJ224" s="83" t="e">
        <f>VLOOKUP($F224,REP_Info!$D$6:$H$250,5,FALSE)</f>
        <v>#N/A</v>
      </c>
      <c r="BK224" s="30">
        <f t="shared" ref="BK224:BN224" si="383">IF(BK$7&gt;0,(LOOKUP(BK$7,$AH224:$AL224,$AM224:$AQ224)+IF($AG224="Y",SUMPRODUCT($AX224:$BB224-$AW224:$BA224,BK$7-$AR224:$AV224,N(BK$7&gt;$AR224:$AV224)),BK$7*LOOKUP(BK$7,$AR224:$AV224,$AX224:$BB224))+IF($BE224="Y",$BF224,$BC224)+BK$7*IF($BE224="Y",$BG224,$BD224))*100/BK$7,"")</f>
        <v>15.419895000000002</v>
      </c>
      <c r="BL224" s="30">
        <f t="shared" si="383"/>
        <v>13.826897500000001</v>
      </c>
      <c r="BM224" s="30">
        <f t="shared" si="383"/>
        <v>13.03039875</v>
      </c>
      <c r="BN224" s="29">
        <f t="shared" si="383"/>
        <v>12.764899166666668</v>
      </c>
      <c r="BO224" s="85" t="str">
        <f t="shared" ref="BO224" si="384">IFERROR(SUMPRODUCT($BS$7:$CD$7,$BS224:$CD224)/100,"$$$")</f>
        <v>$$$</v>
      </c>
      <c r="BP224" s="88" t="str">
        <f t="shared" ref="BP224" si="385">IFERROR(BO224*100/BO$5,"$$$")</f>
        <v>$$$</v>
      </c>
      <c r="BQ224" s="88" t="str">
        <f t="shared" ref="BQ224" si="386">IFERROR(SUMPRODUCT($BS$7:$CD$7,$BS224:$CD224,--($BS$4:$CD$4&lt;=$Q224))/SUMPRODUCT(--($BS$4:$CD$4&lt;=$Q224),$BS$7:$CD$7),"$$$")</f>
        <v>$$$</v>
      </c>
      <c r="BR224" s="88" t="str">
        <f t="shared" ref="BR224" si="387">IFERROR($BQ224-$BF224*100*SUMPRODUCT(--($BS$4:$CD$4&lt;=$Q224))/SUMPRODUCT(--($BS$4:$CD$4&lt;=$Q224),$BS$7:$CD$7)-$BG224*100,"$$$")</f>
        <v>$$$</v>
      </c>
      <c r="BS224" s="29" t="e">
        <f t="shared" ref="BS224:CD224" si="388">IF($CI224,IF(BS$7&gt;0,IF(BS$4&gt;$Q224,$BF224+BS$7*(BS$5+$BG224+$BI224),LOOKUP(BS$7,$AH224:$AL224,$AM224:$AQ224)+IF($AG224="Y",SUMPRODUCT($AX224:$BB224-$AW224:$BA224,BS$7-$AR224:$AV224,N(BS$7&gt;$AR224:$AV224)),BS$7*LOOKUP(BS$7,$AR224:$AV224,$AX224:$BB224))+IF($BE224="Y",$BF224,$BC224)+BS$7*IF($BE224="Y",$BG224,$BD224))*100/BS$7,""),NA())</f>
        <v>#N/A</v>
      </c>
      <c r="BT224" s="29" t="e">
        <f t="shared" si="388"/>
        <v>#N/A</v>
      </c>
      <c r="BU224" s="29" t="e">
        <f t="shared" si="388"/>
        <v>#N/A</v>
      </c>
      <c r="BV224" s="29" t="e">
        <f t="shared" si="388"/>
        <v>#N/A</v>
      </c>
      <c r="BW224" s="29" t="e">
        <f t="shared" si="388"/>
        <v>#N/A</v>
      </c>
      <c r="BX224" s="29" t="e">
        <f t="shared" si="388"/>
        <v>#N/A</v>
      </c>
      <c r="BY224" s="29" t="e">
        <f t="shared" si="388"/>
        <v>#N/A</v>
      </c>
      <c r="BZ224" s="29" t="e">
        <f t="shared" si="388"/>
        <v>#N/A</v>
      </c>
      <c r="CA224" s="29" t="e">
        <f t="shared" si="388"/>
        <v>#N/A</v>
      </c>
      <c r="CB224" s="29" t="e">
        <f t="shared" si="388"/>
        <v>#N/A</v>
      </c>
      <c r="CC224" s="29" t="e">
        <f t="shared" si="388"/>
        <v>#N/A</v>
      </c>
      <c r="CD224" s="29" t="e">
        <f t="shared" si="388"/>
        <v>#N/A</v>
      </c>
      <c r="CE224" s="6" t="str">
        <f t="shared" si="352"/>
        <v/>
      </c>
      <c r="CF224" s="27" t="e">
        <f>IF(AND(CI224,NOT(AD224)),LOOKUP(CF$5,{0,750,1500},H224:J224),"")</f>
        <v>#N/A</v>
      </c>
      <c r="CG224" s="6" t="str">
        <f t="shared" si="353"/>
        <v/>
      </c>
      <c r="CH224" t="e">
        <f t="shared" ref="CH224" si="389">IF(CI224,IF(ISNUMBER(BO224),BO224,100000)+CV224/10000+IF(ISNUMBER(BJ224),BJ224,2)/10000-P224/100000+ROW()/10000000,"")</f>
        <v>#N/A</v>
      </c>
      <c r="CI224" t="e">
        <f t="shared" ref="CI224" si="390">PRODUCT(CJ224:CQ224)</f>
        <v>#N/A</v>
      </c>
      <c r="CJ224" s="6" t="e">
        <f t="shared" ref="CJ224" si="391">IF($E224=CJ$5,1,0)</f>
        <v>#N/A</v>
      </c>
      <c r="CK224" s="6">
        <f t="shared" ref="CK224" si="392">IF(CK$5="[Any]",1,IF($F224=CK$5,1,0))</f>
        <v>1</v>
      </c>
      <c r="CL224" s="6">
        <f t="shared" si="26"/>
        <v>1</v>
      </c>
      <c r="CM224" s="6">
        <f t="shared" ref="CM224" si="393">IF($O224="Fixed",1,0)</f>
        <v>1</v>
      </c>
      <c r="CN224" s="6">
        <f t="shared" ref="CN224" si="394">IF($Q224&gt;=CN$5,1,0)</f>
        <v>0</v>
      </c>
      <c r="CO224" s="6">
        <f t="shared" ref="CO224" si="395">IF($Q224&lt;=CO$5,1,0)</f>
        <v>1</v>
      </c>
      <c r="CP224" s="6">
        <f t="shared" ref="CP224" si="396">IF($P224&gt;=CP$5,1,0)</f>
        <v>1</v>
      </c>
      <c r="CQ224" s="6">
        <f t="shared" ref="CQ224" si="397">IF(CQ$5="Any",1,IF(AND(CQ$5="Med",AV224=0,SUM(AN224:AQ224)=0),1,IF(AND(CQ$5="Low",AV224=0,SUM(AN224:AQ224)=0,AM224=0),1,IF(AND(CQ$5="Flat",AV224=0,SUM(AN224:AQ224)=0,AM224=0,IFERROR(NOT(BE224="Y"),0)),1,0))))</f>
        <v>1</v>
      </c>
      <c r="CR224" s="81" t="str">
        <f t="shared" ref="CR224" si="398">IF(ISNUMBER($CH224),$CH224+$CS224+$CW224,"")</f>
        <v/>
      </c>
      <c r="CS224">
        <f t="shared" ref="CS224" si="399">CS$5*(12/(MIN(12,Q224))-1)</f>
        <v>54</v>
      </c>
      <c r="CT224">
        <f t="shared" si="19"/>
        <v>50</v>
      </c>
      <c r="CU224" t="str">
        <f t="shared" si="29"/>
        <v/>
      </c>
      <c r="CV224" s="81">
        <f t="shared" ref="CV224" si="400">CT224*IF(CU224="",1,Q224)</f>
        <v>50</v>
      </c>
      <c r="CW224" s="81">
        <f>(CV224/25)^1.5*(Calculator!$BU$4/10000)*CW$5</f>
        <v>7.3032986493698795</v>
      </c>
      <c r="CX224" t="str">
        <f t="shared" ref="CX224" si="401">"$"&amp;IF(LEFT(CU224,1)="r",CT224&amp;"/"&amp;CU224,CV224)</f>
        <v>$50</v>
      </c>
    </row>
    <row r="225" spans="2:102" x14ac:dyDescent="0.25">
      <c r="B225" s="115" t="s">
        <v>233</v>
      </c>
      <c r="C225" s="13">
        <v>46218.518055555556</v>
      </c>
      <c r="D225">
        <v>36760</v>
      </c>
      <c r="E225" s="54" t="s">
        <v>235</v>
      </c>
      <c r="F225" s="54" t="s">
        <v>594</v>
      </c>
      <c r="G225" s="54" t="s">
        <v>1751</v>
      </c>
      <c r="H225" s="55">
        <v>19.2</v>
      </c>
      <c r="I225" s="55">
        <v>18.899999999999999</v>
      </c>
      <c r="J225" s="55">
        <v>18.7</v>
      </c>
      <c r="K225" s="54"/>
      <c r="L225" s="56" t="b">
        <v>1</v>
      </c>
      <c r="M225" s="56" t="b">
        <v>0</v>
      </c>
      <c r="N225" s="54">
        <v>0</v>
      </c>
      <c r="O225" s="54" t="s">
        <v>238</v>
      </c>
      <c r="P225" s="54">
        <v>25</v>
      </c>
      <c r="Q225" s="54">
        <v>1</v>
      </c>
      <c r="R225" s="54">
        <v>25</v>
      </c>
      <c r="S225" s="54" t="s">
        <v>595</v>
      </c>
      <c r="T225" s="54"/>
      <c r="U225" s="54" t="s">
        <v>1588</v>
      </c>
      <c r="V225" s="54" t="s">
        <v>1589</v>
      </c>
      <c r="W225" s="54" t="b">
        <v>0</v>
      </c>
      <c r="X225" s="54"/>
      <c r="Y225" s="57" t="s">
        <v>1752</v>
      </c>
      <c r="Z225" s="54" t="s">
        <v>1753</v>
      </c>
      <c r="AA225" s="54" t="s">
        <v>1592</v>
      </c>
      <c r="AB225" s="54" t="s">
        <v>601</v>
      </c>
      <c r="AC225" s="56" t="b">
        <v>1</v>
      </c>
      <c r="AD225" s="56" t="b">
        <v>0</v>
      </c>
      <c r="AE225" s="54"/>
      <c r="AF225" s="58"/>
      <c r="AG225" s="62" t="s">
        <v>293</v>
      </c>
      <c r="AH225" s="54"/>
      <c r="AI225" s="54"/>
      <c r="AJ225" s="54"/>
      <c r="AK225" s="54"/>
      <c r="AL225" s="54"/>
      <c r="AM225" s="54">
        <v>0</v>
      </c>
      <c r="AN225" s="54"/>
      <c r="AO225" s="54"/>
      <c r="AP225" s="54"/>
      <c r="AQ225" s="54"/>
      <c r="AR225" s="54"/>
      <c r="AS225" s="54"/>
      <c r="AT225" s="54"/>
      <c r="AU225" s="54"/>
      <c r="AV225" s="54"/>
      <c r="AW225" s="54"/>
      <c r="AX225" s="59"/>
      <c r="AY225" s="59"/>
      <c r="AZ225" s="59"/>
      <c r="BA225" s="59"/>
      <c r="BB225" s="59"/>
      <c r="BC225" s="60"/>
      <c r="BD225" s="61"/>
      <c r="BE225" s="62"/>
      <c r="BF225" s="35">
        <f t="shared" ref="BF225:BG225" si="402">IF($E225=$E$4,BF$4,IF($E225=$E$5,BF$5,""))</f>
        <v>4.9000000000000004</v>
      </c>
      <c r="BG225" s="35">
        <f t="shared" si="402"/>
        <v>4.9811000000000001E-2</v>
      </c>
      <c r="BH225" s="35" t="str">
        <f t="shared" ref="BH225" si="403">IF(ISTEXT(BE225),IF(AND(AV225=0,SUM(AN225:AQ225)=0),IF(AM225&lt;=0,IF(BE225="Y","Low","Flat"),"Med"),"High"),"?")</f>
        <v>?</v>
      </c>
      <c r="BI225" s="110" t="str">
        <f t="shared" ref="BI225" si="404">IF(ISNUMBER(AH225),0*BI$5*SIN((EDATE($A$3,$Q225)-DATE(YEAR(EDATE($A$3,$Q225)),1,0)-BI$4)*2*PI()/365),"")</f>
        <v/>
      </c>
      <c r="BJ225" s="83" t="e">
        <f>VLOOKUP($F225,REP_Info!$D$6:$H$250,5,FALSE)</f>
        <v>#N/A</v>
      </c>
      <c r="BK225" s="30" t="e">
        <f t="shared" ref="BK225:BN225" si="405">IF(BK$7&gt;0,(LOOKUP(BK$7,$AH225:$AL225,$AM225:$AQ225)+IF($AG225="Y",SUMPRODUCT($AX225:$BB225-$AW225:$BA225,BK$7-$AR225:$AV225,N(BK$7&gt;$AR225:$AV225)),BK$7*LOOKUP(BK$7,$AR225:$AV225,$AX225:$BB225))+IF($BE225="Y",$BF225,$BC225)+BK$7*IF($BE225="Y",$BG225,$BD225))*100/BK$7,"")</f>
        <v>#N/A</v>
      </c>
      <c r="BL225" s="30" t="e">
        <f t="shared" si="405"/>
        <v>#N/A</v>
      </c>
      <c r="BM225" s="30" t="e">
        <f t="shared" si="405"/>
        <v>#N/A</v>
      </c>
      <c r="BN225" s="29" t="e">
        <f t="shared" si="405"/>
        <v>#N/A</v>
      </c>
      <c r="BO225" s="85" t="str">
        <f t="shared" si="2"/>
        <v>$$$</v>
      </c>
      <c r="BP225" s="88" t="str">
        <f t="shared" ref="BP225" si="406">IFERROR(BO225*100/BO$5,"$$$")</f>
        <v>$$$</v>
      </c>
      <c r="BQ225" s="88" t="str">
        <f t="shared" si="4"/>
        <v>$$$</v>
      </c>
      <c r="BR225" s="88" t="str">
        <f t="shared" si="5"/>
        <v>$$$</v>
      </c>
      <c r="BS225" s="29" t="e">
        <f t="shared" ref="BS225:CD225" si="407">IF($CI225,IF(BS$7&gt;0,IF(BS$4&gt;$Q225,$BF225+BS$7*(BS$5+$BG225+$BI225),LOOKUP(BS$7,$AH225:$AL225,$AM225:$AQ225)+IF($AG225="Y",SUMPRODUCT($AX225:$BB225-$AW225:$BA225,BS$7-$AR225:$AV225,N(BS$7&gt;$AR225:$AV225)),BS$7*LOOKUP(BS$7,$AR225:$AV225,$AX225:$BB225))+IF($BE225="Y",$BF225,$BC225)+BS$7*IF($BE225="Y",$BG225,$BD225))*100/BS$7,""),NA())</f>
        <v>#N/A</v>
      </c>
      <c r="BT225" s="29" t="e">
        <f t="shared" si="407"/>
        <v>#N/A</v>
      </c>
      <c r="BU225" s="29" t="e">
        <f t="shared" si="407"/>
        <v>#N/A</v>
      </c>
      <c r="BV225" s="29" t="e">
        <f t="shared" si="407"/>
        <v>#N/A</v>
      </c>
      <c r="BW225" s="29" t="e">
        <f t="shared" si="407"/>
        <v>#N/A</v>
      </c>
      <c r="BX225" s="29" t="e">
        <f t="shared" si="407"/>
        <v>#N/A</v>
      </c>
      <c r="BY225" s="29" t="e">
        <f t="shared" si="407"/>
        <v>#N/A</v>
      </c>
      <c r="BZ225" s="29" t="e">
        <f t="shared" si="407"/>
        <v>#N/A</v>
      </c>
      <c r="CA225" s="29" t="e">
        <f t="shared" si="407"/>
        <v>#N/A</v>
      </c>
      <c r="CB225" s="29" t="e">
        <f t="shared" si="407"/>
        <v>#N/A</v>
      </c>
      <c r="CC225" s="29" t="e">
        <f t="shared" si="407"/>
        <v>#N/A</v>
      </c>
      <c r="CD225" s="29" t="e">
        <f t="shared" si="407"/>
        <v>#N/A</v>
      </c>
      <c r="CE225" s="6" t="str">
        <f t="shared" si="352"/>
        <v/>
      </c>
      <c r="CF225" s="27" t="e">
        <f>IF(AND(CI225,NOT(AD225)),LOOKUP(CF$5,{0,750,1500},H225:J225),"")</f>
        <v>#N/A</v>
      </c>
      <c r="CG225" s="6" t="str">
        <f t="shared" si="353"/>
        <v/>
      </c>
      <c r="CH225" t="e">
        <f t="shared" ref="CH225" si="408">IF(CI225,IF(ISNUMBER(BO225),BO225,100000)+CV225/10000+IF(ISNUMBER(BJ225),BJ225,2)/10000-P225/100000+ROW()/10000000,"")</f>
        <v>#N/A</v>
      </c>
      <c r="CI225" t="e">
        <f t="shared" ref="CI225" si="409">PRODUCT(CJ225:CQ225)</f>
        <v>#N/A</v>
      </c>
      <c r="CJ225" s="6" t="e">
        <f t="shared" si="11"/>
        <v>#N/A</v>
      </c>
      <c r="CK225" s="6">
        <f t="shared" si="12"/>
        <v>1</v>
      </c>
      <c r="CL225" s="6">
        <f t="shared" si="26"/>
        <v>1</v>
      </c>
      <c r="CM225" s="6">
        <f t="shared" si="13"/>
        <v>0</v>
      </c>
      <c r="CN225" s="6">
        <f t="shared" si="14"/>
        <v>0</v>
      </c>
      <c r="CO225" s="6">
        <f t="shared" si="15"/>
        <v>1</v>
      </c>
      <c r="CP225" s="6">
        <f t="shared" si="16"/>
        <v>1</v>
      </c>
      <c r="CQ225" s="6">
        <f t="shared" ref="CQ225" si="410">IF(CQ$5="Any",1,IF(AND(CQ$5="Med",AV225=0,SUM(AN225:AQ225)=0),1,IF(AND(CQ$5="Low",AV225=0,SUM(AN225:AQ225)=0,AM225=0),1,IF(AND(CQ$5="Flat",AV225=0,SUM(AN225:AQ225)=0,AM225=0,IFERROR(NOT(BE225="Y"),0)),1,0))))</f>
        <v>1</v>
      </c>
      <c r="CR225" s="81" t="str">
        <f t="shared" si="17"/>
        <v/>
      </c>
      <c r="CS225">
        <f t="shared" ref="CS225" si="411">CS$5*(12/(MIN(12,Q225))-1)</f>
        <v>198</v>
      </c>
      <c r="CT225">
        <f t="shared" si="19"/>
        <v>25</v>
      </c>
      <c r="CU225" t="str">
        <f t="shared" si="29"/>
        <v/>
      </c>
      <c r="CV225" s="81">
        <f t="shared" ref="CV225" si="412">CT225*IF(CU225="",1,Q225)</f>
        <v>25</v>
      </c>
      <c r="CW225" s="81">
        <f>(CV225/25)^1.5*(Calculator!$BU$4/10000)*CW$5</f>
        <v>2.5821059999999978</v>
      </c>
      <c r="CX225" t="str">
        <f t="shared" ref="CX225" si="413">"$"&amp;IF(LEFT(CU225,1)="r",CT225&amp;"/"&amp;CU225,CV225)</f>
        <v>$25</v>
      </c>
    </row>
    <row r="226" spans="2:102" x14ac:dyDescent="0.25">
      <c r="B226" s="115" t="s">
        <v>233</v>
      </c>
      <c r="C226" s="13">
        <v>46242.178472222222</v>
      </c>
      <c r="D226">
        <v>29230</v>
      </c>
      <c r="E226" s="54" t="s">
        <v>237</v>
      </c>
      <c r="F226" s="54" t="s">
        <v>602</v>
      </c>
      <c r="G226" s="54" t="s">
        <v>1696</v>
      </c>
      <c r="H226" s="55">
        <v>15.299999999999999</v>
      </c>
      <c r="I226" s="55">
        <v>14.299999999999999</v>
      </c>
      <c r="J226" s="55">
        <v>13.900000000000002</v>
      </c>
      <c r="K226" s="54"/>
      <c r="L226" s="56" t="b">
        <v>0</v>
      </c>
      <c r="M226" s="56" t="b">
        <v>0</v>
      </c>
      <c r="N226" s="54">
        <v>1</v>
      </c>
      <c r="O226" s="54" t="s">
        <v>228</v>
      </c>
      <c r="P226" s="54">
        <v>6</v>
      </c>
      <c r="Q226" s="54">
        <v>48</v>
      </c>
      <c r="R226" s="54">
        <v>0</v>
      </c>
      <c r="S226" s="54" t="s">
        <v>1619</v>
      </c>
      <c r="T226" s="54" t="s">
        <v>1620</v>
      </c>
      <c r="U226" s="54" t="s">
        <v>1615</v>
      </c>
      <c r="V226" s="54" t="s">
        <v>1621</v>
      </c>
      <c r="W226" s="54" t="b">
        <v>0</v>
      </c>
      <c r="X226" s="54"/>
      <c r="Y226" s="57" t="s">
        <v>1931</v>
      </c>
      <c r="Z226" s="54" t="s">
        <v>1622</v>
      </c>
      <c r="AA226" s="54"/>
      <c r="AB226" s="54" t="s">
        <v>1623</v>
      </c>
      <c r="AC226" s="56" t="b">
        <v>0</v>
      </c>
      <c r="AD226" s="56" t="b">
        <v>0</v>
      </c>
      <c r="AE226" s="54" t="s">
        <v>302</v>
      </c>
      <c r="AF226" s="58">
        <v>46239</v>
      </c>
      <c r="AG226" s="62" t="s">
        <v>293</v>
      </c>
      <c r="AH226" s="54">
        <v>0</v>
      </c>
      <c r="AI226" s="54"/>
      <c r="AJ226" s="54"/>
      <c r="AK226" s="54"/>
      <c r="AL226" s="54"/>
      <c r="AM226" s="54">
        <v>4.95</v>
      </c>
      <c r="AN226" s="54"/>
      <c r="AO226" s="54"/>
      <c r="AP226" s="54"/>
      <c r="AQ226" s="54"/>
      <c r="AR226" s="54"/>
      <c r="AS226" s="54"/>
      <c r="AT226" s="54"/>
      <c r="AU226" s="54"/>
      <c r="AV226" s="54"/>
      <c r="AW226" s="54"/>
      <c r="AX226" s="59"/>
      <c r="AY226" s="59"/>
      <c r="AZ226" s="59"/>
      <c r="BA226" s="59"/>
      <c r="BB226" s="59">
        <v>7.4190000000000006E-2</v>
      </c>
      <c r="BC226" s="60"/>
      <c r="BD226" s="61"/>
      <c r="BE226" s="62" t="s">
        <v>293</v>
      </c>
      <c r="BF226" s="35">
        <f t="shared" ref="BF226:BG227" si="414">IF($E226=$E$4,BF$4,IF($E226=$E$5,BF$5,""))</f>
        <v>4.0600000000000005</v>
      </c>
      <c r="BG226" s="35">
        <f t="shared" si="414"/>
        <v>6.0295000000000001E-2</v>
      </c>
      <c r="BH226" s="35" t="str">
        <f t="shared" ref="BH226:BH227" si="415">IF(ISTEXT(BE226),IF(AND(AV226=0,SUM(AN226:AQ226)=0),IF(AM226&lt;=0,IF(BE226="Y","Low","Flat"),"Med"),"High"),"?")</f>
        <v>Med</v>
      </c>
      <c r="BI226" s="110">
        <f t="shared" ref="BI226:BI227" si="416">IF(ISNUMBER(AH226),0*BI$5*SIN((EDATE($A$3,$Q226)-DATE(YEAR(EDATE($A$3,$Q226)),1,0)-BI$4)*2*PI()/365),"")</f>
        <v>0</v>
      </c>
      <c r="BJ226" s="83">
        <f>VLOOKUP($F226,REP_Info!$D$6:$H$250,5,FALSE)</f>
        <v>1.694</v>
      </c>
      <c r="BK226" s="30">
        <f t="shared" ref="BK226:BN227" si="417">IF(BK$7&gt;0,(LOOKUP(BK$7,$AH226:$AL226,$AM226:$AQ226)+IF($AG226="Y",SUMPRODUCT($AX226:$BB226-$AW226:$BA226,BK$7-$AR226:$AV226,N(BK$7&gt;$AR226:$AV226)),BK$7*LOOKUP(BK$7,$AR226:$AV226,$AX226:$BB226))+IF($BE226="Y",$BF226,$BC226)+BK$7*IF($BE226="Y",$BG226,$BD226))*100/BK$7,"")</f>
        <v>15.250500000000002</v>
      </c>
      <c r="BL226" s="30">
        <f t="shared" si="417"/>
        <v>14.349500000000001</v>
      </c>
      <c r="BM226" s="30">
        <f t="shared" si="417"/>
        <v>13.898999999999999</v>
      </c>
      <c r="BN226" s="29">
        <f t="shared" si="417"/>
        <v>13.748833333333334</v>
      </c>
      <c r="BO226" s="85" t="str">
        <f t="shared" si="2"/>
        <v>$$$</v>
      </c>
      <c r="BP226" s="88" t="str">
        <f t="shared" ref="BP226:BP227" si="418">IFERROR(BO226*100/BO$5,"$$$")</f>
        <v>$$$</v>
      </c>
      <c r="BQ226" s="88" t="str">
        <f t="shared" si="4"/>
        <v>$$$</v>
      </c>
      <c r="BR226" s="88" t="str">
        <f t="shared" si="5"/>
        <v>$$$</v>
      </c>
      <c r="BS226" s="29" t="e">
        <f t="shared" ref="BS226:CD227" si="419">IF($CI226,IF(BS$7&gt;0,IF(BS$4&gt;$Q226,$BF226+BS$7*(BS$5+$BG226+$BI226),LOOKUP(BS$7,$AH226:$AL226,$AM226:$AQ226)+IF($AG226="Y",SUMPRODUCT($AX226:$BB226-$AW226:$BA226,BS$7-$AR226:$AV226,N(BS$7&gt;$AR226:$AV226)),BS$7*LOOKUP(BS$7,$AR226:$AV226,$AX226:$BB226))+IF($BE226="Y",$BF226,$BC226)+BS$7*IF($BE226="Y",$BG226,$BD226))*100/BS$7,""),NA())</f>
        <v>#N/A</v>
      </c>
      <c r="BT226" s="29" t="e">
        <f t="shared" si="419"/>
        <v>#N/A</v>
      </c>
      <c r="BU226" s="29" t="e">
        <f t="shared" si="419"/>
        <v>#N/A</v>
      </c>
      <c r="BV226" s="29" t="e">
        <f t="shared" si="419"/>
        <v>#N/A</v>
      </c>
      <c r="BW226" s="29" t="e">
        <f t="shared" si="419"/>
        <v>#N/A</v>
      </c>
      <c r="BX226" s="29" t="e">
        <f t="shared" si="419"/>
        <v>#N/A</v>
      </c>
      <c r="BY226" s="29" t="e">
        <f t="shared" si="419"/>
        <v>#N/A</v>
      </c>
      <c r="BZ226" s="29" t="e">
        <f t="shared" si="419"/>
        <v>#N/A</v>
      </c>
      <c r="CA226" s="29" t="e">
        <f t="shared" si="419"/>
        <v>#N/A</v>
      </c>
      <c r="CB226" s="29" t="e">
        <f t="shared" si="419"/>
        <v>#N/A</v>
      </c>
      <c r="CC226" s="29" t="e">
        <f t="shared" si="419"/>
        <v>#N/A</v>
      </c>
      <c r="CD226" s="29" t="e">
        <f t="shared" si="419"/>
        <v>#N/A</v>
      </c>
      <c r="CE226" s="6" t="str">
        <f t="shared" si="352"/>
        <v/>
      </c>
      <c r="CF226" s="27" t="e">
        <f>IF(AND(CI226,NOT(AD226)),LOOKUP(CF$5,{0,750,1500},H226:J226),"")</f>
        <v>#N/A</v>
      </c>
      <c r="CG226" s="6" t="str">
        <f t="shared" si="353"/>
        <v/>
      </c>
      <c r="CH226" t="e">
        <f t="shared" ref="CH226:CH227" si="420">IF(CI226,IF(ISNUMBER(BO226),BO226,100000)+CV226/10000+IF(ISNUMBER(BJ226),BJ226,2)/10000-P226/100000+ROW()/10000000,"")</f>
        <v>#N/A</v>
      </c>
      <c r="CI226" t="e">
        <f t="shared" ref="CI226:CI227" si="421">PRODUCT(CJ226:CQ226)</f>
        <v>#N/A</v>
      </c>
      <c r="CJ226" s="6" t="e">
        <f t="shared" si="11"/>
        <v>#N/A</v>
      </c>
      <c r="CK226" s="6">
        <f t="shared" si="12"/>
        <v>1</v>
      </c>
      <c r="CL226" s="6">
        <f t="shared" si="26"/>
        <v>1</v>
      </c>
      <c r="CM226" s="6">
        <f t="shared" si="13"/>
        <v>1</v>
      </c>
      <c r="CN226" s="6">
        <f t="shared" si="14"/>
        <v>1</v>
      </c>
      <c r="CO226" s="6">
        <f t="shared" si="15"/>
        <v>0</v>
      </c>
      <c r="CP226" s="6">
        <f t="shared" si="16"/>
        <v>1</v>
      </c>
      <c r="CQ226" s="6">
        <f t="shared" ref="CQ226:CQ227" si="422">IF(CQ$5="Any",1,IF(AND(CQ$5="Med",AV226=0,SUM(AN226:AQ226)=0),1,IF(AND(CQ$5="Low",AV226=0,SUM(AN226:AQ226)=0,AM226=0),1,IF(AND(CQ$5="Flat",AV226=0,SUM(AN226:AQ226)=0,AM226=0,IFERROR(NOT(BE226="Y"),0)),1,0))))</f>
        <v>1</v>
      </c>
      <c r="CR226" s="81" t="str">
        <f t="shared" si="17"/>
        <v/>
      </c>
      <c r="CS226">
        <f t="shared" ref="CS226:CS227" si="423">CS$5*(12/(MIN(12,Q226))-1)</f>
        <v>0</v>
      </c>
      <c r="CT226">
        <f t="shared" si="19"/>
        <v>0</v>
      </c>
      <c r="CU226" t="str">
        <f t="shared" si="29"/>
        <v/>
      </c>
      <c r="CV226" s="81">
        <f t="shared" ref="CV226:CV227" si="424">CT226*IF(CU226="",1,Q226)</f>
        <v>0</v>
      </c>
      <c r="CW226" s="81">
        <f>(CV226/25)^1.5*(Calculator!$BU$4/10000)*CW$5</f>
        <v>0</v>
      </c>
      <c r="CX226" t="str">
        <f t="shared" ref="CX226:CX227" si="425">"$"&amp;IF(LEFT(CU226,1)="r",CT226&amp;"/"&amp;CU226,CV226)</f>
        <v>$0</v>
      </c>
    </row>
    <row r="227" spans="2:102" x14ac:dyDescent="0.25">
      <c r="B227" s="115" t="s">
        <v>233</v>
      </c>
      <c r="C227" s="13">
        <v>46238.55972222222</v>
      </c>
      <c r="D227">
        <v>29255</v>
      </c>
      <c r="E227" s="54" t="s">
        <v>235</v>
      </c>
      <c r="F227" s="54" t="s">
        <v>602</v>
      </c>
      <c r="G227" s="54" t="s">
        <v>1696</v>
      </c>
      <c r="H227" s="55">
        <v>15.299999999999999</v>
      </c>
      <c r="I227" s="55">
        <v>14.299999999999999</v>
      </c>
      <c r="J227" s="55">
        <v>13.900000000000002</v>
      </c>
      <c r="K227" s="54"/>
      <c r="L227" s="56" t="b">
        <v>0</v>
      </c>
      <c r="M227" s="56" t="b">
        <v>0</v>
      </c>
      <c r="N227" s="54">
        <v>1</v>
      </c>
      <c r="O227" s="54" t="s">
        <v>228</v>
      </c>
      <c r="P227" s="54">
        <v>6</v>
      </c>
      <c r="Q227" s="54">
        <v>48</v>
      </c>
      <c r="R227" s="54">
        <v>0</v>
      </c>
      <c r="S227" s="54" t="s">
        <v>1619</v>
      </c>
      <c r="T227" s="54" t="s">
        <v>1620</v>
      </c>
      <c r="U227" s="54" t="s">
        <v>1615</v>
      </c>
      <c r="V227" s="54" t="s">
        <v>1621</v>
      </c>
      <c r="W227" s="54" t="b">
        <v>0</v>
      </c>
      <c r="X227" s="54"/>
      <c r="Y227" s="57" t="s">
        <v>1874</v>
      </c>
      <c r="Z227" s="54" t="s">
        <v>1622</v>
      </c>
      <c r="AA227" s="54"/>
      <c r="AB227" s="54" t="s">
        <v>1623</v>
      </c>
      <c r="AC227" s="56" t="b">
        <v>0</v>
      </c>
      <c r="AD227" s="56" t="b">
        <v>0</v>
      </c>
      <c r="AE227" s="54" t="s">
        <v>302</v>
      </c>
      <c r="AF227" s="58">
        <v>46238</v>
      </c>
      <c r="AG227" s="62" t="s">
        <v>293</v>
      </c>
      <c r="AH227" s="54">
        <v>0</v>
      </c>
      <c r="AI227" s="54"/>
      <c r="AJ227" s="54"/>
      <c r="AK227" s="54"/>
      <c r="AL227" s="54"/>
      <c r="AM227" s="54">
        <v>4.95</v>
      </c>
      <c r="AN227" s="54"/>
      <c r="AO227" s="54"/>
      <c r="AP227" s="54"/>
      <c r="AQ227" s="54"/>
      <c r="AR227" s="54"/>
      <c r="AS227" s="54"/>
      <c r="AT227" s="54"/>
      <c r="AU227" s="54"/>
      <c r="AV227" s="54"/>
      <c r="AW227" s="54"/>
      <c r="AX227" s="59"/>
      <c r="AY227" s="59"/>
      <c r="AZ227" s="59"/>
      <c r="BA227" s="59"/>
      <c r="BB227" s="59">
        <v>8.2183999999999993E-2</v>
      </c>
      <c r="BC227" s="60"/>
      <c r="BD227" s="61"/>
      <c r="BE227" s="62" t="s">
        <v>293</v>
      </c>
      <c r="BF227" s="35">
        <f t="shared" si="414"/>
        <v>4.9000000000000004</v>
      </c>
      <c r="BG227" s="35">
        <f t="shared" si="414"/>
        <v>4.9811000000000001E-2</v>
      </c>
      <c r="BH227" s="35" t="str">
        <f t="shared" si="415"/>
        <v>Med</v>
      </c>
      <c r="BI227" s="110">
        <f t="shared" si="416"/>
        <v>0</v>
      </c>
      <c r="BJ227" s="83">
        <f>VLOOKUP($F227,REP_Info!$D$6:$H$250,5,FALSE)</f>
        <v>1.694</v>
      </c>
      <c r="BK227" s="30">
        <f t="shared" si="417"/>
        <v>15.169499999999999</v>
      </c>
      <c r="BL227" s="30">
        <f t="shared" si="417"/>
        <v>14.1845</v>
      </c>
      <c r="BM227" s="30">
        <f t="shared" si="417"/>
        <v>13.691999999999998</v>
      </c>
      <c r="BN227" s="29">
        <f t="shared" si="417"/>
        <v>13.527833333333334</v>
      </c>
      <c r="BO227" s="85" t="str">
        <f t="shared" si="2"/>
        <v>$$$</v>
      </c>
      <c r="BP227" s="88" t="str">
        <f t="shared" si="418"/>
        <v>$$$</v>
      </c>
      <c r="BQ227" s="88" t="str">
        <f t="shared" si="4"/>
        <v>$$$</v>
      </c>
      <c r="BR227" s="88" t="str">
        <f t="shared" si="5"/>
        <v>$$$</v>
      </c>
      <c r="BS227" s="29" t="e">
        <f t="shared" si="419"/>
        <v>#N/A</v>
      </c>
      <c r="BT227" s="29" t="e">
        <f t="shared" si="419"/>
        <v>#N/A</v>
      </c>
      <c r="BU227" s="29" t="e">
        <f t="shared" si="419"/>
        <v>#N/A</v>
      </c>
      <c r="BV227" s="29" t="e">
        <f t="shared" si="419"/>
        <v>#N/A</v>
      </c>
      <c r="BW227" s="29" t="e">
        <f t="shared" si="419"/>
        <v>#N/A</v>
      </c>
      <c r="BX227" s="29" t="e">
        <f t="shared" si="419"/>
        <v>#N/A</v>
      </c>
      <c r="BY227" s="29" t="e">
        <f t="shared" si="419"/>
        <v>#N/A</v>
      </c>
      <c r="BZ227" s="29" t="e">
        <f t="shared" si="419"/>
        <v>#N/A</v>
      </c>
      <c r="CA227" s="29" t="e">
        <f t="shared" si="419"/>
        <v>#N/A</v>
      </c>
      <c r="CB227" s="29" t="e">
        <f t="shared" si="419"/>
        <v>#N/A</v>
      </c>
      <c r="CC227" s="29" t="e">
        <f t="shared" si="419"/>
        <v>#N/A</v>
      </c>
      <c r="CD227" s="29" t="e">
        <f t="shared" si="419"/>
        <v>#N/A</v>
      </c>
      <c r="CE227" s="6" t="str">
        <f t="shared" si="352"/>
        <v/>
      </c>
      <c r="CF227" s="27" t="e">
        <f>IF(AND(CI227,NOT(AD227)),LOOKUP(CF$5,{0,750,1500},H227:J227),"")</f>
        <v>#N/A</v>
      </c>
      <c r="CG227" s="6" t="str">
        <f t="shared" si="353"/>
        <v/>
      </c>
      <c r="CH227" t="e">
        <f t="shared" si="420"/>
        <v>#N/A</v>
      </c>
      <c r="CI227" t="e">
        <f t="shared" si="421"/>
        <v>#N/A</v>
      </c>
      <c r="CJ227" s="6" t="e">
        <f t="shared" si="11"/>
        <v>#N/A</v>
      </c>
      <c r="CK227" s="6">
        <f t="shared" si="12"/>
        <v>1</v>
      </c>
      <c r="CL227" s="6">
        <f t="shared" si="26"/>
        <v>1</v>
      </c>
      <c r="CM227" s="6">
        <f t="shared" si="13"/>
        <v>1</v>
      </c>
      <c r="CN227" s="6">
        <f t="shared" si="14"/>
        <v>1</v>
      </c>
      <c r="CO227" s="6">
        <f t="shared" si="15"/>
        <v>0</v>
      </c>
      <c r="CP227" s="6">
        <f t="shared" si="16"/>
        <v>1</v>
      </c>
      <c r="CQ227" s="6">
        <f t="shared" si="422"/>
        <v>1</v>
      </c>
      <c r="CR227" s="81" t="str">
        <f t="shared" si="17"/>
        <v/>
      </c>
      <c r="CS227">
        <f t="shared" si="423"/>
        <v>0</v>
      </c>
      <c r="CT227">
        <f t="shared" si="19"/>
        <v>0</v>
      </c>
      <c r="CU227" t="str">
        <f t="shared" si="29"/>
        <v/>
      </c>
      <c r="CV227" s="81">
        <f t="shared" si="424"/>
        <v>0</v>
      </c>
      <c r="CW227" s="81">
        <f>(CV227/25)^1.5*(Calculator!$BU$4/10000)*CW$5</f>
        <v>0</v>
      </c>
      <c r="CX227" t="str">
        <f t="shared" si="425"/>
        <v>$0</v>
      </c>
    </row>
    <row r="228" spans="2:102" x14ac:dyDescent="0.25">
      <c r="B228" s="115" t="s">
        <v>233</v>
      </c>
      <c r="C228" s="13">
        <v>46254.637499999997</v>
      </c>
      <c r="D228">
        <v>29265</v>
      </c>
      <c r="E228" s="54" t="s">
        <v>237</v>
      </c>
      <c r="F228" s="54" t="s">
        <v>602</v>
      </c>
      <c r="G228" s="54" t="s">
        <v>1779</v>
      </c>
      <c r="H228" s="55">
        <v>12.4</v>
      </c>
      <c r="I228" s="55">
        <v>11.5</v>
      </c>
      <c r="J228" s="55">
        <v>11</v>
      </c>
      <c r="K228" s="54"/>
      <c r="L228" s="56" t="b">
        <v>0</v>
      </c>
      <c r="M228" s="56" t="b">
        <v>0</v>
      </c>
      <c r="N228" s="54">
        <v>1</v>
      </c>
      <c r="O228" s="54" t="s">
        <v>228</v>
      </c>
      <c r="P228" s="54">
        <v>6</v>
      </c>
      <c r="Q228" s="54">
        <v>10</v>
      </c>
      <c r="R228" s="54">
        <v>179</v>
      </c>
      <c r="S228" s="54" t="s">
        <v>1624</v>
      </c>
      <c r="T228" s="54"/>
      <c r="U228" s="54" t="s">
        <v>1615</v>
      </c>
      <c r="V228" s="54" t="s">
        <v>1621</v>
      </c>
      <c r="W228" s="54" t="b">
        <v>0</v>
      </c>
      <c r="X228" s="54"/>
      <c r="Y228" s="57" t="s">
        <v>2285</v>
      </c>
      <c r="Z228" s="54" t="s">
        <v>1622</v>
      </c>
      <c r="AA228" s="54"/>
      <c r="AB228" s="54" t="s">
        <v>1623</v>
      </c>
      <c r="AC228" s="56" t="b">
        <v>0</v>
      </c>
      <c r="AD228" s="56" t="b">
        <v>0</v>
      </c>
      <c r="AE228" s="54" t="s">
        <v>302</v>
      </c>
      <c r="AF228" s="58">
        <v>46254</v>
      </c>
      <c r="AG228" s="62" t="s">
        <v>293</v>
      </c>
      <c r="AH228" s="54">
        <v>0</v>
      </c>
      <c r="AI228" s="54"/>
      <c r="AJ228" s="54"/>
      <c r="AK228" s="54"/>
      <c r="AL228" s="54"/>
      <c r="AM228" s="54">
        <v>4.95</v>
      </c>
      <c r="AN228" s="54"/>
      <c r="AO228" s="54"/>
      <c r="AP228" s="54"/>
      <c r="AQ228" s="54"/>
      <c r="AR228" s="54"/>
      <c r="AS228" s="54"/>
      <c r="AT228" s="54"/>
      <c r="AU228" s="54"/>
      <c r="AV228" s="54"/>
      <c r="AW228" s="54"/>
      <c r="AX228" s="59"/>
      <c r="AY228" s="59"/>
      <c r="AZ228" s="59"/>
      <c r="BA228" s="59"/>
      <c r="BB228" s="59">
        <v>4.5266000000000001E-2</v>
      </c>
      <c r="BC228" s="60"/>
      <c r="BD228" s="61"/>
      <c r="BE228" s="62" t="s">
        <v>293</v>
      </c>
      <c r="BF228" s="35">
        <f t="shared" ref="BF228:BG228" si="426">IF($E228=$E$4,BF$4,IF($E228=$E$5,BF$5,""))</f>
        <v>4.0600000000000005</v>
      </c>
      <c r="BG228" s="35">
        <f t="shared" si="426"/>
        <v>6.0295000000000001E-2</v>
      </c>
      <c r="BH228" s="35" t="str">
        <f t="shared" ref="BH228" si="427">IF(ISTEXT(BE228),IF(AND(AV228=0,SUM(AN228:AQ228)=0),IF(AM228&lt;=0,IF(BE228="Y","Low","Flat"),"Med"),"High"),"?")</f>
        <v>Med</v>
      </c>
      <c r="BI228" s="110">
        <f t="shared" ref="BI228" si="428">IF(ISNUMBER(AH228),0*BI$5*SIN((EDATE($A$3,$Q228)-DATE(YEAR(EDATE($A$3,$Q228)),1,0)-BI$4)*2*PI()/365),"")</f>
        <v>0</v>
      </c>
      <c r="BJ228" s="83">
        <f>VLOOKUP($F228,REP_Info!$D$6:$H$250,5,FALSE)</f>
        <v>1.694</v>
      </c>
      <c r="BK228" s="30">
        <f t="shared" ref="BK228:BN228" si="429">IF(BK$7&gt;0,(LOOKUP(BK$7,$AH228:$AL228,$AM228:$AQ228)+IF($AG228="Y",SUMPRODUCT($AX228:$BB228-$AW228:$BA228,BK$7-$AR228:$AV228,N(BK$7&gt;$AR228:$AV228)),BK$7*LOOKUP(BK$7,$AR228:$AV228,$AX228:$BB228))+IF($BE228="Y",$BF228,$BC228)+BK$7*IF($BE228="Y",$BG228,$BD228))*100/BK$7,"")</f>
        <v>12.3581</v>
      </c>
      <c r="BL228" s="30">
        <f t="shared" si="429"/>
        <v>11.457100000000001</v>
      </c>
      <c r="BM228" s="30">
        <f t="shared" si="429"/>
        <v>11.006600000000001</v>
      </c>
      <c r="BN228" s="29">
        <f t="shared" si="429"/>
        <v>10.856433333333333</v>
      </c>
      <c r="BO228" s="85" t="str">
        <f t="shared" si="2"/>
        <v>$$$</v>
      </c>
      <c r="BP228" s="88" t="str">
        <f t="shared" ref="BP228" si="430">IFERROR(BO228*100/BO$5,"$$$")</f>
        <v>$$$</v>
      </c>
      <c r="BQ228" s="88" t="str">
        <f t="shared" si="4"/>
        <v>$$$</v>
      </c>
      <c r="BR228" s="88" t="str">
        <f t="shared" si="5"/>
        <v>$$$</v>
      </c>
      <c r="BS228" s="29" t="e">
        <f t="shared" ref="BS228:CD228" si="431">IF($CI228,IF(BS$7&gt;0,IF(BS$4&gt;$Q228,$BF228+BS$7*(BS$5+$BG228+$BI228),LOOKUP(BS$7,$AH228:$AL228,$AM228:$AQ228)+IF($AG228="Y",SUMPRODUCT($AX228:$BB228-$AW228:$BA228,BS$7-$AR228:$AV228,N(BS$7&gt;$AR228:$AV228)),BS$7*LOOKUP(BS$7,$AR228:$AV228,$AX228:$BB228))+IF($BE228="Y",$BF228,$BC228)+BS$7*IF($BE228="Y",$BG228,$BD228))*100/BS$7,""),NA())</f>
        <v>#N/A</v>
      </c>
      <c r="BT228" s="29" t="e">
        <f t="shared" si="431"/>
        <v>#N/A</v>
      </c>
      <c r="BU228" s="29" t="e">
        <f t="shared" si="431"/>
        <v>#N/A</v>
      </c>
      <c r="BV228" s="29" t="e">
        <f t="shared" si="431"/>
        <v>#N/A</v>
      </c>
      <c r="BW228" s="29" t="e">
        <f t="shared" si="431"/>
        <v>#N/A</v>
      </c>
      <c r="BX228" s="29" t="e">
        <f t="shared" si="431"/>
        <v>#N/A</v>
      </c>
      <c r="BY228" s="29" t="e">
        <f t="shared" si="431"/>
        <v>#N/A</v>
      </c>
      <c r="BZ228" s="29" t="e">
        <f t="shared" si="431"/>
        <v>#N/A</v>
      </c>
      <c r="CA228" s="29" t="e">
        <f t="shared" si="431"/>
        <v>#N/A</v>
      </c>
      <c r="CB228" s="29" t="e">
        <f t="shared" si="431"/>
        <v>#N/A</v>
      </c>
      <c r="CC228" s="29" t="e">
        <f t="shared" si="431"/>
        <v>#N/A</v>
      </c>
      <c r="CD228" s="29" t="e">
        <f t="shared" si="431"/>
        <v>#N/A</v>
      </c>
      <c r="CE228" s="6" t="str">
        <f t="shared" si="352"/>
        <v/>
      </c>
      <c r="CF228" s="27" t="e">
        <f>IF(AND(CI228,NOT(AD228)),LOOKUP(CF$5,{0,750,1500},H228:J228),"")</f>
        <v>#N/A</v>
      </c>
      <c r="CG228" s="6" t="str">
        <f t="shared" si="353"/>
        <v/>
      </c>
      <c r="CH228" t="e">
        <f t="shared" ref="CH228" si="432">IF(CI228,IF(ISNUMBER(BO228),BO228,100000)+CV228/10000+IF(ISNUMBER(BJ228),BJ228,2)/10000-P228/100000+ROW()/10000000,"")</f>
        <v>#N/A</v>
      </c>
      <c r="CI228" t="e">
        <f t="shared" ref="CI228" si="433">PRODUCT(CJ228:CQ228)</f>
        <v>#N/A</v>
      </c>
      <c r="CJ228" s="6" t="e">
        <f t="shared" si="11"/>
        <v>#N/A</v>
      </c>
      <c r="CK228" s="6">
        <f t="shared" si="12"/>
        <v>1</v>
      </c>
      <c r="CL228" s="6">
        <f t="shared" si="26"/>
        <v>1</v>
      </c>
      <c r="CM228" s="6">
        <f t="shared" si="13"/>
        <v>1</v>
      </c>
      <c r="CN228" s="6">
        <f t="shared" si="14"/>
        <v>0</v>
      </c>
      <c r="CO228" s="6">
        <f t="shared" si="15"/>
        <v>1</v>
      </c>
      <c r="CP228" s="6">
        <f t="shared" si="16"/>
        <v>1</v>
      </c>
      <c r="CQ228" s="6">
        <f t="shared" ref="CQ228" si="434">IF(CQ$5="Any",1,IF(AND(CQ$5="Med",AV228=0,SUM(AN228:AQ228)=0),1,IF(AND(CQ$5="Low",AV228=0,SUM(AN228:AQ228)=0,AM228=0),1,IF(AND(CQ$5="Flat",AV228=0,SUM(AN228:AQ228)=0,AM228=0,IFERROR(NOT(BE228="Y"),0)),1,0))))</f>
        <v>1</v>
      </c>
      <c r="CR228" s="81" t="str">
        <f t="shared" si="17"/>
        <v/>
      </c>
      <c r="CS228">
        <f t="shared" ref="CS228" si="435">CS$5*(12/(MIN(12,Q228))-1)</f>
        <v>3.5999999999999992</v>
      </c>
      <c r="CT228">
        <f t="shared" si="19"/>
        <v>179</v>
      </c>
      <c r="CU228" t="str">
        <f t="shared" si="29"/>
        <v/>
      </c>
      <c r="CV228" s="81">
        <f t="shared" ref="CV228" si="436">CT228*IF(CU228="",1,Q228)</f>
        <v>179</v>
      </c>
      <c r="CW228" s="81">
        <f>(CV228/25)^1.5*(Calculator!$BU$4/10000)*CW$5</f>
        <v>49.47019250040988</v>
      </c>
      <c r="CX228" t="str">
        <f t="shared" ref="CX228" si="437">"$"&amp;IF(LEFT(CU228,1)="r",CT228&amp;"/"&amp;CU228,CV228)</f>
        <v>$179</v>
      </c>
    </row>
    <row r="229" spans="2:102" x14ac:dyDescent="0.25">
      <c r="B229" s="115" t="s">
        <v>233</v>
      </c>
      <c r="C229" s="13">
        <v>46254.637499999997</v>
      </c>
      <c r="D229">
        <v>29268</v>
      </c>
      <c r="E229" s="54" t="s">
        <v>235</v>
      </c>
      <c r="F229" s="54" t="s">
        <v>602</v>
      </c>
      <c r="G229" s="54" t="s">
        <v>1779</v>
      </c>
      <c r="H229" s="55">
        <v>11.700000000000001</v>
      </c>
      <c r="I229" s="55">
        <v>10.7</v>
      </c>
      <c r="J229" s="55">
        <v>10.199999999999999</v>
      </c>
      <c r="K229" s="54"/>
      <c r="L229" s="56" t="b">
        <v>0</v>
      </c>
      <c r="M229" s="56" t="b">
        <v>0</v>
      </c>
      <c r="N229" s="54">
        <v>1</v>
      </c>
      <c r="O229" s="54" t="s">
        <v>228</v>
      </c>
      <c r="P229" s="54">
        <v>6</v>
      </c>
      <c r="Q229" s="54">
        <v>10</v>
      </c>
      <c r="R229" s="54">
        <v>179</v>
      </c>
      <c r="S229" s="54" t="s">
        <v>1619</v>
      </c>
      <c r="T229" s="54"/>
      <c r="U229" s="54" t="s">
        <v>1615</v>
      </c>
      <c r="V229" s="54" t="s">
        <v>1621</v>
      </c>
      <c r="W229" s="54" t="b">
        <v>0</v>
      </c>
      <c r="X229" s="54"/>
      <c r="Y229" s="57" t="s">
        <v>2286</v>
      </c>
      <c r="Z229" s="54" t="s">
        <v>1622</v>
      </c>
      <c r="AA229" s="54"/>
      <c r="AB229" s="54" t="s">
        <v>1623</v>
      </c>
      <c r="AC229" s="56" t="b">
        <v>0</v>
      </c>
      <c r="AD229" s="56" t="b">
        <v>0</v>
      </c>
      <c r="AE229" s="54" t="s">
        <v>302</v>
      </c>
      <c r="AF229" s="58">
        <v>46254</v>
      </c>
      <c r="AG229" s="62" t="s">
        <v>293</v>
      </c>
      <c r="AH229" s="54">
        <v>0</v>
      </c>
      <c r="AI229" s="54"/>
      <c r="AJ229" s="54"/>
      <c r="AK229" s="54"/>
      <c r="AL229" s="54"/>
      <c r="AM229" s="54">
        <v>4.95</v>
      </c>
      <c r="AN229" s="54"/>
      <c r="AO229" s="54"/>
      <c r="AP229" s="54"/>
      <c r="AQ229" s="54"/>
      <c r="AR229" s="54"/>
      <c r="AS229" s="54"/>
      <c r="AT229" s="54"/>
      <c r="AU229" s="54"/>
      <c r="AV229" s="54"/>
      <c r="AW229" s="54"/>
      <c r="AX229" s="59"/>
      <c r="AY229" s="59"/>
      <c r="AZ229" s="59"/>
      <c r="BA229" s="59"/>
      <c r="BB229" s="59">
        <v>4.5413000000000002E-2</v>
      </c>
      <c r="BC229" s="60"/>
      <c r="BD229" s="61"/>
      <c r="BE229" s="62" t="s">
        <v>293</v>
      </c>
      <c r="BF229" s="35">
        <f t="shared" ref="BF229:BG229" si="438">IF($E229=$E$4,BF$4,IF($E229=$E$5,BF$5,""))</f>
        <v>4.9000000000000004</v>
      </c>
      <c r="BG229" s="35">
        <f t="shared" si="438"/>
        <v>4.9811000000000001E-2</v>
      </c>
      <c r="BH229" s="35" t="str">
        <f t="shared" ref="BH229" si="439">IF(ISTEXT(BE229),IF(AND(AV229=0,SUM(AN229:AQ229)=0),IF(AM229&lt;=0,IF(BE229="Y","Low","Flat"),"Med"),"High"),"?")</f>
        <v>Med</v>
      </c>
      <c r="BI229" s="110">
        <f t="shared" ref="BI229" si="440">IF(ISNUMBER(AH229),0*BI$5*SIN((EDATE($A$3,$Q229)-DATE(YEAR(EDATE($A$3,$Q229)),1,0)-BI$4)*2*PI()/365),"")</f>
        <v>0</v>
      </c>
      <c r="BJ229" s="83">
        <f>VLOOKUP($F229,REP_Info!$D$6:$H$250,5,FALSE)</f>
        <v>1.694</v>
      </c>
      <c r="BK229" s="30">
        <f t="shared" ref="BK229:BN229" si="441">IF(BK$7&gt;0,(LOOKUP(BK$7,$AH229:$AL229,$AM229:$AQ229)+IF($AG229="Y",SUMPRODUCT($AX229:$BB229-$AW229:$BA229,BK$7-$AR229:$AV229,N(BK$7&gt;$AR229:$AV229)),BK$7*LOOKUP(BK$7,$AR229:$AV229,$AX229:$BB229))+IF($BE229="Y",$BF229,$BC229)+BK$7*IF($BE229="Y",$BG229,$BD229))*100/BK$7,"")</f>
        <v>11.492400000000002</v>
      </c>
      <c r="BL229" s="30">
        <f t="shared" si="441"/>
        <v>10.507400000000002</v>
      </c>
      <c r="BM229" s="30">
        <f t="shared" si="441"/>
        <v>10.014899999999999</v>
      </c>
      <c r="BN229" s="29">
        <f t="shared" si="441"/>
        <v>9.8507333333333342</v>
      </c>
      <c r="BO229" s="85" t="str">
        <f t="shared" si="2"/>
        <v>$$$</v>
      </c>
      <c r="BP229" s="88" t="str">
        <f t="shared" ref="BP229" si="442">IFERROR(BO229*100/BO$5,"$$$")</f>
        <v>$$$</v>
      </c>
      <c r="BQ229" s="88" t="str">
        <f t="shared" si="4"/>
        <v>$$$</v>
      </c>
      <c r="BR229" s="88" t="str">
        <f t="shared" si="5"/>
        <v>$$$</v>
      </c>
      <c r="BS229" s="29" t="e">
        <f t="shared" ref="BS229:CD229" si="443">IF($CI229,IF(BS$7&gt;0,IF(BS$4&gt;$Q229,$BF229+BS$7*(BS$5+$BG229+$BI229),LOOKUP(BS$7,$AH229:$AL229,$AM229:$AQ229)+IF($AG229="Y",SUMPRODUCT($AX229:$BB229-$AW229:$BA229,BS$7-$AR229:$AV229,N(BS$7&gt;$AR229:$AV229)),BS$7*LOOKUP(BS$7,$AR229:$AV229,$AX229:$BB229))+IF($BE229="Y",$BF229,$BC229)+BS$7*IF($BE229="Y",$BG229,$BD229))*100/BS$7,""),NA())</f>
        <v>#N/A</v>
      </c>
      <c r="BT229" s="29" t="e">
        <f t="shared" si="443"/>
        <v>#N/A</v>
      </c>
      <c r="BU229" s="29" t="e">
        <f t="shared" si="443"/>
        <v>#N/A</v>
      </c>
      <c r="BV229" s="29" t="e">
        <f t="shared" si="443"/>
        <v>#N/A</v>
      </c>
      <c r="BW229" s="29" t="e">
        <f t="shared" si="443"/>
        <v>#N/A</v>
      </c>
      <c r="BX229" s="29" t="e">
        <f t="shared" si="443"/>
        <v>#N/A</v>
      </c>
      <c r="BY229" s="29" t="e">
        <f t="shared" si="443"/>
        <v>#N/A</v>
      </c>
      <c r="BZ229" s="29" t="e">
        <f t="shared" si="443"/>
        <v>#N/A</v>
      </c>
      <c r="CA229" s="29" t="e">
        <f t="shared" si="443"/>
        <v>#N/A</v>
      </c>
      <c r="CB229" s="29" t="e">
        <f t="shared" si="443"/>
        <v>#N/A</v>
      </c>
      <c r="CC229" s="29" t="e">
        <f t="shared" si="443"/>
        <v>#N/A</v>
      </c>
      <c r="CD229" s="29" t="e">
        <f t="shared" si="443"/>
        <v>#N/A</v>
      </c>
      <c r="CE229" s="6" t="str">
        <f t="shared" si="352"/>
        <v/>
      </c>
      <c r="CF229" s="27" t="e">
        <f>IF(AND(CI229,NOT(AD229)),LOOKUP(CF$5,{0,750,1500},H229:J229),"")</f>
        <v>#N/A</v>
      </c>
      <c r="CG229" s="6" t="str">
        <f t="shared" si="353"/>
        <v/>
      </c>
      <c r="CH229" t="e">
        <f t="shared" ref="CH229" si="444">IF(CI229,IF(ISNUMBER(BO229),BO229,100000)+CV229/10000+IF(ISNUMBER(BJ229),BJ229,2)/10000-P229/100000+ROW()/10000000,"")</f>
        <v>#N/A</v>
      </c>
      <c r="CI229" t="e">
        <f t="shared" ref="CI229" si="445">PRODUCT(CJ229:CQ229)</f>
        <v>#N/A</v>
      </c>
      <c r="CJ229" s="6" t="e">
        <f t="shared" si="11"/>
        <v>#N/A</v>
      </c>
      <c r="CK229" s="6">
        <f t="shared" si="12"/>
        <v>1</v>
      </c>
      <c r="CL229" s="6">
        <f t="shared" si="26"/>
        <v>1</v>
      </c>
      <c r="CM229" s="6">
        <f t="shared" si="13"/>
        <v>1</v>
      </c>
      <c r="CN229" s="6">
        <f t="shared" si="14"/>
        <v>0</v>
      </c>
      <c r="CO229" s="6">
        <f t="shared" si="15"/>
        <v>1</v>
      </c>
      <c r="CP229" s="6">
        <f t="shared" si="16"/>
        <v>1</v>
      </c>
      <c r="CQ229" s="6">
        <f t="shared" ref="CQ229" si="446">IF(CQ$5="Any",1,IF(AND(CQ$5="Med",AV229=0,SUM(AN229:AQ229)=0),1,IF(AND(CQ$5="Low",AV229=0,SUM(AN229:AQ229)=0,AM229=0),1,IF(AND(CQ$5="Flat",AV229=0,SUM(AN229:AQ229)=0,AM229=0,IFERROR(NOT(BE229="Y"),0)),1,0))))</f>
        <v>1</v>
      </c>
      <c r="CR229" s="81" t="str">
        <f t="shared" si="17"/>
        <v/>
      </c>
      <c r="CS229">
        <f t="shared" ref="CS229" si="447">CS$5*(12/(MIN(12,Q229))-1)</f>
        <v>3.5999999999999992</v>
      </c>
      <c r="CT229">
        <f t="shared" si="19"/>
        <v>179</v>
      </c>
      <c r="CU229" t="str">
        <f t="shared" si="29"/>
        <v/>
      </c>
      <c r="CV229" s="81">
        <f t="shared" ref="CV229" si="448">CT229*IF(CU229="",1,Q229)</f>
        <v>179</v>
      </c>
      <c r="CW229" s="81">
        <f>(CV229/25)^1.5*(Calculator!$BU$4/10000)*CW$5</f>
        <v>49.47019250040988</v>
      </c>
      <c r="CX229" t="str">
        <f t="shared" ref="CX229" si="449">"$"&amp;IF(LEFT(CU229,1)="r",CT229&amp;"/"&amp;CU229,CV229)</f>
        <v>$179</v>
      </c>
    </row>
    <row r="230" spans="2:102" x14ac:dyDescent="0.25">
      <c r="B230" s="115" t="s">
        <v>233</v>
      </c>
      <c r="C230" s="13">
        <v>46248.413194444445</v>
      </c>
      <c r="D230">
        <v>29272</v>
      </c>
      <c r="E230" s="54" t="s">
        <v>237</v>
      </c>
      <c r="F230" s="54" t="s">
        <v>602</v>
      </c>
      <c r="G230" s="54" t="s">
        <v>2077</v>
      </c>
      <c r="H230" s="55">
        <v>11.700000000000001</v>
      </c>
      <c r="I230" s="55">
        <v>10.7</v>
      </c>
      <c r="J230" s="55">
        <v>10.299999999999999</v>
      </c>
      <c r="K230" s="54"/>
      <c r="L230" s="56" t="b">
        <v>0</v>
      </c>
      <c r="M230" s="56" t="b">
        <v>0</v>
      </c>
      <c r="N230" s="54">
        <v>1</v>
      </c>
      <c r="O230" s="54" t="s">
        <v>228</v>
      </c>
      <c r="P230" s="54">
        <v>6</v>
      </c>
      <c r="Q230" s="54">
        <v>3</v>
      </c>
      <c r="R230" s="54">
        <v>179</v>
      </c>
      <c r="S230" s="54" t="s">
        <v>1619</v>
      </c>
      <c r="T230" s="54"/>
      <c r="U230" s="54" t="s">
        <v>1615</v>
      </c>
      <c r="V230" s="54" t="s">
        <v>1621</v>
      </c>
      <c r="W230" s="54" t="b">
        <v>0</v>
      </c>
      <c r="X230" s="54"/>
      <c r="Y230" s="57" t="s">
        <v>2078</v>
      </c>
      <c r="Z230" s="54" t="s">
        <v>1622</v>
      </c>
      <c r="AA230" s="54"/>
      <c r="AB230" s="54" t="s">
        <v>1623</v>
      </c>
      <c r="AC230" s="56" t="b">
        <v>1</v>
      </c>
      <c r="AD230" s="56" t="b">
        <v>0</v>
      </c>
      <c r="AE230" s="54" t="s">
        <v>302</v>
      </c>
      <c r="AF230" s="58">
        <v>46247</v>
      </c>
      <c r="AG230" s="62" t="s">
        <v>293</v>
      </c>
      <c r="AH230" s="54">
        <v>0</v>
      </c>
      <c r="AI230" s="54"/>
      <c r="AJ230" s="54"/>
      <c r="AK230" s="54"/>
      <c r="AL230" s="54"/>
      <c r="AM230" s="54">
        <v>4.95</v>
      </c>
      <c r="AN230" s="54"/>
      <c r="AO230" s="54"/>
      <c r="AP230" s="54"/>
      <c r="AQ230" s="54"/>
      <c r="AR230" s="54"/>
      <c r="AS230" s="54"/>
      <c r="AT230" s="54"/>
      <c r="AU230" s="54"/>
      <c r="AV230" s="54"/>
      <c r="AW230" s="54"/>
      <c r="AX230" s="59"/>
      <c r="AY230" s="59"/>
      <c r="AZ230" s="59"/>
      <c r="BA230" s="59"/>
      <c r="BB230" s="59">
        <v>3.8190000000000002E-2</v>
      </c>
      <c r="BC230" s="60"/>
      <c r="BD230" s="61"/>
      <c r="BE230" s="62" t="s">
        <v>293</v>
      </c>
      <c r="BF230" s="35">
        <f t="shared" ref="BF230:BG232" si="450">IF($E230=$E$4,BF$4,IF($E230=$E$5,BF$5,""))</f>
        <v>4.0600000000000005</v>
      </c>
      <c r="BG230" s="35">
        <f t="shared" si="450"/>
        <v>6.0295000000000001E-2</v>
      </c>
      <c r="BH230" s="35" t="str">
        <f t="shared" ref="BH230:BH232" si="451">IF(ISTEXT(BE230),IF(AND(AV230=0,SUM(AN230:AQ230)=0),IF(AM230&lt;=0,IF(BE230="Y","Low","Flat"),"Med"),"High"),"?")</f>
        <v>Med</v>
      </c>
      <c r="BI230" s="110">
        <f t="shared" ref="BI230:BI232" si="452">IF(ISNUMBER(AH230),0*BI$5*SIN((EDATE($A$3,$Q230)-DATE(YEAR(EDATE($A$3,$Q230)),1,0)-BI$4)*2*PI()/365),"")</f>
        <v>0</v>
      </c>
      <c r="BJ230" s="83">
        <f>VLOOKUP($F230,REP_Info!$D$6:$H$250,5,FALSE)</f>
        <v>1.694</v>
      </c>
      <c r="BK230" s="30">
        <f t="shared" ref="BK230:BN232" si="453">IF(BK$7&gt;0,(LOOKUP(BK$7,$AH230:$AL230,$AM230:$AQ230)+IF($AG230="Y",SUMPRODUCT($AX230:$BB230-$AW230:$BA230,BK$7-$AR230:$AV230,N(BK$7&gt;$AR230:$AV230)),BK$7*LOOKUP(BK$7,$AR230:$AV230,$AX230:$BB230))+IF($BE230="Y",$BF230,$BC230)+BK$7*IF($BE230="Y",$BG230,$BD230))*100/BK$7,"")</f>
        <v>11.650500000000001</v>
      </c>
      <c r="BL230" s="30">
        <f t="shared" si="453"/>
        <v>10.749499999999999</v>
      </c>
      <c r="BM230" s="30">
        <f t="shared" si="453"/>
        <v>10.298999999999999</v>
      </c>
      <c r="BN230" s="29">
        <f t="shared" si="453"/>
        <v>10.148833333333334</v>
      </c>
      <c r="BO230" s="85" t="str">
        <f t="shared" ref="BO230:BO232" si="454">IFERROR(SUMPRODUCT($BS$7:$CD$7,$BS230:$CD230)/100,"$$$")</f>
        <v>$$$</v>
      </c>
      <c r="BP230" s="88" t="str">
        <f t="shared" ref="BP230:BP232" si="455">IFERROR(BO230*100/BO$5,"$$$")</f>
        <v>$$$</v>
      </c>
      <c r="BQ230" s="88" t="str">
        <f t="shared" si="4"/>
        <v>$$$</v>
      </c>
      <c r="BR230" s="88" t="str">
        <f t="shared" si="5"/>
        <v>$$$</v>
      </c>
      <c r="BS230" s="29" t="e">
        <f t="shared" ref="BS230:CD232" si="456">IF($CI230,IF(BS$7&gt;0,IF(BS$4&gt;$Q230,$BF230+BS$7*(BS$5+$BG230+$BI230),LOOKUP(BS$7,$AH230:$AL230,$AM230:$AQ230)+IF($AG230="Y",SUMPRODUCT($AX230:$BB230-$AW230:$BA230,BS$7-$AR230:$AV230,N(BS$7&gt;$AR230:$AV230)),BS$7*LOOKUP(BS$7,$AR230:$AV230,$AX230:$BB230))+IF($BE230="Y",$BF230,$BC230)+BS$7*IF($BE230="Y",$BG230,$BD230))*100/BS$7,""),NA())</f>
        <v>#N/A</v>
      </c>
      <c r="BT230" s="29" t="e">
        <f t="shared" si="456"/>
        <v>#N/A</v>
      </c>
      <c r="BU230" s="29" t="e">
        <f t="shared" si="456"/>
        <v>#N/A</v>
      </c>
      <c r="BV230" s="29" t="e">
        <f t="shared" si="456"/>
        <v>#N/A</v>
      </c>
      <c r="BW230" s="29" t="e">
        <f t="shared" si="456"/>
        <v>#N/A</v>
      </c>
      <c r="BX230" s="29" t="e">
        <f t="shared" si="456"/>
        <v>#N/A</v>
      </c>
      <c r="BY230" s="29" t="e">
        <f t="shared" si="456"/>
        <v>#N/A</v>
      </c>
      <c r="BZ230" s="29" t="e">
        <f t="shared" si="456"/>
        <v>#N/A</v>
      </c>
      <c r="CA230" s="29" t="e">
        <f t="shared" si="456"/>
        <v>#N/A</v>
      </c>
      <c r="CB230" s="29" t="e">
        <f t="shared" si="456"/>
        <v>#N/A</v>
      </c>
      <c r="CC230" s="29" t="e">
        <f t="shared" si="456"/>
        <v>#N/A</v>
      </c>
      <c r="CD230" s="29" t="e">
        <f t="shared" si="456"/>
        <v>#N/A</v>
      </c>
      <c r="CE230" s="6" t="str">
        <f t="shared" si="352"/>
        <v/>
      </c>
      <c r="CF230" s="27" t="e">
        <f>IF(AND(CI230,NOT(AD230)),LOOKUP(CF$5,{0,750,1500},H230:J230),"")</f>
        <v>#N/A</v>
      </c>
      <c r="CG230" s="6" t="str">
        <f t="shared" si="353"/>
        <v/>
      </c>
      <c r="CH230" t="e">
        <f t="shared" ref="CH230:CH232" si="457">IF(CI230,IF(ISNUMBER(BO230),BO230,100000)+CV230/10000+IF(ISNUMBER(BJ230),BJ230,2)/10000-P230/100000+ROW()/10000000,"")</f>
        <v>#N/A</v>
      </c>
      <c r="CI230" t="e">
        <f t="shared" ref="CI230:CI232" si="458">PRODUCT(CJ230:CQ230)</f>
        <v>#N/A</v>
      </c>
      <c r="CJ230" s="6" t="e">
        <f t="shared" ref="CJ230:CJ232" si="459">IF($E230=CJ$5,1,0)</f>
        <v>#N/A</v>
      </c>
      <c r="CK230" s="6">
        <f t="shared" ref="CK230:CK232" si="460">IF(CK$5="[Any]",1,IF($F230=CK$5,1,0))</f>
        <v>1</v>
      </c>
      <c r="CL230" s="6">
        <f t="shared" si="26"/>
        <v>1</v>
      </c>
      <c r="CM230" s="6">
        <f t="shared" ref="CM230:CM232" si="461">IF($O230="Fixed",1,0)</f>
        <v>1</v>
      </c>
      <c r="CN230" s="6">
        <f t="shared" ref="CN230:CN232" si="462">IF($Q230&gt;=CN$5,1,0)</f>
        <v>0</v>
      </c>
      <c r="CO230" s="6">
        <f t="shared" ref="CO230:CO232" si="463">IF($Q230&lt;=CO$5,1,0)</f>
        <v>1</v>
      </c>
      <c r="CP230" s="6">
        <f t="shared" ref="CP230:CP232" si="464">IF($P230&gt;=CP$5,1,0)</f>
        <v>1</v>
      </c>
      <c r="CQ230" s="6">
        <f t="shared" ref="CQ230:CQ232" si="465">IF(CQ$5="Any",1,IF(AND(CQ$5="Med",AV230=0,SUM(AN230:AQ230)=0),1,IF(AND(CQ$5="Low",AV230=0,SUM(AN230:AQ230)=0,AM230=0),1,IF(AND(CQ$5="Flat",AV230=0,SUM(AN230:AQ230)=0,AM230=0,IFERROR(NOT(BE230="Y"),0)),1,0))))</f>
        <v>1</v>
      </c>
      <c r="CR230" s="81" t="str">
        <f t="shared" ref="CR230:CR232" si="466">IF(ISNUMBER($CH230),$CH230+$CS230+$CW230,"")</f>
        <v/>
      </c>
      <c r="CS230">
        <f t="shared" ref="CS230:CS232" si="467">CS$5*(12/(MIN(12,Q230))-1)</f>
        <v>54</v>
      </c>
      <c r="CT230">
        <f t="shared" si="19"/>
        <v>179</v>
      </c>
      <c r="CU230" t="str">
        <f t="shared" si="29"/>
        <v/>
      </c>
      <c r="CV230" s="81">
        <f t="shared" ref="CV230:CV232" si="468">CT230*IF(CU230="",1,Q230)</f>
        <v>179</v>
      </c>
      <c r="CW230" s="81">
        <f>(CV230/25)^1.5*(Calculator!$BU$4/10000)*CW$5</f>
        <v>49.47019250040988</v>
      </c>
      <c r="CX230" t="str">
        <f t="shared" ref="CX230:CX232" si="469">"$"&amp;IF(LEFT(CU230,1)="r",CT230&amp;"/"&amp;CU230,CV230)</f>
        <v>$179</v>
      </c>
    </row>
    <row r="231" spans="2:102" x14ac:dyDescent="0.25">
      <c r="B231" s="115" t="s">
        <v>233</v>
      </c>
      <c r="C231" s="13">
        <v>46248.413194444445</v>
      </c>
      <c r="D231">
        <v>29273</v>
      </c>
      <c r="E231" s="54" t="s">
        <v>235</v>
      </c>
      <c r="F231" s="54" t="s">
        <v>602</v>
      </c>
      <c r="G231" s="54" t="s">
        <v>2077</v>
      </c>
      <c r="H231" s="55">
        <v>10.9</v>
      </c>
      <c r="I231" s="55">
        <v>9.9</v>
      </c>
      <c r="J231" s="55">
        <v>9.5</v>
      </c>
      <c r="K231" s="54"/>
      <c r="L231" s="56" t="b">
        <v>0</v>
      </c>
      <c r="M231" s="56" t="b">
        <v>0</v>
      </c>
      <c r="N231" s="54">
        <v>1</v>
      </c>
      <c r="O231" s="54" t="s">
        <v>228</v>
      </c>
      <c r="P231" s="54">
        <v>6</v>
      </c>
      <c r="Q231" s="54">
        <v>3</v>
      </c>
      <c r="R231" s="54">
        <v>179</v>
      </c>
      <c r="S231" s="54" t="s">
        <v>1619</v>
      </c>
      <c r="T231" s="54"/>
      <c r="U231" s="54" t="s">
        <v>1615</v>
      </c>
      <c r="V231" s="54" t="s">
        <v>1621</v>
      </c>
      <c r="W231" s="54" t="b">
        <v>0</v>
      </c>
      <c r="X231" s="54"/>
      <c r="Y231" s="57" t="s">
        <v>2079</v>
      </c>
      <c r="Z231" s="54" t="s">
        <v>1622</v>
      </c>
      <c r="AA231" s="54"/>
      <c r="AB231" s="54" t="s">
        <v>1623</v>
      </c>
      <c r="AC231" s="56" t="b">
        <v>1</v>
      </c>
      <c r="AD231" s="56" t="b">
        <v>0</v>
      </c>
      <c r="AE231" s="54" t="s">
        <v>302</v>
      </c>
      <c r="AF231" s="58">
        <v>46247</v>
      </c>
      <c r="AG231" s="62" t="s">
        <v>293</v>
      </c>
      <c r="AH231" s="54">
        <v>0</v>
      </c>
      <c r="AI231" s="54"/>
      <c r="AJ231" s="54"/>
      <c r="AK231" s="54"/>
      <c r="AL231" s="54"/>
      <c r="AM231" s="54">
        <v>4.95</v>
      </c>
      <c r="AN231" s="54"/>
      <c r="AO231" s="54"/>
      <c r="AP231" s="54"/>
      <c r="AQ231" s="54"/>
      <c r="AR231" s="54"/>
      <c r="AS231" s="54"/>
      <c r="AT231" s="54"/>
      <c r="AU231" s="54"/>
      <c r="AV231" s="54"/>
      <c r="AW231" s="54"/>
      <c r="AX231" s="59"/>
      <c r="AY231" s="59"/>
      <c r="AZ231" s="59"/>
      <c r="BA231" s="59"/>
      <c r="BB231" s="59">
        <v>3.8184000000000003E-2</v>
      </c>
      <c r="BC231" s="60"/>
      <c r="BD231" s="61"/>
      <c r="BE231" s="62" t="s">
        <v>293</v>
      </c>
      <c r="BF231" s="35">
        <f t="shared" si="450"/>
        <v>4.9000000000000004</v>
      </c>
      <c r="BG231" s="35">
        <f t="shared" si="450"/>
        <v>4.9811000000000001E-2</v>
      </c>
      <c r="BH231" s="35" t="str">
        <f t="shared" si="451"/>
        <v>Med</v>
      </c>
      <c r="BI231" s="110">
        <f t="shared" si="452"/>
        <v>0</v>
      </c>
      <c r="BJ231" s="83">
        <f>VLOOKUP($F231,REP_Info!$D$6:$H$250,5,FALSE)</f>
        <v>1.694</v>
      </c>
      <c r="BK231" s="30">
        <f t="shared" si="453"/>
        <v>10.769500000000001</v>
      </c>
      <c r="BL231" s="30">
        <f t="shared" si="453"/>
        <v>9.7844999999999995</v>
      </c>
      <c r="BM231" s="30">
        <f t="shared" si="453"/>
        <v>9.2920000000000016</v>
      </c>
      <c r="BN231" s="29">
        <f t="shared" si="453"/>
        <v>9.127833333333335</v>
      </c>
      <c r="BO231" s="85" t="str">
        <f t="shared" si="454"/>
        <v>$$$</v>
      </c>
      <c r="BP231" s="88" t="str">
        <f t="shared" si="455"/>
        <v>$$$</v>
      </c>
      <c r="BQ231" s="88" t="str">
        <f t="shared" ref="BQ231:BQ232" si="470">IFERROR(SUMPRODUCT($BS$7:$CD$7,$BS231:$CD231,--($BS$4:$CD$4&lt;=$Q231))/SUMPRODUCT(--($BS$4:$CD$4&lt;=$Q231),$BS$7:$CD$7),"$$$")</f>
        <v>$$$</v>
      </c>
      <c r="BR231" s="88" t="str">
        <f t="shared" ref="BR231:BR232" si="471">IFERROR($BQ231-$BF231*100*SUMPRODUCT(--($BS$4:$CD$4&lt;=$Q231))/SUMPRODUCT(--($BS$4:$CD$4&lt;=$Q231),$BS$7:$CD$7)-$BG231*100,"$$$")</f>
        <v>$$$</v>
      </c>
      <c r="BS231" s="29" t="e">
        <f t="shared" si="456"/>
        <v>#N/A</v>
      </c>
      <c r="BT231" s="29" t="e">
        <f t="shared" si="456"/>
        <v>#N/A</v>
      </c>
      <c r="BU231" s="29" t="e">
        <f t="shared" si="456"/>
        <v>#N/A</v>
      </c>
      <c r="BV231" s="29" t="e">
        <f t="shared" si="456"/>
        <v>#N/A</v>
      </c>
      <c r="BW231" s="29" t="e">
        <f t="shared" si="456"/>
        <v>#N/A</v>
      </c>
      <c r="BX231" s="29" t="e">
        <f t="shared" si="456"/>
        <v>#N/A</v>
      </c>
      <c r="BY231" s="29" t="e">
        <f t="shared" si="456"/>
        <v>#N/A</v>
      </c>
      <c r="BZ231" s="29" t="e">
        <f t="shared" si="456"/>
        <v>#N/A</v>
      </c>
      <c r="CA231" s="29" t="e">
        <f t="shared" si="456"/>
        <v>#N/A</v>
      </c>
      <c r="CB231" s="29" t="e">
        <f t="shared" si="456"/>
        <v>#N/A</v>
      </c>
      <c r="CC231" s="29" t="e">
        <f t="shared" si="456"/>
        <v>#N/A</v>
      </c>
      <c r="CD231" s="29" t="e">
        <f t="shared" si="456"/>
        <v>#N/A</v>
      </c>
      <c r="CE231" s="6" t="str">
        <f t="shared" si="352"/>
        <v/>
      </c>
      <c r="CF231" s="27" t="e">
        <f>IF(AND(CI231,NOT(AD231)),LOOKUP(CF$5,{0,750,1500},H231:J231),"")</f>
        <v>#N/A</v>
      </c>
      <c r="CG231" s="6" t="str">
        <f t="shared" si="353"/>
        <v/>
      </c>
      <c r="CH231" t="e">
        <f t="shared" si="457"/>
        <v>#N/A</v>
      </c>
      <c r="CI231" t="e">
        <f t="shared" si="458"/>
        <v>#N/A</v>
      </c>
      <c r="CJ231" s="6" t="e">
        <f t="shared" si="459"/>
        <v>#N/A</v>
      </c>
      <c r="CK231" s="6">
        <f t="shared" si="460"/>
        <v>1</v>
      </c>
      <c r="CL231" s="6">
        <f t="shared" si="26"/>
        <v>1</v>
      </c>
      <c r="CM231" s="6">
        <f t="shared" si="461"/>
        <v>1</v>
      </c>
      <c r="CN231" s="6">
        <f t="shared" si="462"/>
        <v>0</v>
      </c>
      <c r="CO231" s="6">
        <f t="shared" si="463"/>
        <v>1</v>
      </c>
      <c r="CP231" s="6">
        <f t="shared" si="464"/>
        <v>1</v>
      </c>
      <c r="CQ231" s="6">
        <f t="shared" si="465"/>
        <v>1</v>
      </c>
      <c r="CR231" s="81" t="str">
        <f t="shared" si="466"/>
        <v/>
      </c>
      <c r="CS231">
        <f t="shared" si="467"/>
        <v>54</v>
      </c>
      <c r="CT231">
        <f t="shared" si="19"/>
        <v>179</v>
      </c>
      <c r="CU231" t="str">
        <f t="shared" si="29"/>
        <v/>
      </c>
      <c r="CV231" s="81">
        <f t="shared" si="468"/>
        <v>179</v>
      </c>
      <c r="CW231" s="81">
        <f>(CV231/25)^1.5*(Calculator!$BU$4/10000)*CW$5</f>
        <v>49.47019250040988</v>
      </c>
      <c r="CX231" t="str">
        <f t="shared" si="469"/>
        <v>$179</v>
      </c>
    </row>
    <row r="232" spans="2:102" x14ac:dyDescent="0.25">
      <c r="B232" s="115" t="s">
        <v>233</v>
      </c>
      <c r="C232" s="13">
        <v>46254.637499999997</v>
      </c>
      <c r="D232">
        <v>29277</v>
      </c>
      <c r="E232" s="54" t="s">
        <v>237</v>
      </c>
      <c r="F232" s="54" t="s">
        <v>602</v>
      </c>
      <c r="G232" s="54" t="s">
        <v>1641</v>
      </c>
      <c r="H232" s="55">
        <v>13.3</v>
      </c>
      <c r="I232" s="55">
        <v>12.3</v>
      </c>
      <c r="J232" s="55">
        <v>11.899999999999999</v>
      </c>
      <c r="K232" s="54"/>
      <c r="L232" s="56" t="b">
        <v>0</v>
      </c>
      <c r="M232" s="56" t="b">
        <v>0</v>
      </c>
      <c r="N232" s="54">
        <v>1</v>
      </c>
      <c r="O232" s="54" t="s">
        <v>228</v>
      </c>
      <c r="P232" s="54">
        <v>6</v>
      </c>
      <c r="Q232" s="54">
        <v>12</v>
      </c>
      <c r="R232" s="54">
        <v>179</v>
      </c>
      <c r="S232" s="54" t="s">
        <v>1619</v>
      </c>
      <c r="T232" s="54"/>
      <c r="U232" s="54" t="s">
        <v>1615</v>
      </c>
      <c r="V232" s="54" t="s">
        <v>1621</v>
      </c>
      <c r="W232" s="54" t="b">
        <v>0</v>
      </c>
      <c r="X232" s="54"/>
      <c r="Y232" s="57" t="s">
        <v>2287</v>
      </c>
      <c r="Z232" s="54" t="s">
        <v>1622</v>
      </c>
      <c r="AA232" s="54"/>
      <c r="AB232" s="54" t="s">
        <v>1623</v>
      </c>
      <c r="AC232" s="56" t="b">
        <v>0</v>
      </c>
      <c r="AD232" s="56" t="b">
        <v>0</v>
      </c>
      <c r="AE232" s="54" t="s">
        <v>302</v>
      </c>
      <c r="AF232" s="58">
        <v>46254</v>
      </c>
      <c r="AG232" s="62" t="s">
        <v>293</v>
      </c>
      <c r="AH232" s="54">
        <v>0</v>
      </c>
      <c r="AI232" s="54"/>
      <c r="AJ232" s="54"/>
      <c r="AK232" s="54"/>
      <c r="AL232" s="54"/>
      <c r="AM232" s="54">
        <v>4.95</v>
      </c>
      <c r="AN232" s="54"/>
      <c r="AO232" s="54"/>
      <c r="AP232" s="54"/>
      <c r="AQ232" s="54"/>
      <c r="AR232" s="54"/>
      <c r="AS232" s="54"/>
      <c r="AT232" s="54"/>
      <c r="AU232" s="54"/>
      <c r="AV232" s="54"/>
      <c r="AW232" s="54"/>
      <c r="AX232" s="59"/>
      <c r="AY232" s="59"/>
      <c r="AZ232" s="59"/>
      <c r="BA232" s="59"/>
      <c r="BB232" s="59">
        <v>5.4190000000000002E-2</v>
      </c>
      <c r="BC232" s="60"/>
      <c r="BD232" s="61"/>
      <c r="BE232" s="62" t="s">
        <v>293</v>
      </c>
      <c r="BF232" s="35">
        <f t="shared" si="450"/>
        <v>4.0600000000000005</v>
      </c>
      <c r="BG232" s="35">
        <f t="shared" si="450"/>
        <v>6.0295000000000001E-2</v>
      </c>
      <c r="BH232" s="35" t="str">
        <f t="shared" si="451"/>
        <v>Med</v>
      </c>
      <c r="BI232" s="110">
        <f t="shared" si="452"/>
        <v>0</v>
      </c>
      <c r="BJ232" s="83">
        <f>VLOOKUP($F232,REP_Info!$D$6:$H$250,5,FALSE)</f>
        <v>1.694</v>
      </c>
      <c r="BK232" s="30">
        <f t="shared" si="453"/>
        <v>13.250500000000001</v>
      </c>
      <c r="BL232" s="30">
        <f t="shared" si="453"/>
        <v>12.349500000000001</v>
      </c>
      <c r="BM232" s="30">
        <f t="shared" si="453"/>
        <v>11.898999999999999</v>
      </c>
      <c r="BN232" s="29">
        <f t="shared" si="453"/>
        <v>11.748833333333334</v>
      </c>
      <c r="BO232" s="85" t="str">
        <f t="shared" si="454"/>
        <v>$$$</v>
      </c>
      <c r="BP232" s="88" t="str">
        <f t="shared" si="455"/>
        <v>$$$</v>
      </c>
      <c r="BQ232" s="88" t="str">
        <f t="shared" si="470"/>
        <v>$$$</v>
      </c>
      <c r="BR232" s="88" t="str">
        <f t="shared" si="471"/>
        <v>$$$</v>
      </c>
      <c r="BS232" s="29" t="e">
        <f t="shared" si="456"/>
        <v>#N/A</v>
      </c>
      <c r="BT232" s="29" t="e">
        <f t="shared" si="456"/>
        <v>#N/A</v>
      </c>
      <c r="BU232" s="29" t="e">
        <f t="shared" si="456"/>
        <v>#N/A</v>
      </c>
      <c r="BV232" s="29" t="e">
        <f t="shared" si="456"/>
        <v>#N/A</v>
      </c>
      <c r="BW232" s="29" t="e">
        <f t="shared" si="456"/>
        <v>#N/A</v>
      </c>
      <c r="BX232" s="29" t="e">
        <f t="shared" si="456"/>
        <v>#N/A</v>
      </c>
      <c r="BY232" s="29" t="e">
        <f t="shared" si="456"/>
        <v>#N/A</v>
      </c>
      <c r="BZ232" s="29" t="e">
        <f t="shared" si="456"/>
        <v>#N/A</v>
      </c>
      <c r="CA232" s="29" t="e">
        <f t="shared" si="456"/>
        <v>#N/A</v>
      </c>
      <c r="CB232" s="29" t="e">
        <f t="shared" si="456"/>
        <v>#N/A</v>
      </c>
      <c r="CC232" s="29" t="e">
        <f t="shared" si="456"/>
        <v>#N/A</v>
      </c>
      <c r="CD232" s="29" t="e">
        <f t="shared" si="456"/>
        <v>#N/A</v>
      </c>
      <c r="CE232" s="6" t="str">
        <f t="shared" si="352"/>
        <v/>
      </c>
      <c r="CF232" s="27" t="e">
        <f>IF(AND(CI232,NOT(AD232)),LOOKUP(CF$5,{0,750,1500},H232:J232),"")</f>
        <v>#N/A</v>
      </c>
      <c r="CG232" s="6" t="str">
        <f t="shared" si="353"/>
        <v/>
      </c>
      <c r="CH232" t="e">
        <f t="shared" si="457"/>
        <v>#N/A</v>
      </c>
      <c r="CI232" t="e">
        <f t="shared" si="458"/>
        <v>#N/A</v>
      </c>
      <c r="CJ232" s="6" t="e">
        <f t="shared" si="459"/>
        <v>#N/A</v>
      </c>
      <c r="CK232" s="6">
        <f t="shared" si="460"/>
        <v>1</v>
      </c>
      <c r="CL232" s="6">
        <f t="shared" si="26"/>
        <v>1</v>
      </c>
      <c r="CM232" s="6">
        <f t="shared" si="461"/>
        <v>1</v>
      </c>
      <c r="CN232" s="6">
        <f t="shared" si="462"/>
        <v>1</v>
      </c>
      <c r="CO232" s="6">
        <f t="shared" si="463"/>
        <v>1</v>
      </c>
      <c r="CP232" s="6">
        <f t="shared" si="464"/>
        <v>1</v>
      </c>
      <c r="CQ232" s="6">
        <f t="shared" si="465"/>
        <v>1</v>
      </c>
      <c r="CR232" s="81" t="str">
        <f t="shared" si="466"/>
        <v/>
      </c>
      <c r="CS232">
        <f t="shared" si="467"/>
        <v>0</v>
      </c>
      <c r="CT232">
        <f t="shared" si="19"/>
        <v>179</v>
      </c>
      <c r="CU232" t="str">
        <f t="shared" si="29"/>
        <v/>
      </c>
      <c r="CV232" s="81">
        <f t="shared" si="468"/>
        <v>179</v>
      </c>
      <c r="CW232" s="81">
        <f>(CV232/25)^1.5*(Calculator!$BU$4/10000)*CW$5</f>
        <v>49.47019250040988</v>
      </c>
      <c r="CX232" t="str">
        <f t="shared" si="469"/>
        <v>$179</v>
      </c>
    </row>
    <row r="233" spans="2:102" x14ac:dyDescent="0.25">
      <c r="B233" s="115" t="s">
        <v>233</v>
      </c>
      <c r="C233" s="13">
        <v>46254.637499999997</v>
      </c>
      <c r="D233">
        <v>29278</v>
      </c>
      <c r="E233" s="54" t="s">
        <v>235</v>
      </c>
      <c r="F233" s="54" t="s">
        <v>602</v>
      </c>
      <c r="G233" s="54" t="s">
        <v>1642</v>
      </c>
      <c r="H233" s="55">
        <v>12.6</v>
      </c>
      <c r="I233" s="55">
        <v>11.600000000000001</v>
      </c>
      <c r="J233" s="55">
        <v>11.200000000000001</v>
      </c>
      <c r="K233" s="54"/>
      <c r="L233" s="56" t="b">
        <v>0</v>
      </c>
      <c r="M233" s="56" t="b">
        <v>0</v>
      </c>
      <c r="N233" s="54">
        <v>1</v>
      </c>
      <c r="O233" s="54" t="s">
        <v>228</v>
      </c>
      <c r="P233" s="54">
        <v>6</v>
      </c>
      <c r="Q233" s="54">
        <v>12</v>
      </c>
      <c r="R233" s="54">
        <v>179</v>
      </c>
      <c r="S233" s="54" t="s">
        <v>1619</v>
      </c>
      <c r="T233" s="54"/>
      <c r="U233" s="54" t="s">
        <v>1615</v>
      </c>
      <c r="V233" s="54" t="s">
        <v>1621</v>
      </c>
      <c r="W233" s="54" t="b">
        <v>0</v>
      </c>
      <c r="X233" s="54"/>
      <c r="Y233" s="57" t="s">
        <v>2288</v>
      </c>
      <c r="Z233" s="54" t="s">
        <v>1622</v>
      </c>
      <c r="AA233" s="54"/>
      <c r="AB233" s="54" t="s">
        <v>1623</v>
      </c>
      <c r="AC233" s="56" t="b">
        <v>0</v>
      </c>
      <c r="AD233" s="56" t="b">
        <v>0</v>
      </c>
      <c r="AE233" s="54" t="s">
        <v>302</v>
      </c>
      <c r="AF233" s="58">
        <v>46254</v>
      </c>
      <c r="AG233" s="62" t="s">
        <v>293</v>
      </c>
      <c r="AH233" s="54">
        <v>0</v>
      </c>
      <c r="AI233" s="54"/>
      <c r="AJ233" s="54"/>
      <c r="AK233" s="54"/>
      <c r="AL233" s="54"/>
      <c r="AM233" s="54">
        <v>4.95</v>
      </c>
      <c r="AN233" s="54"/>
      <c r="AO233" s="54"/>
      <c r="AP233" s="54"/>
      <c r="AQ233" s="54"/>
      <c r="AR233" s="54"/>
      <c r="AS233" s="54"/>
      <c r="AT233" s="54"/>
      <c r="AU233" s="54"/>
      <c r="AV233" s="54"/>
      <c r="AW233" s="54"/>
      <c r="AX233" s="59"/>
      <c r="AY233" s="59"/>
      <c r="AZ233" s="59"/>
      <c r="BA233" s="59"/>
      <c r="BB233" s="59">
        <v>5.5183999999999997E-2</v>
      </c>
      <c r="BC233" s="60"/>
      <c r="BD233" s="61"/>
      <c r="BE233" s="62" t="s">
        <v>293</v>
      </c>
      <c r="BF233" s="35">
        <f t="shared" ref="BF233:BG233" si="472">IF($E233=$E$4,BF$4,IF($E233=$E$5,BF$5,""))</f>
        <v>4.9000000000000004</v>
      </c>
      <c r="BG233" s="35">
        <f t="shared" si="472"/>
        <v>4.9811000000000001E-2</v>
      </c>
      <c r="BH233" s="35" t="str">
        <f t="shared" ref="BH233" si="473">IF(ISTEXT(BE233),IF(AND(AV233=0,SUM(AN233:AQ233)=0),IF(AM233&lt;=0,IF(BE233="Y","Low","Flat"),"Med"),"High"),"?")</f>
        <v>Med</v>
      </c>
      <c r="BI233" s="110">
        <f t="shared" ref="BI233" si="474">IF(ISNUMBER(AH233),0*BI$5*SIN((EDATE($A$3,$Q233)-DATE(YEAR(EDATE($A$3,$Q233)),1,0)-BI$4)*2*PI()/365),"")</f>
        <v>0</v>
      </c>
      <c r="BJ233" s="83">
        <f>VLOOKUP($F233,REP_Info!$D$6:$H$250,5,FALSE)</f>
        <v>1.694</v>
      </c>
      <c r="BK233" s="30">
        <f t="shared" ref="BK233:BN233" si="475">IF(BK$7&gt;0,(LOOKUP(BK$7,$AH233:$AL233,$AM233:$AQ233)+IF($AG233="Y",SUMPRODUCT($AX233:$BB233-$AW233:$BA233,BK$7-$AR233:$AV233,N(BK$7&gt;$AR233:$AV233)),BK$7*LOOKUP(BK$7,$AR233:$AV233,$AX233:$BB233))+IF($BE233="Y",$BF233,$BC233)+BK$7*IF($BE233="Y",$BG233,$BD233))*100/BK$7,"")</f>
        <v>12.4695</v>
      </c>
      <c r="BL233" s="30">
        <f t="shared" si="475"/>
        <v>11.484500000000001</v>
      </c>
      <c r="BM233" s="30">
        <f t="shared" si="475"/>
        <v>10.992000000000001</v>
      </c>
      <c r="BN233" s="29">
        <f t="shared" si="475"/>
        <v>10.827833333333333</v>
      </c>
      <c r="BO233" s="85" t="str">
        <f t="shared" ref="BO233" si="476">IFERROR(SUMPRODUCT($BS$7:$CD$7,$BS233:$CD233)/100,"$$$")</f>
        <v>$$$</v>
      </c>
      <c r="BP233" s="88" t="str">
        <f t="shared" ref="BP233" si="477">IFERROR(BO233*100/BO$5,"$$$")</f>
        <v>$$$</v>
      </c>
      <c r="BQ233" s="88" t="str">
        <f t="shared" si="4"/>
        <v>$$$</v>
      </c>
      <c r="BR233" s="88" t="str">
        <f t="shared" si="5"/>
        <v>$$$</v>
      </c>
      <c r="BS233" s="29" t="e">
        <f t="shared" ref="BS233:CD233" si="478">IF($CI233,IF(BS$7&gt;0,IF(BS$4&gt;$Q233,$BF233+BS$7*(BS$5+$BG233+$BI233),LOOKUP(BS$7,$AH233:$AL233,$AM233:$AQ233)+IF($AG233="Y",SUMPRODUCT($AX233:$BB233-$AW233:$BA233,BS$7-$AR233:$AV233,N(BS$7&gt;$AR233:$AV233)),BS$7*LOOKUP(BS$7,$AR233:$AV233,$AX233:$BB233))+IF($BE233="Y",$BF233,$BC233)+BS$7*IF($BE233="Y",$BG233,$BD233))*100/BS$7,""),NA())</f>
        <v>#N/A</v>
      </c>
      <c r="BT233" s="29" t="e">
        <f t="shared" si="478"/>
        <v>#N/A</v>
      </c>
      <c r="BU233" s="29" t="e">
        <f t="shared" si="478"/>
        <v>#N/A</v>
      </c>
      <c r="BV233" s="29" t="e">
        <f t="shared" si="478"/>
        <v>#N/A</v>
      </c>
      <c r="BW233" s="29" t="e">
        <f t="shared" si="478"/>
        <v>#N/A</v>
      </c>
      <c r="BX233" s="29" t="e">
        <f t="shared" si="478"/>
        <v>#N/A</v>
      </c>
      <c r="BY233" s="29" t="e">
        <f t="shared" si="478"/>
        <v>#N/A</v>
      </c>
      <c r="BZ233" s="29" t="e">
        <f t="shared" si="478"/>
        <v>#N/A</v>
      </c>
      <c r="CA233" s="29" t="e">
        <f t="shared" si="478"/>
        <v>#N/A</v>
      </c>
      <c r="CB233" s="29" t="e">
        <f t="shared" si="478"/>
        <v>#N/A</v>
      </c>
      <c r="CC233" s="29" t="e">
        <f t="shared" si="478"/>
        <v>#N/A</v>
      </c>
      <c r="CD233" s="29" t="e">
        <f t="shared" si="478"/>
        <v>#N/A</v>
      </c>
      <c r="CE233" s="6" t="str">
        <f t="shared" si="352"/>
        <v/>
      </c>
      <c r="CF233" s="27" t="e">
        <f>IF(AND(CI233,NOT(AD233)),LOOKUP(CF$5,{0,750,1500},H233:J233),"")</f>
        <v>#N/A</v>
      </c>
      <c r="CG233" s="6" t="str">
        <f t="shared" si="353"/>
        <v/>
      </c>
      <c r="CH233" t="e">
        <f t="shared" ref="CH233" si="479">IF(CI233,IF(ISNUMBER(BO233),BO233,100000)+CV233/10000+IF(ISNUMBER(BJ233),BJ233,2)/10000-P233/100000+ROW()/10000000,"")</f>
        <v>#N/A</v>
      </c>
      <c r="CI233" t="e">
        <f t="shared" ref="CI233" si="480">PRODUCT(CJ233:CQ233)</f>
        <v>#N/A</v>
      </c>
      <c r="CJ233" s="6" t="e">
        <f t="shared" ref="CJ233" si="481">IF($E233=CJ$5,1,0)</f>
        <v>#N/A</v>
      </c>
      <c r="CK233" s="6">
        <f t="shared" ref="CK233" si="482">IF(CK$5="[Any]",1,IF($F233=CK$5,1,0))</f>
        <v>1</v>
      </c>
      <c r="CL233" s="6">
        <f t="shared" si="26"/>
        <v>1</v>
      </c>
      <c r="CM233" s="6">
        <f t="shared" ref="CM233" si="483">IF($O233="Fixed",1,0)</f>
        <v>1</v>
      </c>
      <c r="CN233" s="6">
        <f t="shared" ref="CN233" si="484">IF($Q233&gt;=CN$5,1,0)</f>
        <v>1</v>
      </c>
      <c r="CO233" s="6">
        <f t="shared" ref="CO233" si="485">IF($Q233&lt;=CO$5,1,0)</f>
        <v>1</v>
      </c>
      <c r="CP233" s="6">
        <f t="shared" ref="CP233" si="486">IF($P233&gt;=CP$5,1,0)</f>
        <v>1</v>
      </c>
      <c r="CQ233" s="6">
        <f t="shared" ref="CQ233" si="487">IF(CQ$5="Any",1,IF(AND(CQ$5="Med",AV233=0,SUM(AN233:AQ233)=0),1,IF(AND(CQ$5="Low",AV233=0,SUM(AN233:AQ233)=0,AM233=0),1,IF(AND(CQ$5="Flat",AV233=0,SUM(AN233:AQ233)=0,AM233=0,IFERROR(NOT(BE233="Y"),0)),1,0))))</f>
        <v>1</v>
      </c>
      <c r="CR233" s="81" t="str">
        <f t="shared" ref="CR233" si="488">IF(ISNUMBER($CH233),$CH233+$CS233+$CW233,"")</f>
        <v/>
      </c>
      <c r="CS233">
        <f t="shared" ref="CS233" si="489">CS$5*(12/(MIN(12,Q233))-1)</f>
        <v>0</v>
      </c>
      <c r="CT233">
        <f t="shared" si="19"/>
        <v>179</v>
      </c>
      <c r="CU233" t="str">
        <f t="shared" si="29"/>
        <v/>
      </c>
      <c r="CV233" s="81">
        <f t="shared" ref="CV233" si="490">CT233*IF(CU233="",1,Q233)</f>
        <v>179</v>
      </c>
      <c r="CW233" s="81">
        <f>(CV233/25)^1.5*(Calculator!$BU$4/10000)*CW$5</f>
        <v>49.47019250040988</v>
      </c>
      <c r="CX233" t="str">
        <f t="shared" ref="CX233" si="491">"$"&amp;IF(LEFT(CU233,1)="r",CT233&amp;"/"&amp;CU233,CV233)</f>
        <v>$179</v>
      </c>
    </row>
    <row r="234" spans="2:102" x14ac:dyDescent="0.25">
      <c r="B234" s="115" t="s">
        <v>233</v>
      </c>
      <c r="C234" s="13">
        <v>46242.178472222222</v>
      </c>
      <c r="D234">
        <v>29282</v>
      </c>
      <c r="E234" s="54" t="s">
        <v>237</v>
      </c>
      <c r="F234" s="54" t="s">
        <v>602</v>
      </c>
      <c r="G234" s="54" t="s">
        <v>1875</v>
      </c>
      <c r="H234" s="55">
        <v>14.299999999999999</v>
      </c>
      <c r="I234" s="55">
        <v>13.3</v>
      </c>
      <c r="J234" s="55">
        <v>12.9</v>
      </c>
      <c r="K234" s="54"/>
      <c r="L234" s="56" t="b">
        <v>0</v>
      </c>
      <c r="M234" s="56" t="b">
        <v>0</v>
      </c>
      <c r="N234" s="54">
        <v>1</v>
      </c>
      <c r="O234" s="54" t="s">
        <v>228</v>
      </c>
      <c r="P234" s="54">
        <v>6</v>
      </c>
      <c r="Q234" s="54">
        <v>16</v>
      </c>
      <c r="R234" s="54">
        <v>179.99</v>
      </c>
      <c r="S234" s="54" t="s">
        <v>1619</v>
      </c>
      <c r="T234" s="54"/>
      <c r="U234" s="54" t="s">
        <v>1615</v>
      </c>
      <c r="V234" s="54" t="s">
        <v>1621</v>
      </c>
      <c r="W234" s="54" t="b">
        <v>0</v>
      </c>
      <c r="X234" s="54"/>
      <c r="Y234" s="57" t="s">
        <v>1932</v>
      </c>
      <c r="Z234" s="54" t="s">
        <v>1622</v>
      </c>
      <c r="AA234" s="54"/>
      <c r="AB234" s="54" t="s">
        <v>1623</v>
      </c>
      <c r="AC234" s="56" t="b">
        <v>0</v>
      </c>
      <c r="AD234" s="56" t="b">
        <v>0</v>
      </c>
      <c r="AE234" s="54" t="s">
        <v>302</v>
      </c>
      <c r="AF234" s="58">
        <v>46239</v>
      </c>
      <c r="AG234" s="62" t="s">
        <v>293</v>
      </c>
      <c r="AH234" s="54">
        <v>0</v>
      </c>
      <c r="AI234" s="54"/>
      <c r="AJ234" s="54"/>
      <c r="AK234" s="54"/>
      <c r="AL234" s="54"/>
      <c r="AM234" s="54">
        <v>4.95</v>
      </c>
      <c r="AN234" s="54"/>
      <c r="AO234" s="54"/>
      <c r="AP234" s="54"/>
      <c r="AQ234" s="54"/>
      <c r="AR234" s="54"/>
      <c r="AS234" s="54"/>
      <c r="AT234" s="54"/>
      <c r="AU234" s="54"/>
      <c r="AV234" s="54"/>
      <c r="AW234" s="54"/>
      <c r="AX234" s="59"/>
      <c r="AY234" s="59"/>
      <c r="AZ234" s="59"/>
      <c r="BA234" s="59"/>
      <c r="BB234" s="59">
        <v>6.4189999999999997E-2</v>
      </c>
      <c r="BC234" s="60"/>
      <c r="BD234" s="61"/>
      <c r="BE234" s="62" t="s">
        <v>293</v>
      </c>
      <c r="BF234" s="35">
        <f t="shared" ref="BF234:BG241" si="492">IF($E234=$E$4,BF$4,IF($E234=$E$5,BF$5,""))</f>
        <v>4.0600000000000005</v>
      </c>
      <c r="BG234" s="35">
        <f t="shared" si="492"/>
        <v>6.0295000000000001E-2</v>
      </c>
      <c r="BH234" s="35" t="str">
        <f t="shared" ref="BH234:BH241" si="493">IF(ISTEXT(BE234),IF(AND(AV234=0,SUM(AN234:AQ234)=0),IF(AM234&lt;=0,IF(BE234="Y","Low","Flat"),"Med"),"High"),"?")</f>
        <v>Med</v>
      </c>
      <c r="BI234" s="110">
        <f t="shared" ref="BI234:BI241" si="494">IF(ISNUMBER(AH234),0*BI$5*SIN((EDATE($A$3,$Q234)-DATE(YEAR(EDATE($A$3,$Q234)),1,0)-BI$4)*2*PI()/365),"")</f>
        <v>0</v>
      </c>
      <c r="BJ234" s="83">
        <f>VLOOKUP($F234,REP_Info!$D$6:$H$250,5,FALSE)</f>
        <v>1.694</v>
      </c>
      <c r="BK234" s="30">
        <f t="shared" ref="BK234:BN241" si="495">IF(BK$7&gt;0,(LOOKUP(BK$7,$AH234:$AL234,$AM234:$AQ234)+IF($AG234="Y",SUMPRODUCT($AX234:$BB234-$AW234:$BA234,BK$7-$AR234:$AV234,N(BK$7&gt;$AR234:$AV234)),BK$7*LOOKUP(BK$7,$AR234:$AV234,$AX234:$BB234))+IF($BE234="Y",$BF234,$BC234)+BK$7*IF($BE234="Y",$BG234,$BD234))*100/BK$7,"")</f>
        <v>14.250500000000001</v>
      </c>
      <c r="BL234" s="30">
        <f t="shared" si="495"/>
        <v>13.349500000000001</v>
      </c>
      <c r="BM234" s="30">
        <f t="shared" si="495"/>
        <v>12.898999999999999</v>
      </c>
      <c r="BN234" s="29">
        <f t="shared" si="495"/>
        <v>12.748833333333334</v>
      </c>
      <c r="BO234" s="85" t="str">
        <f t="shared" si="2"/>
        <v>$$$</v>
      </c>
      <c r="BP234" s="88" t="str">
        <f t="shared" ref="BP234:BP241" si="496">IFERROR(BO234*100/BO$5,"$$$")</f>
        <v>$$$</v>
      </c>
      <c r="BQ234" s="88" t="str">
        <f t="shared" si="4"/>
        <v>$$$</v>
      </c>
      <c r="BR234" s="88" t="str">
        <f t="shared" si="5"/>
        <v>$$$</v>
      </c>
      <c r="BS234" s="29" t="e">
        <f t="shared" ref="BS234:CD241" si="497">IF($CI234,IF(BS$7&gt;0,IF(BS$4&gt;$Q234,$BF234+BS$7*(BS$5+$BG234+$BI234),LOOKUP(BS$7,$AH234:$AL234,$AM234:$AQ234)+IF($AG234="Y",SUMPRODUCT($AX234:$BB234-$AW234:$BA234,BS$7-$AR234:$AV234,N(BS$7&gt;$AR234:$AV234)),BS$7*LOOKUP(BS$7,$AR234:$AV234,$AX234:$BB234))+IF($BE234="Y",$BF234,$BC234)+BS$7*IF($BE234="Y",$BG234,$BD234))*100/BS$7,""),NA())</f>
        <v>#N/A</v>
      </c>
      <c r="BT234" s="29" t="e">
        <f t="shared" si="497"/>
        <v>#N/A</v>
      </c>
      <c r="BU234" s="29" t="e">
        <f t="shared" si="497"/>
        <v>#N/A</v>
      </c>
      <c r="BV234" s="29" t="e">
        <f t="shared" si="497"/>
        <v>#N/A</v>
      </c>
      <c r="BW234" s="29" t="e">
        <f t="shared" si="497"/>
        <v>#N/A</v>
      </c>
      <c r="BX234" s="29" t="e">
        <f t="shared" si="497"/>
        <v>#N/A</v>
      </c>
      <c r="BY234" s="29" t="e">
        <f t="shared" si="497"/>
        <v>#N/A</v>
      </c>
      <c r="BZ234" s="29" t="e">
        <f t="shared" si="497"/>
        <v>#N/A</v>
      </c>
      <c r="CA234" s="29" t="e">
        <f t="shared" si="497"/>
        <v>#N/A</v>
      </c>
      <c r="CB234" s="29" t="e">
        <f t="shared" si="497"/>
        <v>#N/A</v>
      </c>
      <c r="CC234" s="29" t="e">
        <f t="shared" si="497"/>
        <v>#N/A</v>
      </c>
      <c r="CD234" s="29" t="e">
        <f t="shared" si="497"/>
        <v>#N/A</v>
      </c>
      <c r="CE234" s="6" t="str">
        <f t="shared" si="352"/>
        <v/>
      </c>
      <c r="CF234" s="27" t="e">
        <f>IF(AND(CI234,NOT(AD234)),LOOKUP(CF$5,{0,750,1500},H234:J234),"")</f>
        <v>#N/A</v>
      </c>
      <c r="CG234" s="6" t="str">
        <f t="shared" si="353"/>
        <v/>
      </c>
      <c r="CH234" t="e">
        <f t="shared" ref="CH234:CH241" si="498">IF(CI234,IF(ISNUMBER(BO234),BO234,100000)+CV234/10000+IF(ISNUMBER(BJ234),BJ234,2)/10000-P234/100000+ROW()/10000000,"")</f>
        <v>#N/A</v>
      </c>
      <c r="CI234" t="e">
        <f t="shared" ref="CI234:CI241" si="499">PRODUCT(CJ234:CQ234)</f>
        <v>#N/A</v>
      </c>
      <c r="CJ234" s="6" t="e">
        <f t="shared" si="11"/>
        <v>#N/A</v>
      </c>
      <c r="CK234" s="6">
        <f t="shared" si="12"/>
        <v>1</v>
      </c>
      <c r="CL234" s="6">
        <f t="shared" si="26"/>
        <v>1</v>
      </c>
      <c r="CM234" s="6">
        <f t="shared" si="13"/>
        <v>1</v>
      </c>
      <c r="CN234" s="6">
        <f t="shared" si="14"/>
        <v>1</v>
      </c>
      <c r="CO234" s="6">
        <f t="shared" si="15"/>
        <v>0</v>
      </c>
      <c r="CP234" s="6">
        <f t="shared" si="16"/>
        <v>1</v>
      </c>
      <c r="CQ234" s="6">
        <f t="shared" ref="CQ234:CQ241" si="500">IF(CQ$5="Any",1,IF(AND(CQ$5="Med",AV234=0,SUM(AN234:AQ234)=0),1,IF(AND(CQ$5="Low",AV234=0,SUM(AN234:AQ234)=0,AM234=0),1,IF(AND(CQ$5="Flat",AV234=0,SUM(AN234:AQ234)=0,AM234=0,IFERROR(NOT(BE234="Y"),0)),1,0))))</f>
        <v>1</v>
      </c>
      <c r="CR234" s="81" t="str">
        <f t="shared" si="17"/>
        <v/>
      </c>
      <c r="CS234">
        <f t="shared" ref="CS234:CS241" si="501">CS$5*(12/(MIN(12,Q234))-1)</f>
        <v>0</v>
      </c>
      <c r="CT234">
        <f t="shared" si="19"/>
        <v>179.99</v>
      </c>
      <c r="CU234" t="str">
        <f t="shared" si="29"/>
        <v/>
      </c>
      <c r="CV234" s="81">
        <f t="shared" ref="CV234:CV241" si="502">CT234*IF(CU234="",1,Q234)</f>
        <v>179.99</v>
      </c>
      <c r="CW234" s="81">
        <f>(CV234/25)^1.5*(Calculator!$BU$4/10000)*CW$5</f>
        <v>49.881168582459559</v>
      </c>
      <c r="CX234" t="str">
        <f t="shared" ref="CX234:CX241" si="503">"$"&amp;IF(LEFT(CU234,1)="r",CT234&amp;"/"&amp;CU234,CV234)</f>
        <v>$179.99</v>
      </c>
    </row>
    <row r="235" spans="2:102" x14ac:dyDescent="0.25">
      <c r="B235" s="115" t="s">
        <v>233</v>
      </c>
      <c r="C235" s="13">
        <v>46238.55972222222</v>
      </c>
      <c r="D235">
        <v>29283</v>
      </c>
      <c r="E235" s="54" t="s">
        <v>235</v>
      </c>
      <c r="F235" s="54" t="s">
        <v>602</v>
      </c>
      <c r="G235" s="54" t="s">
        <v>1875</v>
      </c>
      <c r="H235" s="55">
        <v>13.3</v>
      </c>
      <c r="I235" s="55">
        <v>12.3</v>
      </c>
      <c r="J235" s="55">
        <v>11.899999999999999</v>
      </c>
      <c r="K235" s="54"/>
      <c r="L235" s="56" t="b">
        <v>0</v>
      </c>
      <c r="M235" s="56" t="b">
        <v>0</v>
      </c>
      <c r="N235" s="54">
        <v>1</v>
      </c>
      <c r="O235" s="54" t="s">
        <v>228</v>
      </c>
      <c r="P235" s="54">
        <v>6</v>
      </c>
      <c r="Q235" s="54">
        <v>16</v>
      </c>
      <c r="R235" s="54">
        <v>179.99</v>
      </c>
      <c r="S235" s="54" t="s">
        <v>1619</v>
      </c>
      <c r="T235" s="54"/>
      <c r="U235" s="54" t="s">
        <v>1615</v>
      </c>
      <c r="V235" s="54" t="s">
        <v>1621</v>
      </c>
      <c r="W235" s="54" t="b">
        <v>0</v>
      </c>
      <c r="X235" s="54"/>
      <c r="Y235" s="57" t="s">
        <v>1876</v>
      </c>
      <c r="Z235" s="54" t="s">
        <v>1622</v>
      </c>
      <c r="AA235" s="54"/>
      <c r="AB235" s="54" t="s">
        <v>1623</v>
      </c>
      <c r="AC235" s="56" t="b">
        <v>0</v>
      </c>
      <c r="AD235" s="56" t="b">
        <v>0</v>
      </c>
      <c r="AE235" s="54" t="s">
        <v>302</v>
      </c>
      <c r="AF235" s="58">
        <v>46238</v>
      </c>
      <c r="AG235" s="62" t="s">
        <v>293</v>
      </c>
      <c r="AH235" s="54">
        <v>0</v>
      </c>
      <c r="AI235" s="54"/>
      <c r="AJ235" s="54"/>
      <c r="AK235" s="54"/>
      <c r="AL235" s="54"/>
      <c r="AM235" s="54">
        <v>4.95</v>
      </c>
      <c r="AN235" s="54"/>
      <c r="AO235" s="54"/>
      <c r="AP235" s="54"/>
      <c r="AQ235" s="54"/>
      <c r="AR235" s="54"/>
      <c r="AS235" s="54"/>
      <c r="AT235" s="54"/>
      <c r="AU235" s="54"/>
      <c r="AV235" s="54"/>
      <c r="AW235" s="54"/>
      <c r="AX235" s="59"/>
      <c r="AY235" s="59"/>
      <c r="AZ235" s="59"/>
      <c r="BA235" s="59"/>
      <c r="BB235" s="59">
        <v>6.2184000000000003E-2</v>
      </c>
      <c r="BC235" s="60"/>
      <c r="BD235" s="61"/>
      <c r="BE235" s="62" t="s">
        <v>293</v>
      </c>
      <c r="BF235" s="35">
        <f t="shared" si="492"/>
        <v>4.9000000000000004</v>
      </c>
      <c r="BG235" s="35">
        <f t="shared" si="492"/>
        <v>4.9811000000000001E-2</v>
      </c>
      <c r="BH235" s="35" t="str">
        <f t="shared" si="493"/>
        <v>Med</v>
      </c>
      <c r="BI235" s="110">
        <f t="shared" si="494"/>
        <v>0</v>
      </c>
      <c r="BJ235" s="83">
        <f>VLOOKUP($F235,REP_Info!$D$6:$H$250,5,FALSE)</f>
        <v>1.694</v>
      </c>
      <c r="BK235" s="30">
        <f t="shared" si="495"/>
        <v>13.169499999999999</v>
      </c>
      <c r="BL235" s="30">
        <f t="shared" si="495"/>
        <v>12.1845</v>
      </c>
      <c r="BM235" s="30">
        <f t="shared" si="495"/>
        <v>11.692000000000002</v>
      </c>
      <c r="BN235" s="29">
        <f t="shared" si="495"/>
        <v>11.527833333333334</v>
      </c>
      <c r="BO235" s="85" t="str">
        <f t="shared" si="2"/>
        <v>$$$</v>
      </c>
      <c r="BP235" s="88" t="str">
        <f t="shared" si="496"/>
        <v>$$$</v>
      </c>
      <c r="BQ235" s="88" t="str">
        <f t="shared" si="4"/>
        <v>$$$</v>
      </c>
      <c r="BR235" s="88" t="str">
        <f t="shared" si="5"/>
        <v>$$$</v>
      </c>
      <c r="BS235" s="29" t="e">
        <f t="shared" si="497"/>
        <v>#N/A</v>
      </c>
      <c r="BT235" s="29" t="e">
        <f t="shared" si="497"/>
        <v>#N/A</v>
      </c>
      <c r="BU235" s="29" t="e">
        <f t="shared" si="497"/>
        <v>#N/A</v>
      </c>
      <c r="BV235" s="29" t="e">
        <f t="shared" si="497"/>
        <v>#N/A</v>
      </c>
      <c r="BW235" s="29" t="e">
        <f t="shared" si="497"/>
        <v>#N/A</v>
      </c>
      <c r="BX235" s="29" t="e">
        <f t="shared" si="497"/>
        <v>#N/A</v>
      </c>
      <c r="BY235" s="29" t="e">
        <f t="shared" si="497"/>
        <v>#N/A</v>
      </c>
      <c r="BZ235" s="29" t="e">
        <f t="shared" si="497"/>
        <v>#N/A</v>
      </c>
      <c r="CA235" s="29" t="e">
        <f t="shared" si="497"/>
        <v>#N/A</v>
      </c>
      <c r="CB235" s="29" t="e">
        <f t="shared" si="497"/>
        <v>#N/A</v>
      </c>
      <c r="CC235" s="29" t="e">
        <f t="shared" si="497"/>
        <v>#N/A</v>
      </c>
      <c r="CD235" s="29" t="e">
        <f t="shared" si="497"/>
        <v>#N/A</v>
      </c>
      <c r="CE235" s="6" t="str">
        <f t="shared" si="352"/>
        <v/>
      </c>
      <c r="CF235" s="27" t="e">
        <f>IF(AND(CI235,NOT(AD235)),LOOKUP(CF$5,{0,750,1500},H235:J235),"")</f>
        <v>#N/A</v>
      </c>
      <c r="CG235" s="6" t="str">
        <f t="shared" si="353"/>
        <v/>
      </c>
      <c r="CH235" t="e">
        <f t="shared" si="498"/>
        <v>#N/A</v>
      </c>
      <c r="CI235" t="e">
        <f t="shared" si="499"/>
        <v>#N/A</v>
      </c>
      <c r="CJ235" s="6" t="e">
        <f t="shared" si="11"/>
        <v>#N/A</v>
      </c>
      <c r="CK235" s="6">
        <f t="shared" si="12"/>
        <v>1</v>
      </c>
      <c r="CL235" s="6">
        <f t="shared" si="26"/>
        <v>1</v>
      </c>
      <c r="CM235" s="6">
        <f t="shared" si="13"/>
        <v>1</v>
      </c>
      <c r="CN235" s="6">
        <f t="shared" si="14"/>
        <v>1</v>
      </c>
      <c r="CO235" s="6">
        <f t="shared" si="15"/>
        <v>0</v>
      </c>
      <c r="CP235" s="6">
        <f t="shared" si="16"/>
        <v>1</v>
      </c>
      <c r="CQ235" s="6">
        <f t="shared" si="500"/>
        <v>1</v>
      </c>
      <c r="CR235" s="81" t="str">
        <f t="shared" si="17"/>
        <v/>
      </c>
      <c r="CS235">
        <f t="shared" si="501"/>
        <v>0</v>
      </c>
      <c r="CT235">
        <f t="shared" si="19"/>
        <v>179.99</v>
      </c>
      <c r="CU235" t="str">
        <f t="shared" si="29"/>
        <v/>
      </c>
      <c r="CV235" s="81">
        <f t="shared" si="502"/>
        <v>179.99</v>
      </c>
      <c r="CW235" s="81">
        <f>(CV235/25)^1.5*(Calculator!$BU$4/10000)*CW$5</f>
        <v>49.881168582459559</v>
      </c>
      <c r="CX235" t="str">
        <f t="shared" si="503"/>
        <v>$179.99</v>
      </c>
    </row>
    <row r="236" spans="2:102" x14ac:dyDescent="0.25">
      <c r="B236" s="115" t="s">
        <v>233</v>
      </c>
      <c r="C236" s="13">
        <v>46248.413194444445</v>
      </c>
      <c r="D236">
        <v>29287</v>
      </c>
      <c r="E236" s="54" t="s">
        <v>237</v>
      </c>
      <c r="F236" s="54" t="s">
        <v>602</v>
      </c>
      <c r="G236" s="54" t="s">
        <v>1983</v>
      </c>
      <c r="H236" s="55">
        <v>12.6</v>
      </c>
      <c r="I236" s="55">
        <v>11.600000000000001</v>
      </c>
      <c r="J236" s="55">
        <v>11.200000000000001</v>
      </c>
      <c r="K236" s="54"/>
      <c r="L236" s="56" t="b">
        <v>0</v>
      </c>
      <c r="M236" s="56" t="b">
        <v>0</v>
      </c>
      <c r="N236" s="54">
        <v>0</v>
      </c>
      <c r="O236" s="54" t="s">
        <v>238</v>
      </c>
      <c r="P236" s="54">
        <v>6</v>
      </c>
      <c r="Q236" s="54">
        <v>1</v>
      </c>
      <c r="R236" s="54">
        <v>0</v>
      </c>
      <c r="S236" s="54" t="s">
        <v>1619</v>
      </c>
      <c r="T236" s="54" t="s">
        <v>1984</v>
      </c>
      <c r="U236" s="54" t="s">
        <v>1615</v>
      </c>
      <c r="V236" s="54" t="s">
        <v>1621</v>
      </c>
      <c r="W236" s="54" t="b">
        <v>0</v>
      </c>
      <c r="X236" s="54"/>
      <c r="Y236" s="57" t="s">
        <v>2080</v>
      </c>
      <c r="Z236" s="54" t="s">
        <v>1622</v>
      </c>
      <c r="AA236" s="54"/>
      <c r="AB236" s="54" t="s">
        <v>1623</v>
      </c>
      <c r="AC236" s="56" t="b">
        <v>1</v>
      </c>
      <c r="AD236" s="56" t="b">
        <v>0</v>
      </c>
      <c r="AE236" s="54"/>
      <c r="AF236" s="58"/>
      <c r="AG236" s="62" t="s">
        <v>293</v>
      </c>
      <c r="AH236" s="54"/>
      <c r="AI236" s="54"/>
      <c r="AJ236" s="54"/>
      <c r="AK236" s="54"/>
      <c r="AL236" s="54"/>
      <c r="AM236" s="54">
        <v>0</v>
      </c>
      <c r="AN236" s="54"/>
      <c r="AO236" s="54"/>
      <c r="AP236" s="54"/>
      <c r="AQ236" s="54"/>
      <c r="AR236" s="54"/>
      <c r="AS236" s="54"/>
      <c r="AT236" s="54"/>
      <c r="AU236" s="54"/>
      <c r="AV236" s="54"/>
      <c r="AW236" s="54"/>
      <c r="AX236" s="59"/>
      <c r="AY236" s="59"/>
      <c r="AZ236" s="59"/>
      <c r="BA236" s="59"/>
      <c r="BB236" s="59"/>
      <c r="BC236" s="60"/>
      <c r="BD236" s="61"/>
      <c r="BE236" s="62"/>
      <c r="BF236" s="35">
        <f t="shared" si="492"/>
        <v>4.0600000000000005</v>
      </c>
      <c r="BG236" s="35">
        <f t="shared" si="492"/>
        <v>6.0295000000000001E-2</v>
      </c>
      <c r="BH236" s="35" t="str">
        <f t="shared" si="493"/>
        <v>?</v>
      </c>
      <c r="BI236" s="110" t="str">
        <f t="shared" si="494"/>
        <v/>
      </c>
      <c r="BJ236" s="83">
        <f>VLOOKUP($F236,REP_Info!$D$6:$H$250,5,FALSE)</f>
        <v>1.694</v>
      </c>
      <c r="BK236" s="30" t="e">
        <f t="shared" si="495"/>
        <v>#N/A</v>
      </c>
      <c r="BL236" s="30" t="e">
        <f t="shared" si="495"/>
        <v>#N/A</v>
      </c>
      <c r="BM236" s="30" t="e">
        <f t="shared" si="495"/>
        <v>#N/A</v>
      </c>
      <c r="BN236" s="29" t="e">
        <f t="shared" si="495"/>
        <v>#N/A</v>
      </c>
      <c r="BO236" s="85" t="str">
        <f t="shared" si="2"/>
        <v>$$$</v>
      </c>
      <c r="BP236" s="88" t="str">
        <f t="shared" si="496"/>
        <v>$$$</v>
      </c>
      <c r="BQ236" s="88" t="str">
        <f t="shared" si="4"/>
        <v>$$$</v>
      </c>
      <c r="BR236" s="88" t="str">
        <f t="shared" si="5"/>
        <v>$$$</v>
      </c>
      <c r="BS236" s="29" t="e">
        <f t="shared" si="497"/>
        <v>#N/A</v>
      </c>
      <c r="BT236" s="29" t="e">
        <f t="shared" si="497"/>
        <v>#N/A</v>
      </c>
      <c r="BU236" s="29" t="e">
        <f t="shared" si="497"/>
        <v>#N/A</v>
      </c>
      <c r="BV236" s="29" t="e">
        <f t="shared" si="497"/>
        <v>#N/A</v>
      </c>
      <c r="BW236" s="29" t="e">
        <f t="shared" si="497"/>
        <v>#N/A</v>
      </c>
      <c r="BX236" s="29" t="e">
        <f t="shared" si="497"/>
        <v>#N/A</v>
      </c>
      <c r="BY236" s="29" t="e">
        <f t="shared" si="497"/>
        <v>#N/A</v>
      </c>
      <c r="BZ236" s="29" t="e">
        <f t="shared" si="497"/>
        <v>#N/A</v>
      </c>
      <c r="CA236" s="29" t="e">
        <f t="shared" si="497"/>
        <v>#N/A</v>
      </c>
      <c r="CB236" s="29" t="e">
        <f t="shared" si="497"/>
        <v>#N/A</v>
      </c>
      <c r="CC236" s="29" t="e">
        <f t="shared" si="497"/>
        <v>#N/A</v>
      </c>
      <c r="CD236" s="29" t="e">
        <f t="shared" si="497"/>
        <v>#N/A</v>
      </c>
      <c r="CE236" s="6" t="str">
        <f t="shared" si="352"/>
        <v/>
      </c>
      <c r="CF236" s="27" t="e">
        <f>IF(AND(CI236,NOT(AD236)),LOOKUP(CF$5,{0,750,1500},H236:J236),"")</f>
        <v>#N/A</v>
      </c>
      <c r="CG236" s="6" t="str">
        <f t="shared" si="353"/>
        <v/>
      </c>
      <c r="CH236" t="e">
        <f t="shared" si="498"/>
        <v>#N/A</v>
      </c>
      <c r="CI236" t="e">
        <f t="shared" si="499"/>
        <v>#N/A</v>
      </c>
      <c r="CJ236" s="6" t="e">
        <f t="shared" si="11"/>
        <v>#N/A</v>
      </c>
      <c r="CK236" s="6">
        <f t="shared" si="12"/>
        <v>1</v>
      </c>
      <c r="CL236" s="6">
        <f t="shared" si="26"/>
        <v>1</v>
      </c>
      <c r="CM236" s="6">
        <f t="shared" si="13"/>
        <v>0</v>
      </c>
      <c r="CN236" s="6">
        <f t="shared" si="14"/>
        <v>0</v>
      </c>
      <c r="CO236" s="6">
        <f t="shared" si="15"/>
        <v>1</v>
      </c>
      <c r="CP236" s="6">
        <f t="shared" si="16"/>
        <v>1</v>
      </c>
      <c r="CQ236" s="6">
        <f t="shared" si="500"/>
        <v>1</v>
      </c>
      <c r="CR236" s="81" t="str">
        <f t="shared" si="17"/>
        <v/>
      </c>
      <c r="CS236">
        <f t="shared" si="501"/>
        <v>198</v>
      </c>
      <c r="CT236">
        <f t="shared" si="19"/>
        <v>0</v>
      </c>
      <c r="CU236" t="str">
        <f t="shared" si="29"/>
        <v/>
      </c>
      <c r="CV236" s="81">
        <f t="shared" si="502"/>
        <v>0</v>
      </c>
      <c r="CW236" s="81">
        <f>(CV236/25)^1.5*(Calculator!$BU$4/10000)*CW$5</f>
        <v>0</v>
      </c>
      <c r="CX236" t="str">
        <f t="shared" si="503"/>
        <v>$0</v>
      </c>
    </row>
    <row r="237" spans="2:102" x14ac:dyDescent="0.25">
      <c r="B237" s="115" t="s">
        <v>233</v>
      </c>
      <c r="C237" s="13">
        <v>46248.413194444445</v>
      </c>
      <c r="D237">
        <v>29288</v>
      </c>
      <c r="E237" s="54" t="s">
        <v>235</v>
      </c>
      <c r="F237" s="54" t="s">
        <v>602</v>
      </c>
      <c r="G237" s="54" t="s">
        <v>1983</v>
      </c>
      <c r="H237" s="55">
        <v>12.2</v>
      </c>
      <c r="I237" s="55">
        <v>11.200000000000001</v>
      </c>
      <c r="J237" s="55">
        <v>10.8</v>
      </c>
      <c r="K237" s="54"/>
      <c r="L237" s="56" t="b">
        <v>0</v>
      </c>
      <c r="M237" s="56" t="b">
        <v>0</v>
      </c>
      <c r="N237" s="54">
        <v>0</v>
      </c>
      <c r="O237" s="54" t="s">
        <v>238</v>
      </c>
      <c r="P237" s="54">
        <v>6</v>
      </c>
      <c r="Q237" s="54">
        <v>1</v>
      </c>
      <c r="R237" s="54">
        <v>0</v>
      </c>
      <c r="S237" s="54" t="s">
        <v>1619</v>
      </c>
      <c r="T237" s="54" t="s">
        <v>1984</v>
      </c>
      <c r="U237" s="54" t="s">
        <v>1615</v>
      </c>
      <c r="V237" s="54" t="s">
        <v>1621</v>
      </c>
      <c r="W237" s="54" t="b">
        <v>0</v>
      </c>
      <c r="X237" s="54"/>
      <c r="Y237" s="57" t="s">
        <v>2081</v>
      </c>
      <c r="Z237" s="54" t="s">
        <v>1622</v>
      </c>
      <c r="AA237" s="54"/>
      <c r="AB237" s="54" t="s">
        <v>1623</v>
      </c>
      <c r="AC237" s="56" t="b">
        <v>1</v>
      </c>
      <c r="AD237" s="56" t="b">
        <v>0</v>
      </c>
      <c r="AE237" s="54"/>
      <c r="AF237" s="58"/>
      <c r="AG237" s="62" t="s">
        <v>293</v>
      </c>
      <c r="AH237" s="54"/>
      <c r="AI237" s="54"/>
      <c r="AJ237" s="54"/>
      <c r="AK237" s="54"/>
      <c r="AL237" s="54"/>
      <c r="AM237" s="54">
        <v>0</v>
      </c>
      <c r="AN237" s="54"/>
      <c r="AO237" s="54"/>
      <c r="AP237" s="54"/>
      <c r="AQ237" s="54"/>
      <c r="AR237" s="54"/>
      <c r="AS237" s="54"/>
      <c r="AT237" s="54"/>
      <c r="AU237" s="54"/>
      <c r="AV237" s="54"/>
      <c r="AW237" s="54"/>
      <c r="AX237" s="59"/>
      <c r="AY237" s="59"/>
      <c r="AZ237" s="59"/>
      <c r="BA237" s="59"/>
      <c r="BB237" s="59"/>
      <c r="BC237" s="60"/>
      <c r="BD237" s="61"/>
      <c r="BE237" s="62"/>
      <c r="BF237" s="35">
        <f t="shared" si="492"/>
        <v>4.9000000000000004</v>
      </c>
      <c r="BG237" s="35">
        <f t="shared" si="492"/>
        <v>4.9811000000000001E-2</v>
      </c>
      <c r="BH237" s="35" t="str">
        <f t="shared" si="493"/>
        <v>?</v>
      </c>
      <c r="BI237" s="110" t="str">
        <f t="shared" si="494"/>
        <v/>
      </c>
      <c r="BJ237" s="83">
        <f>VLOOKUP($F237,REP_Info!$D$6:$H$250,5,FALSE)</f>
        <v>1.694</v>
      </c>
      <c r="BK237" s="30" t="e">
        <f t="shared" si="495"/>
        <v>#N/A</v>
      </c>
      <c r="BL237" s="30" t="e">
        <f t="shared" si="495"/>
        <v>#N/A</v>
      </c>
      <c r="BM237" s="30" t="e">
        <f t="shared" si="495"/>
        <v>#N/A</v>
      </c>
      <c r="BN237" s="29" t="e">
        <f t="shared" si="495"/>
        <v>#N/A</v>
      </c>
      <c r="BO237" s="85" t="str">
        <f t="shared" si="2"/>
        <v>$$$</v>
      </c>
      <c r="BP237" s="88" t="str">
        <f t="shared" si="496"/>
        <v>$$$</v>
      </c>
      <c r="BQ237" s="88" t="str">
        <f t="shared" si="4"/>
        <v>$$$</v>
      </c>
      <c r="BR237" s="88" t="str">
        <f t="shared" si="5"/>
        <v>$$$</v>
      </c>
      <c r="BS237" s="29" t="e">
        <f t="shared" si="497"/>
        <v>#N/A</v>
      </c>
      <c r="BT237" s="29" t="e">
        <f t="shared" si="497"/>
        <v>#N/A</v>
      </c>
      <c r="BU237" s="29" t="e">
        <f t="shared" si="497"/>
        <v>#N/A</v>
      </c>
      <c r="BV237" s="29" t="e">
        <f t="shared" si="497"/>
        <v>#N/A</v>
      </c>
      <c r="BW237" s="29" t="e">
        <f t="shared" si="497"/>
        <v>#N/A</v>
      </c>
      <c r="BX237" s="29" t="e">
        <f t="shared" si="497"/>
        <v>#N/A</v>
      </c>
      <c r="BY237" s="29" t="e">
        <f t="shared" si="497"/>
        <v>#N/A</v>
      </c>
      <c r="BZ237" s="29" t="e">
        <f t="shared" si="497"/>
        <v>#N/A</v>
      </c>
      <c r="CA237" s="29" t="e">
        <f t="shared" si="497"/>
        <v>#N/A</v>
      </c>
      <c r="CB237" s="29" t="e">
        <f t="shared" si="497"/>
        <v>#N/A</v>
      </c>
      <c r="CC237" s="29" t="e">
        <f t="shared" si="497"/>
        <v>#N/A</v>
      </c>
      <c r="CD237" s="29" t="e">
        <f t="shared" si="497"/>
        <v>#N/A</v>
      </c>
      <c r="CE237" s="6" t="str">
        <f t="shared" si="352"/>
        <v/>
      </c>
      <c r="CF237" s="27" t="e">
        <f>IF(AND(CI237,NOT(AD237)),LOOKUP(CF$5,{0,750,1500},H237:J237),"")</f>
        <v>#N/A</v>
      </c>
      <c r="CG237" s="6" t="str">
        <f t="shared" si="353"/>
        <v/>
      </c>
      <c r="CH237" t="e">
        <f t="shared" si="498"/>
        <v>#N/A</v>
      </c>
      <c r="CI237" t="e">
        <f t="shared" si="499"/>
        <v>#N/A</v>
      </c>
      <c r="CJ237" s="6" t="e">
        <f t="shared" si="11"/>
        <v>#N/A</v>
      </c>
      <c r="CK237" s="6">
        <f t="shared" si="12"/>
        <v>1</v>
      </c>
      <c r="CL237" s="6">
        <f t="shared" si="26"/>
        <v>1</v>
      </c>
      <c r="CM237" s="6">
        <f t="shared" si="13"/>
        <v>0</v>
      </c>
      <c r="CN237" s="6">
        <f t="shared" si="14"/>
        <v>0</v>
      </c>
      <c r="CO237" s="6">
        <f t="shared" si="15"/>
        <v>1</v>
      </c>
      <c r="CP237" s="6">
        <f t="shared" si="16"/>
        <v>1</v>
      </c>
      <c r="CQ237" s="6">
        <f t="shared" si="500"/>
        <v>1</v>
      </c>
      <c r="CR237" s="81" t="str">
        <f t="shared" si="17"/>
        <v/>
      </c>
      <c r="CS237">
        <f t="shared" si="501"/>
        <v>198</v>
      </c>
      <c r="CT237">
        <f t="shared" si="19"/>
        <v>0</v>
      </c>
      <c r="CU237" t="str">
        <f t="shared" si="29"/>
        <v/>
      </c>
      <c r="CV237" s="81">
        <f t="shared" si="502"/>
        <v>0</v>
      </c>
      <c r="CW237" s="81">
        <f>(CV237/25)^1.5*(Calculator!$BU$4/10000)*CW$5</f>
        <v>0</v>
      </c>
      <c r="CX237" t="str">
        <f t="shared" si="503"/>
        <v>$0</v>
      </c>
    </row>
    <row r="238" spans="2:102" x14ac:dyDescent="0.25">
      <c r="B238" s="115" t="s">
        <v>233</v>
      </c>
      <c r="C238" s="13">
        <v>46237.767361111109</v>
      </c>
      <c r="D238">
        <v>19786</v>
      </c>
      <c r="E238" s="54" t="s">
        <v>237</v>
      </c>
      <c r="F238" s="54" t="s">
        <v>603</v>
      </c>
      <c r="G238" s="54" t="s">
        <v>604</v>
      </c>
      <c r="H238" s="55">
        <v>19.2</v>
      </c>
      <c r="I238" s="55">
        <v>18.3</v>
      </c>
      <c r="J238" s="55">
        <v>17.899999999999999</v>
      </c>
      <c r="K238" s="54"/>
      <c r="L238" s="56" t="b">
        <v>0</v>
      </c>
      <c r="M238" s="56" t="b">
        <v>0</v>
      </c>
      <c r="N238" s="54">
        <v>0</v>
      </c>
      <c r="O238" s="54" t="s">
        <v>238</v>
      </c>
      <c r="P238" s="54">
        <v>24</v>
      </c>
      <c r="Q238" s="54">
        <v>0</v>
      </c>
      <c r="R238" s="54">
        <v>0</v>
      </c>
      <c r="S238" s="54" t="s">
        <v>605</v>
      </c>
      <c r="T238" s="54" t="s">
        <v>606</v>
      </c>
      <c r="U238" s="54" t="s">
        <v>607</v>
      </c>
      <c r="V238" s="54" t="s">
        <v>608</v>
      </c>
      <c r="W238" s="54" t="b">
        <v>0</v>
      </c>
      <c r="X238" s="54"/>
      <c r="Y238" s="57" t="s">
        <v>1866</v>
      </c>
      <c r="Z238" s="54" t="s">
        <v>1867</v>
      </c>
      <c r="AA238" s="54"/>
      <c r="AB238" s="54" t="s">
        <v>609</v>
      </c>
      <c r="AC238" s="56" t="b">
        <v>1</v>
      </c>
      <c r="AD238" s="56" t="b">
        <v>0</v>
      </c>
      <c r="AE238" s="54"/>
      <c r="AF238" s="58"/>
      <c r="AG238" s="62" t="s">
        <v>293</v>
      </c>
      <c r="AH238" s="54"/>
      <c r="AI238" s="54"/>
      <c r="AJ238" s="54"/>
      <c r="AK238" s="54"/>
      <c r="AL238" s="54"/>
      <c r="AM238" s="54">
        <v>0</v>
      </c>
      <c r="AN238" s="54"/>
      <c r="AO238" s="54"/>
      <c r="AP238" s="54"/>
      <c r="AQ238" s="54"/>
      <c r="AR238" s="54"/>
      <c r="AS238" s="54"/>
      <c r="AT238" s="54"/>
      <c r="AU238" s="54"/>
      <c r="AV238" s="54"/>
      <c r="AW238" s="54"/>
      <c r="AX238" s="59"/>
      <c r="AY238" s="59"/>
      <c r="AZ238" s="59"/>
      <c r="BA238" s="59"/>
      <c r="BB238" s="59"/>
      <c r="BC238" s="60"/>
      <c r="BD238" s="61"/>
      <c r="BE238" s="62"/>
      <c r="BF238" s="35">
        <f t="shared" si="492"/>
        <v>4.0600000000000005</v>
      </c>
      <c r="BG238" s="35">
        <f t="shared" si="492"/>
        <v>6.0295000000000001E-2</v>
      </c>
      <c r="BH238" s="35" t="str">
        <f t="shared" si="493"/>
        <v>?</v>
      </c>
      <c r="BI238" s="110" t="str">
        <f t="shared" si="494"/>
        <v/>
      </c>
      <c r="BJ238" s="83">
        <f>VLOOKUP($F238,REP_Info!$D$6:$H$250,5,FALSE)</f>
        <v>0.53900000000000003</v>
      </c>
      <c r="BK238" s="30" t="e">
        <f t="shared" si="495"/>
        <v>#N/A</v>
      </c>
      <c r="BL238" s="30" t="e">
        <f t="shared" si="495"/>
        <v>#N/A</v>
      </c>
      <c r="BM238" s="30" t="e">
        <f t="shared" si="495"/>
        <v>#N/A</v>
      </c>
      <c r="BN238" s="29" t="e">
        <f t="shared" si="495"/>
        <v>#N/A</v>
      </c>
      <c r="BO238" s="85" t="str">
        <f t="shared" si="2"/>
        <v>$$$</v>
      </c>
      <c r="BP238" s="88" t="str">
        <f t="shared" si="496"/>
        <v>$$$</v>
      </c>
      <c r="BQ238" s="88" t="str">
        <f t="shared" si="4"/>
        <v>$$$</v>
      </c>
      <c r="BR238" s="88" t="str">
        <f t="shared" si="5"/>
        <v>$$$</v>
      </c>
      <c r="BS238" s="29" t="e">
        <f t="shared" si="497"/>
        <v>#N/A</v>
      </c>
      <c r="BT238" s="29" t="e">
        <f t="shared" si="497"/>
        <v>#N/A</v>
      </c>
      <c r="BU238" s="29" t="e">
        <f t="shared" si="497"/>
        <v>#N/A</v>
      </c>
      <c r="BV238" s="29" t="e">
        <f t="shared" si="497"/>
        <v>#N/A</v>
      </c>
      <c r="BW238" s="29" t="e">
        <f t="shared" si="497"/>
        <v>#N/A</v>
      </c>
      <c r="BX238" s="29" t="e">
        <f t="shared" si="497"/>
        <v>#N/A</v>
      </c>
      <c r="BY238" s="29" t="e">
        <f t="shared" si="497"/>
        <v>#N/A</v>
      </c>
      <c r="BZ238" s="29" t="e">
        <f t="shared" si="497"/>
        <v>#N/A</v>
      </c>
      <c r="CA238" s="29" t="e">
        <f t="shared" si="497"/>
        <v>#N/A</v>
      </c>
      <c r="CB238" s="29" t="e">
        <f t="shared" si="497"/>
        <v>#N/A</v>
      </c>
      <c r="CC238" s="29" t="e">
        <f t="shared" si="497"/>
        <v>#N/A</v>
      </c>
      <c r="CD238" s="29" t="e">
        <f t="shared" si="497"/>
        <v>#N/A</v>
      </c>
      <c r="CE238" s="6" t="str">
        <f t="shared" si="352"/>
        <v/>
      </c>
      <c r="CF238" s="27" t="e">
        <f>IF(AND(CI238,NOT(AD238)),LOOKUP(CF$5,{0,750,1500},H238:J238),"")</f>
        <v>#N/A</v>
      </c>
      <c r="CG238" s="6" t="str">
        <f t="shared" si="353"/>
        <v/>
      </c>
      <c r="CH238" t="e">
        <f t="shared" si="498"/>
        <v>#N/A</v>
      </c>
      <c r="CI238" t="e">
        <f t="shared" si="499"/>
        <v>#N/A</v>
      </c>
      <c r="CJ238" s="6" t="e">
        <f t="shared" si="11"/>
        <v>#N/A</v>
      </c>
      <c r="CK238" s="6">
        <f t="shared" si="12"/>
        <v>1</v>
      </c>
      <c r="CL238" s="6">
        <f t="shared" si="26"/>
        <v>1</v>
      </c>
      <c r="CM238" s="6">
        <f t="shared" si="13"/>
        <v>0</v>
      </c>
      <c r="CN238" s="6">
        <f t="shared" si="14"/>
        <v>0</v>
      </c>
      <c r="CO238" s="6">
        <f t="shared" si="15"/>
        <v>1</v>
      </c>
      <c r="CP238" s="6">
        <f t="shared" si="16"/>
        <v>1</v>
      </c>
      <c r="CQ238" s="6">
        <f t="shared" si="500"/>
        <v>1</v>
      </c>
      <c r="CR238" s="81" t="str">
        <f t="shared" si="17"/>
        <v/>
      </c>
      <c r="CS238" t="e">
        <f t="shared" si="501"/>
        <v>#DIV/0!</v>
      </c>
      <c r="CT238">
        <f t="shared" si="19"/>
        <v>0</v>
      </c>
      <c r="CU238" t="str">
        <f t="shared" si="29"/>
        <v/>
      </c>
      <c r="CV238" s="81">
        <f t="shared" si="502"/>
        <v>0</v>
      </c>
      <c r="CW238" s="81">
        <f>(CV238/25)^1.5*(Calculator!$BU$4/10000)*CW$5</f>
        <v>0</v>
      </c>
      <c r="CX238" t="str">
        <f t="shared" si="503"/>
        <v>$0</v>
      </c>
    </row>
    <row r="239" spans="2:102" x14ac:dyDescent="0.25">
      <c r="B239" s="115" t="s">
        <v>233</v>
      </c>
      <c r="C239" s="13">
        <v>46251.443749999999</v>
      </c>
      <c r="D239">
        <v>22787</v>
      </c>
      <c r="E239" s="54" t="s">
        <v>235</v>
      </c>
      <c r="F239" s="54" t="s">
        <v>603</v>
      </c>
      <c r="G239" s="54" t="s">
        <v>604</v>
      </c>
      <c r="H239" s="55">
        <v>18.899999999999999</v>
      </c>
      <c r="I239" s="55">
        <v>17.899999999999999</v>
      </c>
      <c r="J239" s="55">
        <v>17.399999999999999</v>
      </c>
      <c r="K239" s="54"/>
      <c r="L239" s="56" t="b">
        <v>0</v>
      </c>
      <c r="M239" s="56" t="b">
        <v>0</v>
      </c>
      <c r="N239" s="54">
        <v>0</v>
      </c>
      <c r="O239" s="54" t="s">
        <v>238</v>
      </c>
      <c r="P239" s="54">
        <v>22</v>
      </c>
      <c r="Q239" s="54">
        <v>0</v>
      </c>
      <c r="R239" s="54">
        <v>0</v>
      </c>
      <c r="S239" s="54" t="s">
        <v>605</v>
      </c>
      <c r="T239" s="54" t="s">
        <v>606</v>
      </c>
      <c r="U239" s="54" t="s">
        <v>607</v>
      </c>
      <c r="V239" s="54" t="s">
        <v>608</v>
      </c>
      <c r="W239" s="54" t="b">
        <v>0</v>
      </c>
      <c r="X239" s="54"/>
      <c r="Y239" s="57" t="s">
        <v>2116</v>
      </c>
      <c r="Z239" s="54" t="s">
        <v>2117</v>
      </c>
      <c r="AA239" s="54"/>
      <c r="AB239" s="54" t="s">
        <v>609</v>
      </c>
      <c r="AC239" s="56" t="b">
        <v>1</v>
      </c>
      <c r="AD239" s="56" t="b">
        <v>0</v>
      </c>
      <c r="AE239" s="54"/>
      <c r="AF239" s="58"/>
      <c r="AG239" s="62" t="s">
        <v>293</v>
      </c>
      <c r="AH239" s="54"/>
      <c r="AI239" s="54"/>
      <c r="AJ239" s="54"/>
      <c r="AK239" s="54"/>
      <c r="AL239" s="54"/>
      <c r="AM239" s="54">
        <v>0</v>
      </c>
      <c r="AN239" s="54"/>
      <c r="AO239" s="54"/>
      <c r="AP239" s="54"/>
      <c r="AQ239" s="54"/>
      <c r="AR239" s="54"/>
      <c r="AS239" s="54"/>
      <c r="AT239" s="54"/>
      <c r="AU239" s="54"/>
      <c r="AV239" s="54"/>
      <c r="AW239" s="54"/>
      <c r="AX239" s="59"/>
      <c r="AY239" s="59"/>
      <c r="AZ239" s="59"/>
      <c r="BA239" s="59"/>
      <c r="BB239" s="59"/>
      <c r="BC239" s="60"/>
      <c r="BD239" s="61"/>
      <c r="BE239" s="62"/>
      <c r="BF239" s="35">
        <f t="shared" si="492"/>
        <v>4.9000000000000004</v>
      </c>
      <c r="BG239" s="35">
        <f t="shared" si="492"/>
        <v>4.9811000000000001E-2</v>
      </c>
      <c r="BH239" s="35" t="str">
        <f t="shared" si="493"/>
        <v>?</v>
      </c>
      <c r="BI239" s="110" t="str">
        <f t="shared" si="494"/>
        <v/>
      </c>
      <c r="BJ239" s="83">
        <f>VLOOKUP($F239,REP_Info!$D$6:$H$250,5,FALSE)</f>
        <v>0.53900000000000003</v>
      </c>
      <c r="BK239" s="30" t="e">
        <f t="shared" si="495"/>
        <v>#N/A</v>
      </c>
      <c r="BL239" s="30" t="e">
        <f t="shared" si="495"/>
        <v>#N/A</v>
      </c>
      <c r="BM239" s="30" t="e">
        <f t="shared" si="495"/>
        <v>#N/A</v>
      </c>
      <c r="BN239" s="29" t="e">
        <f t="shared" si="495"/>
        <v>#N/A</v>
      </c>
      <c r="BO239" s="85" t="str">
        <f t="shared" si="2"/>
        <v>$$$</v>
      </c>
      <c r="BP239" s="88" t="str">
        <f t="shared" si="496"/>
        <v>$$$</v>
      </c>
      <c r="BQ239" s="88" t="str">
        <f t="shared" si="4"/>
        <v>$$$</v>
      </c>
      <c r="BR239" s="88" t="str">
        <f t="shared" si="5"/>
        <v>$$$</v>
      </c>
      <c r="BS239" s="29" t="e">
        <f t="shared" si="497"/>
        <v>#N/A</v>
      </c>
      <c r="BT239" s="29" t="e">
        <f t="shared" si="497"/>
        <v>#N/A</v>
      </c>
      <c r="BU239" s="29" t="e">
        <f t="shared" si="497"/>
        <v>#N/A</v>
      </c>
      <c r="BV239" s="29" t="e">
        <f t="shared" si="497"/>
        <v>#N/A</v>
      </c>
      <c r="BW239" s="29" t="e">
        <f t="shared" si="497"/>
        <v>#N/A</v>
      </c>
      <c r="BX239" s="29" t="e">
        <f t="shared" si="497"/>
        <v>#N/A</v>
      </c>
      <c r="BY239" s="29" t="e">
        <f t="shared" si="497"/>
        <v>#N/A</v>
      </c>
      <c r="BZ239" s="29" t="e">
        <f t="shared" si="497"/>
        <v>#N/A</v>
      </c>
      <c r="CA239" s="29" t="e">
        <f t="shared" si="497"/>
        <v>#N/A</v>
      </c>
      <c r="CB239" s="29" t="e">
        <f t="shared" si="497"/>
        <v>#N/A</v>
      </c>
      <c r="CC239" s="29" t="e">
        <f t="shared" si="497"/>
        <v>#N/A</v>
      </c>
      <c r="CD239" s="29" t="e">
        <f t="shared" si="497"/>
        <v>#N/A</v>
      </c>
      <c r="CE239" s="6" t="str">
        <f t="shared" si="352"/>
        <v/>
      </c>
      <c r="CF239" s="27" t="e">
        <f>IF(AND(CI239,NOT(AD239)),LOOKUP(CF$5,{0,750,1500},H239:J239),"")</f>
        <v>#N/A</v>
      </c>
      <c r="CG239" s="6" t="str">
        <f t="shared" si="353"/>
        <v/>
      </c>
      <c r="CH239" t="e">
        <f t="shared" si="498"/>
        <v>#N/A</v>
      </c>
      <c r="CI239" t="e">
        <f t="shared" si="499"/>
        <v>#N/A</v>
      </c>
      <c r="CJ239" s="6" t="e">
        <f t="shared" si="11"/>
        <v>#N/A</v>
      </c>
      <c r="CK239" s="6">
        <f t="shared" si="12"/>
        <v>1</v>
      </c>
      <c r="CL239" s="6">
        <f t="shared" si="26"/>
        <v>1</v>
      </c>
      <c r="CM239" s="6">
        <f t="shared" si="13"/>
        <v>0</v>
      </c>
      <c r="CN239" s="6">
        <f t="shared" si="14"/>
        <v>0</v>
      </c>
      <c r="CO239" s="6">
        <f t="shared" si="15"/>
        <v>1</v>
      </c>
      <c r="CP239" s="6">
        <f t="shared" si="16"/>
        <v>1</v>
      </c>
      <c r="CQ239" s="6">
        <f t="shared" si="500"/>
        <v>1</v>
      </c>
      <c r="CR239" s="81" t="str">
        <f t="shared" si="17"/>
        <v/>
      </c>
      <c r="CS239" t="e">
        <f t="shared" si="501"/>
        <v>#DIV/0!</v>
      </c>
      <c r="CT239">
        <f t="shared" si="19"/>
        <v>0</v>
      </c>
      <c r="CU239" t="str">
        <f t="shared" si="29"/>
        <v/>
      </c>
      <c r="CV239" s="81">
        <f t="shared" si="502"/>
        <v>0</v>
      </c>
      <c r="CW239" s="81">
        <f>(CV239/25)^1.5*(Calculator!$BU$4/10000)*CW$5</f>
        <v>0</v>
      </c>
      <c r="CX239" t="str">
        <f t="shared" si="503"/>
        <v>$0</v>
      </c>
    </row>
    <row r="240" spans="2:102" x14ac:dyDescent="0.25">
      <c r="B240" s="115" t="s">
        <v>233</v>
      </c>
      <c r="C240" s="13">
        <v>46251.443749999999</v>
      </c>
      <c r="D240">
        <v>24816</v>
      </c>
      <c r="E240" s="54" t="s">
        <v>235</v>
      </c>
      <c r="F240" s="54" t="s">
        <v>603</v>
      </c>
      <c r="G240" s="54" t="s">
        <v>610</v>
      </c>
      <c r="H240" s="55">
        <v>15.8</v>
      </c>
      <c r="I240" s="55">
        <v>14.799999999999999</v>
      </c>
      <c r="J240" s="55">
        <v>14.299999999999999</v>
      </c>
      <c r="K240" s="54"/>
      <c r="L240" s="56" t="b">
        <v>0</v>
      </c>
      <c r="M240" s="56" t="b">
        <v>0</v>
      </c>
      <c r="N240" s="54">
        <v>1</v>
      </c>
      <c r="O240" s="54" t="s">
        <v>228</v>
      </c>
      <c r="P240" s="54">
        <v>22</v>
      </c>
      <c r="Q240" s="54">
        <v>24</v>
      </c>
      <c r="R240" s="54">
        <v>295</v>
      </c>
      <c r="S240" s="54" t="s">
        <v>605</v>
      </c>
      <c r="T240" s="54" t="s">
        <v>611</v>
      </c>
      <c r="U240" s="54" t="s">
        <v>607</v>
      </c>
      <c r="V240" s="54" t="s">
        <v>608</v>
      </c>
      <c r="W240" s="54" t="b">
        <v>0</v>
      </c>
      <c r="X240" s="54"/>
      <c r="Y240" s="57" t="s">
        <v>2118</v>
      </c>
      <c r="Z240" s="54" t="s">
        <v>2117</v>
      </c>
      <c r="AA240" s="54"/>
      <c r="AB240" s="54" t="s">
        <v>609</v>
      </c>
      <c r="AC240" s="56" t="b">
        <v>1</v>
      </c>
      <c r="AD240" s="56" t="b">
        <v>0</v>
      </c>
      <c r="AE240" s="54" t="s">
        <v>302</v>
      </c>
      <c r="AF240" s="58">
        <v>46249</v>
      </c>
      <c r="AG240" s="62" t="s">
        <v>293</v>
      </c>
      <c r="AH240" s="54">
        <v>0</v>
      </c>
      <c r="AI240" s="54"/>
      <c r="AJ240" s="54"/>
      <c r="AK240" s="54"/>
      <c r="AL240" s="54"/>
      <c r="AM240" s="54">
        <v>5</v>
      </c>
      <c r="AN240" s="54"/>
      <c r="AO240" s="54"/>
      <c r="AP240" s="54"/>
      <c r="AQ240" s="54"/>
      <c r="AR240" s="54"/>
      <c r="AS240" s="54"/>
      <c r="AT240" s="54"/>
      <c r="AU240" s="54"/>
      <c r="AV240" s="54"/>
      <c r="AW240" s="54"/>
      <c r="AX240" s="59"/>
      <c r="AY240" s="59"/>
      <c r="AZ240" s="59"/>
      <c r="BA240" s="59"/>
      <c r="BB240" s="59">
        <v>8.8555999999999996E-2</v>
      </c>
      <c r="BC240" s="60">
        <v>4.9000000000000004</v>
      </c>
      <c r="BD240" s="61">
        <v>4.9811000000000001E-2</v>
      </c>
      <c r="BE240" s="62" t="s">
        <v>293</v>
      </c>
      <c r="BF240" s="35">
        <f t="shared" si="492"/>
        <v>4.9000000000000004</v>
      </c>
      <c r="BG240" s="35">
        <f t="shared" si="492"/>
        <v>4.9811000000000001E-2</v>
      </c>
      <c r="BH240" s="35" t="str">
        <f t="shared" si="493"/>
        <v>Med</v>
      </c>
      <c r="BI240" s="110">
        <f t="shared" si="494"/>
        <v>0</v>
      </c>
      <c r="BJ240" s="83">
        <f>VLOOKUP($F240,REP_Info!$D$6:$H$250,5,FALSE)</f>
        <v>0.53900000000000003</v>
      </c>
      <c r="BK240" s="30">
        <f t="shared" si="495"/>
        <v>15.816700000000001</v>
      </c>
      <c r="BL240" s="30">
        <f t="shared" si="495"/>
        <v>14.826699999999999</v>
      </c>
      <c r="BM240" s="30">
        <f t="shared" si="495"/>
        <v>14.331700000000001</v>
      </c>
      <c r="BN240" s="29">
        <f t="shared" si="495"/>
        <v>14.166699999999999</v>
      </c>
      <c r="BO240" s="85" t="str">
        <f t="shared" si="2"/>
        <v>$$$</v>
      </c>
      <c r="BP240" s="88" t="str">
        <f t="shared" si="496"/>
        <v>$$$</v>
      </c>
      <c r="BQ240" s="88" t="str">
        <f t="shared" si="4"/>
        <v>$$$</v>
      </c>
      <c r="BR240" s="88" t="str">
        <f t="shared" si="5"/>
        <v>$$$</v>
      </c>
      <c r="BS240" s="29" t="e">
        <f t="shared" si="497"/>
        <v>#N/A</v>
      </c>
      <c r="BT240" s="29" t="e">
        <f t="shared" si="497"/>
        <v>#N/A</v>
      </c>
      <c r="BU240" s="29" t="e">
        <f t="shared" si="497"/>
        <v>#N/A</v>
      </c>
      <c r="BV240" s="29" t="e">
        <f t="shared" si="497"/>
        <v>#N/A</v>
      </c>
      <c r="BW240" s="29" t="e">
        <f t="shared" si="497"/>
        <v>#N/A</v>
      </c>
      <c r="BX240" s="29" t="e">
        <f t="shared" si="497"/>
        <v>#N/A</v>
      </c>
      <c r="BY240" s="29" t="e">
        <f t="shared" si="497"/>
        <v>#N/A</v>
      </c>
      <c r="BZ240" s="29" t="e">
        <f t="shared" si="497"/>
        <v>#N/A</v>
      </c>
      <c r="CA240" s="29" t="e">
        <f t="shared" si="497"/>
        <v>#N/A</v>
      </c>
      <c r="CB240" s="29" t="e">
        <f t="shared" si="497"/>
        <v>#N/A</v>
      </c>
      <c r="CC240" s="29" t="e">
        <f t="shared" si="497"/>
        <v>#N/A</v>
      </c>
      <c r="CD240" s="29" t="e">
        <f t="shared" si="497"/>
        <v>#N/A</v>
      </c>
      <c r="CE240" s="6" t="str">
        <f t="shared" si="352"/>
        <v/>
      </c>
      <c r="CF240" s="27" t="e">
        <f>IF(AND(CI240,NOT(AD240)),LOOKUP(CF$5,{0,750,1500},H240:J240),"")</f>
        <v>#N/A</v>
      </c>
      <c r="CG240" s="6" t="str">
        <f t="shared" si="353"/>
        <v/>
      </c>
      <c r="CH240" t="e">
        <f t="shared" si="498"/>
        <v>#N/A</v>
      </c>
      <c r="CI240" t="e">
        <f t="shared" si="499"/>
        <v>#N/A</v>
      </c>
      <c r="CJ240" s="6" t="e">
        <f t="shared" si="11"/>
        <v>#N/A</v>
      </c>
      <c r="CK240" s="6">
        <f t="shared" si="12"/>
        <v>1</v>
      </c>
      <c r="CL240" s="6">
        <f t="shared" si="26"/>
        <v>1</v>
      </c>
      <c r="CM240" s="6">
        <f t="shared" si="13"/>
        <v>1</v>
      </c>
      <c r="CN240" s="6">
        <f t="shared" si="14"/>
        <v>1</v>
      </c>
      <c r="CO240" s="6">
        <f t="shared" si="15"/>
        <v>0</v>
      </c>
      <c r="CP240" s="6">
        <f t="shared" si="16"/>
        <v>1</v>
      </c>
      <c r="CQ240" s="6">
        <f t="shared" si="500"/>
        <v>1</v>
      </c>
      <c r="CR240" s="81" t="str">
        <f t="shared" si="17"/>
        <v/>
      </c>
      <c r="CS240">
        <f t="shared" si="501"/>
        <v>0</v>
      </c>
      <c r="CT240">
        <f t="shared" si="19"/>
        <v>295</v>
      </c>
      <c r="CU240" t="str">
        <f t="shared" si="29"/>
        <v/>
      </c>
      <c r="CV240" s="81">
        <f t="shared" si="502"/>
        <v>295</v>
      </c>
      <c r="CW240" s="81">
        <f>(CV240/25)^1.5*(Calculator!$BU$4/10000)*CW$5</f>
        <v>104.66393961177546</v>
      </c>
      <c r="CX240" t="str">
        <f t="shared" si="503"/>
        <v>$295</v>
      </c>
    </row>
    <row r="241" spans="2:102" x14ac:dyDescent="0.25">
      <c r="B241" s="115" t="s">
        <v>233</v>
      </c>
      <c r="C241" s="13">
        <v>46237.767361111109</v>
      </c>
      <c r="D241">
        <v>24818</v>
      </c>
      <c r="E241" s="54" t="s">
        <v>237</v>
      </c>
      <c r="F241" s="54" t="s">
        <v>603</v>
      </c>
      <c r="G241" s="54" t="s">
        <v>610</v>
      </c>
      <c r="H241" s="55">
        <v>16.8</v>
      </c>
      <c r="I241" s="55">
        <v>15.9</v>
      </c>
      <c r="J241" s="55">
        <v>15.5</v>
      </c>
      <c r="K241" s="54"/>
      <c r="L241" s="56" t="b">
        <v>0</v>
      </c>
      <c r="M241" s="56" t="b">
        <v>0</v>
      </c>
      <c r="N241" s="54">
        <v>1</v>
      </c>
      <c r="O241" s="54" t="s">
        <v>228</v>
      </c>
      <c r="P241" s="54">
        <v>24</v>
      </c>
      <c r="Q241" s="54">
        <v>24</v>
      </c>
      <c r="R241" s="54">
        <v>295</v>
      </c>
      <c r="S241" s="54" t="s">
        <v>605</v>
      </c>
      <c r="T241" s="54" t="s">
        <v>611</v>
      </c>
      <c r="U241" s="54" t="s">
        <v>607</v>
      </c>
      <c r="V241" s="54" t="s">
        <v>608</v>
      </c>
      <c r="W241" s="54" t="b">
        <v>0</v>
      </c>
      <c r="X241" s="54"/>
      <c r="Y241" s="57" t="s">
        <v>1868</v>
      </c>
      <c r="Z241" s="54" t="s">
        <v>1867</v>
      </c>
      <c r="AA241" s="54"/>
      <c r="AB241" s="54" t="s">
        <v>609</v>
      </c>
      <c r="AC241" s="56" t="b">
        <v>1</v>
      </c>
      <c r="AD241" s="56" t="b">
        <v>0</v>
      </c>
      <c r="AE241" s="54" t="s">
        <v>302</v>
      </c>
      <c r="AF241" s="58">
        <v>46235</v>
      </c>
      <c r="AG241" s="62" t="s">
        <v>293</v>
      </c>
      <c r="AH241" s="54">
        <v>0</v>
      </c>
      <c r="AI241" s="54"/>
      <c r="AJ241" s="54"/>
      <c r="AK241" s="54"/>
      <c r="AL241" s="54"/>
      <c r="AM241" s="54">
        <v>5</v>
      </c>
      <c r="AN241" s="54"/>
      <c r="AO241" s="54"/>
      <c r="AP241" s="54"/>
      <c r="AQ241" s="54"/>
      <c r="AR241" s="54"/>
      <c r="AS241" s="54"/>
      <c r="AT241" s="54"/>
      <c r="AU241" s="54"/>
      <c r="AV241" s="54"/>
      <c r="AW241" s="54"/>
      <c r="AX241" s="59"/>
      <c r="AY241" s="59"/>
      <c r="AZ241" s="59"/>
      <c r="BA241" s="59"/>
      <c r="BB241" s="59">
        <v>8.9701000000000003E-2</v>
      </c>
      <c r="BC241" s="60">
        <v>4.0599999999999996</v>
      </c>
      <c r="BD241" s="61">
        <v>6.0295000000000001E-2</v>
      </c>
      <c r="BE241" s="62" t="s">
        <v>293</v>
      </c>
      <c r="BF241" s="35">
        <f t="shared" si="492"/>
        <v>4.0600000000000005</v>
      </c>
      <c r="BG241" s="35">
        <f t="shared" si="492"/>
        <v>6.0295000000000001E-2</v>
      </c>
      <c r="BH241" s="35" t="str">
        <f t="shared" si="493"/>
        <v>Med</v>
      </c>
      <c r="BI241" s="110">
        <f t="shared" si="494"/>
        <v>0</v>
      </c>
      <c r="BJ241" s="83">
        <f>VLOOKUP($F241,REP_Info!$D$6:$H$250,5,FALSE)</f>
        <v>0.53900000000000003</v>
      </c>
      <c r="BK241" s="30">
        <f t="shared" si="495"/>
        <v>16.811600000000002</v>
      </c>
      <c r="BL241" s="30">
        <f t="shared" si="495"/>
        <v>15.9056</v>
      </c>
      <c r="BM241" s="30">
        <f t="shared" si="495"/>
        <v>15.4526</v>
      </c>
      <c r="BN241" s="29">
        <f t="shared" si="495"/>
        <v>15.301600000000001</v>
      </c>
      <c r="BO241" s="85" t="str">
        <f t="shared" si="2"/>
        <v>$$$</v>
      </c>
      <c r="BP241" s="88" t="str">
        <f t="shared" si="496"/>
        <v>$$$</v>
      </c>
      <c r="BQ241" s="88" t="str">
        <f t="shared" si="4"/>
        <v>$$$</v>
      </c>
      <c r="BR241" s="88" t="str">
        <f t="shared" si="5"/>
        <v>$$$</v>
      </c>
      <c r="BS241" s="29" t="e">
        <f t="shared" si="497"/>
        <v>#N/A</v>
      </c>
      <c r="BT241" s="29" t="e">
        <f t="shared" si="497"/>
        <v>#N/A</v>
      </c>
      <c r="BU241" s="29" t="e">
        <f t="shared" si="497"/>
        <v>#N/A</v>
      </c>
      <c r="BV241" s="29" t="e">
        <f t="shared" si="497"/>
        <v>#N/A</v>
      </c>
      <c r="BW241" s="29" t="e">
        <f t="shared" si="497"/>
        <v>#N/A</v>
      </c>
      <c r="BX241" s="29" t="e">
        <f t="shared" si="497"/>
        <v>#N/A</v>
      </c>
      <c r="BY241" s="29" t="e">
        <f t="shared" si="497"/>
        <v>#N/A</v>
      </c>
      <c r="BZ241" s="29" t="e">
        <f t="shared" si="497"/>
        <v>#N/A</v>
      </c>
      <c r="CA241" s="29" t="e">
        <f t="shared" si="497"/>
        <v>#N/A</v>
      </c>
      <c r="CB241" s="29" t="e">
        <f t="shared" si="497"/>
        <v>#N/A</v>
      </c>
      <c r="CC241" s="29" t="e">
        <f t="shared" si="497"/>
        <v>#N/A</v>
      </c>
      <c r="CD241" s="29" t="e">
        <f t="shared" si="497"/>
        <v>#N/A</v>
      </c>
      <c r="CE241" s="6" t="str">
        <f t="shared" si="352"/>
        <v/>
      </c>
      <c r="CF241" s="27" t="e">
        <f>IF(AND(CI241,NOT(AD241)),LOOKUP(CF$5,{0,750,1500},H241:J241),"")</f>
        <v>#N/A</v>
      </c>
      <c r="CG241" s="6" t="str">
        <f t="shared" si="353"/>
        <v/>
      </c>
      <c r="CH241" t="e">
        <f t="shared" si="498"/>
        <v>#N/A</v>
      </c>
      <c r="CI241" t="e">
        <f t="shared" si="499"/>
        <v>#N/A</v>
      </c>
      <c r="CJ241" s="6" t="e">
        <f t="shared" si="11"/>
        <v>#N/A</v>
      </c>
      <c r="CK241" s="6">
        <f t="shared" si="12"/>
        <v>1</v>
      </c>
      <c r="CL241" s="6">
        <f t="shared" si="26"/>
        <v>1</v>
      </c>
      <c r="CM241" s="6">
        <f t="shared" si="13"/>
        <v>1</v>
      </c>
      <c r="CN241" s="6">
        <f t="shared" si="14"/>
        <v>1</v>
      </c>
      <c r="CO241" s="6">
        <f t="shared" si="15"/>
        <v>0</v>
      </c>
      <c r="CP241" s="6">
        <f t="shared" si="16"/>
        <v>1</v>
      </c>
      <c r="CQ241" s="6">
        <f t="shared" si="500"/>
        <v>1</v>
      </c>
      <c r="CR241" s="81" t="str">
        <f t="shared" si="17"/>
        <v/>
      </c>
      <c r="CS241">
        <f t="shared" si="501"/>
        <v>0</v>
      </c>
      <c r="CT241">
        <f t="shared" si="19"/>
        <v>295</v>
      </c>
      <c r="CU241" t="str">
        <f t="shared" si="29"/>
        <v/>
      </c>
      <c r="CV241" s="81">
        <f t="shared" si="502"/>
        <v>295</v>
      </c>
      <c r="CW241" s="81">
        <f>(CV241/25)^1.5*(Calculator!$BU$4/10000)*CW$5</f>
        <v>104.66393961177546</v>
      </c>
      <c r="CX241" t="str">
        <f t="shared" si="503"/>
        <v>$295</v>
      </c>
    </row>
    <row r="242" spans="2:102" x14ac:dyDescent="0.25">
      <c r="B242" s="115" t="s">
        <v>233</v>
      </c>
      <c r="C242" s="13">
        <v>46252.407638888886</v>
      </c>
      <c r="D242">
        <v>25236</v>
      </c>
      <c r="E242" s="54" t="s">
        <v>235</v>
      </c>
      <c r="F242" s="54" t="s">
        <v>603</v>
      </c>
      <c r="G242" s="54" t="s">
        <v>612</v>
      </c>
      <c r="H242" s="55">
        <v>15.5</v>
      </c>
      <c r="I242" s="55">
        <v>14.499999999999998</v>
      </c>
      <c r="J242" s="55">
        <v>14.000000000000002</v>
      </c>
      <c r="K242" s="54"/>
      <c r="L242" s="56" t="b">
        <v>0</v>
      </c>
      <c r="M242" s="56" t="b">
        <v>0</v>
      </c>
      <c r="N242" s="54">
        <v>1</v>
      </c>
      <c r="O242" s="54" t="s">
        <v>228</v>
      </c>
      <c r="P242" s="54">
        <v>22</v>
      </c>
      <c r="Q242" s="54">
        <v>12</v>
      </c>
      <c r="R242" s="54">
        <v>150</v>
      </c>
      <c r="S242" s="54" t="s">
        <v>605</v>
      </c>
      <c r="T242" s="54" t="s">
        <v>611</v>
      </c>
      <c r="U242" s="54" t="s">
        <v>607</v>
      </c>
      <c r="V242" s="54" t="s">
        <v>608</v>
      </c>
      <c r="W242" s="54" t="b">
        <v>0</v>
      </c>
      <c r="X242" s="54"/>
      <c r="Y242" s="57" t="s">
        <v>2119</v>
      </c>
      <c r="Z242" s="54" t="s">
        <v>2117</v>
      </c>
      <c r="AA242" s="54"/>
      <c r="AB242" s="54" t="s">
        <v>609</v>
      </c>
      <c r="AC242" s="56" t="b">
        <v>1</v>
      </c>
      <c r="AD242" s="56" t="b">
        <v>0</v>
      </c>
      <c r="AE242" s="54" t="s">
        <v>302</v>
      </c>
      <c r="AF242" s="58">
        <v>46249</v>
      </c>
      <c r="AG242" s="62" t="s">
        <v>293</v>
      </c>
      <c r="AH242" s="54">
        <v>0</v>
      </c>
      <c r="AI242" s="54"/>
      <c r="AJ242" s="54"/>
      <c r="AK242" s="54"/>
      <c r="AL242" s="54"/>
      <c r="AM242" s="54">
        <v>5</v>
      </c>
      <c r="AN242" s="54"/>
      <c r="AO242" s="54"/>
      <c r="AP242" s="54"/>
      <c r="AQ242" s="54"/>
      <c r="AR242" s="54"/>
      <c r="AS242" s="54"/>
      <c r="AT242" s="54"/>
      <c r="AU242" s="54"/>
      <c r="AV242" s="54"/>
      <c r="AW242" s="54"/>
      <c r="AX242" s="59"/>
      <c r="AY242" s="59"/>
      <c r="AZ242" s="59"/>
      <c r="BA242" s="59"/>
      <c r="BB242" s="59">
        <v>8.5555999999999993E-2</v>
      </c>
      <c r="BC242" s="60">
        <v>4.9000000000000004</v>
      </c>
      <c r="BD242" s="61">
        <v>4.9811000000000001E-2</v>
      </c>
      <c r="BE242" s="62" t="s">
        <v>293</v>
      </c>
      <c r="BF242" s="35">
        <f t="shared" si="0"/>
        <v>4.9000000000000004</v>
      </c>
      <c r="BG242" s="35">
        <f t="shared" si="0"/>
        <v>4.9811000000000001E-2</v>
      </c>
      <c r="BH242" s="35" t="str">
        <f t="shared" ref="BH242:BH245" si="504">IF(ISTEXT(BE242),IF(AND(AV242=0,SUM(AN242:AQ242)=0),IF(AM242&lt;=0,IF(BE242="Y","Low","Flat"),"Med"),"High"),"?")</f>
        <v>Med</v>
      </c>
      <c r="BI242" s="110">
        <f t="shared" ref="BI242:BI245" si="505">IF(ISNUMBER(AH242),0*BI$5*SIN((EDATE($A$3,$Q242)-DATE(YEAR(EDATE($A$3,$Q242)),1,0)-BI$4)*2*PI()/365),"")</f>
        <v>0</v>
      </c>
      <c r="BJ242" s="83">
        <f>VLOOKUP($F242,REP_Info!$D$6:$H$250,5,FALSE)</f>
        <v>0.53900000000000003</v>
      </c>
      <c r="BK242" s="30">
        <f t="shared" ref="BK242:BN245" si="506">IF(BK$7&gt;0,(LOOKUP(BK$7,$AH242:$AL242,$AM242:$AQ242)+IF($AG242="Y",SUMPRODUCT($AX242:$BB242-$AW242:$BA242,BK$7-$AR242:$AV242,N(BK$7&gt;$AR242:$AV242)),BK$7*LOOKUP(BK$7,$AR242:$AV242,$AX242:$BB242))+IF($BE242="Y",$BF242,$BC242)+BK$7*IF($BE242="Y",$BG242,$BD242))*100/BK$7,"")</f>
        <v>15.5167</v>
      </c>
      <c r="BL242" s="30">
        <f t="shared" si="506"/>
        <v>14.526699999999998</v>
      </c>
      <c r="BM242" s="30">
        <f t="shared" si="506"/>
        <v>14.031700000000001</v>
      </c>
      <c r="BN242" s="29">
        <f t="shared" si="506"/>
        <v>13.8667</v>
      </c>
      <c r="BO242" s="85" t="str">
        <f t="shared" si="2"/>
        <v>$$$</v>
      </c>
      <c r="BP242" s="88" t="str">
        <f t="shared" ref="BP242:BP245" si="507">IFERROR(BO242*100/BO$5,"$$$")</f>
        <v>$$$</v>
      </c>
      <c r="BQ242" s="88" t="str">
        <f t="shared" si="4"/>
        <v>$$$</v>
      </c>
      <c r="BR242" s="88" t="str">
        <f t="shared" si="5"/>
        <v>$$$</v>
      </c>
      <c r="BS242" s="29" t="e">
        <f t="shared" ref="BS242:CD245" si="508">IF($CI242,IF(BS$7&gt;0,IF(BS$4&gt;$Q242,$BF242+BS$7*(BS$5+$BG242+$BI242),LOOKUP(BS$7,$AH242:$AL242,$AM242:$AQ242)+IF($AG242="Y",SUMPRODUCT($AX242:$BB242-$AW242:$BA242,BS$7-$AR242:$AV242,N(BS$7&gt;$AR242:$AV242)),BS$7*LOOKUP(BS$7,$AR242:$AV242,$AX242:$BB242))+IF($BE242="Y",$BF242,$BC242)+BS$7*IF($BE242="Y",$BG242,$BD242))*100/BS$7,""),NA())</f>
        <v>#N/A</v>
      </c>
      <c r="BT242" s="29" t="e">
        <f t="shared" si="508"/>
        <v>#N/A</v>
      </c>
      <c r="BU242" s="29" t="e">
        <f t="shared" si="508"/>
        <v>#N/A</v>
      </c>
      <c r="BV242" s="29" t="e">
        <f t="shared" si="508"/>
        <v>#N/A</v>
      </c>
      <c r="BW242" s="29" t="e">
        <f t="shared" si="508"/>
        <v>#N/A</v>
      </c>
      <c r="BX242" s="29" t="e">
        <f t="shared" si="508"/>
        <v>#N/A</v>
      </c>
      <c r="BY242" s="29" t="e">
        <f t="shared" si="508"/>
        <v>#N/A</v>
      </c>
      <c r="BZ242" s="29" t="e">
        <f t="shared" si="508"/>
        <v>#N/A</v>
      </c>
      <c r="CA242" s="29" t="e">
        <f t="shared" si="508"/>
        <v>#N/A</v>
      </c>
      <c r="CB242" s="29" t="e">
        <f t="shared" si="508"/>
        <v>#N/A</v>
      </c>
      <c r="CC242" s="29" t="e">
        <f t="shared" si="508"/>
        <v>#N/A</v>
      </c>
      <c r="CD242" s="29" t="e">
        <f t="shared" si="508"/>
        <v>#N/A</v>
      </c>
      <c r="CE242" s="6" t="str">
        <f t="shared" si="352"/>
        <v/>
      </c>
      <c r="CF242" s="27" t="e">
        <f>IF(AND(CI242,NOT(AD242)),LOOKUP(CF$5,{0,750,1500},H242:J242),"")</f>
        <v>#N/A</v>
      </c>
      <c r="CG242" s="6" t="str">
        <f t="shared" si="353"/>
        <v/>
      </c>
      <c r="CH242" t="e">
        <f t="shared" ref="CH242:CH245" si="509">IF(CI242,IF(ISNUMBER(BO242),BO242,100000)+CV242/10000+IF(ISNUMBER(BJ242),BJ242,2)/10000-P242/100000+ROW()/10000000,"")</f>
        <v>#N/A</v>
      </c>
      <c r="CI242" t="e">
        <f t="shared" ref="CI242:CI245" si="510">PRODUCT(CJ242:CQ242)</f>
        <v>#N/A</v>
      </c>
      <c r="CJ242" s="6" t="e">
        <f t="shared" si="11"/>
        <v>#N/A</v>
      </c>
      <c r="CK242" s="6">
        <f t="shared" si="12"/>
        <v>1</v>
      </c>
      <c r="CL242" s="6">
        <f t="shared" si="26"/>
        <v>1</v>
      </c>
      <c r="CM242" s="6">
        <f t="shared" si="13"/>
        <v>1</v>
      </c>
      <c r="CN242" s="6">
        <f t="shared" si="14"/>
        <v>1</v>
      </c>
      <c r="CO242" s="6">
        <f t="shared" si="15"/>
        <v>1</v>
      </c>
      <c r="CP242" s="6">
        <f t="shared" si="16"/>
        <v>1</v>
      </c>
      <c r="CQ242" s="6">
        <f t="shared" ref="CQ242:CQ245" si="511">IF(CQ$5="Any",1,IF(AND(CQ$5="Med",AV242=0,SUM(AN242:AQ242)=0),1,IF(AND(CQ$5="Low",AV242=0,SUM(AN242:AQ242)=0,AM242=0),1,IF(AND(CQ$5="Flat",AV242=0,SUM(AN242:AQ242)=0,AM242=0,IFERROR(NOT(BE242="Y"),0)),1,0))))</f>
        <v>1</v>
      </c>
      <c r="CR242" s="81" t="str">
        <f t="shared" si="17"/>
        <v/>
      </c>
      <c r="CS242">
        <f t="shared" ref="CS242:CS245" si="512">CS$5*(12/(MIN(12,Q242))-1)</f>
        <v>0</v>
      </c>
      <c r="CT242">
        <f t="shared" si="19"/>
        <v>150</v>
      </c>
      <c r="CU242" t="str">
        <f t="shared" si="29"/>
        <v/>
      </c>
      <c r="CV242" s="81">
        <f t="shared" ref="CV242:CV245" si="513">CT242*IF(CU242="",1,Q242)</f>
        <v>150</v>
      </c>
      <c r="CW242" s="81">
        <f>(CV242/25)^1.5*(Calculator!$BU$4/10000)*CW$5</f>
        <v>37.949052970673385</v>
      </c>
      <c r="CX242" t="str">
        <f t="shared" ref="CX242:CX245" si="514">"$"&amp;IF(LEFT(CU242,1)="r",CT242&amp;"/"&amp;CU242,CV242)</f>
        <v>$150</v>
      </c>
    </row>
    <row r="243" spans="2:102" x14ac:dyDescent="0.25">
      <c r="B243" s="115" t="s">
        <v>233</v>
      </c>
      <c r="C243" s="13">
        <v>46237.767361111109</v>
      </c>
      <c r="D243">
        <v>25238</v>
      </c>
      <c r="E243" s="54" t="s">
        <v>237</v>
      </c>
      <c r="F243" s="54" t="s">
        <v>603</v>
      </c>
      <c r="G243" s="54" t="s">
        <v>612</v>
      </c>
      <c r="H243" s="55">
        <v>16.5</v>
      </c>
      <c r="I243" s="55">
        <v>15.6</v>
      </c>
      <c r="J243" s="55">
        <v>15.2</v>
      </c>
      <c r="K243" s="54"/>
      <c r="L243" s="56" t="b">
        <v>0</v>
      </c>
      <c r="M243" s="56" t="b">
        <v>0</v>
      </c>
      <c r="N243" s="54">
        <v>1</v>
      </c>
      <c r="O243" s="54" t="s">
        <v>228</v>
      </c>
      <c r="P243" s="54">
        <v>24</v>
      </c>
      <c r="Q243" s="54">
        <v>12</v>
      </c>
      <c r="R243" s="54">
        <v>150</v>
      </c>
      <c r="S243" s="54" t="s">
        <v>605</v>
      </c>
      <c r="T243" s="54" t="s">
        <v>611</v>
      </c>
      <c r="U243" s="54" t="s">
        <v>607</v>
      </c>
      <c r="V243" s="54" t="s">
        <v>608</v>
      </c>
      <c r="W243" s="54" t="b">
        <v>0</v>
      </c>
      <c r="X243" s="54"/>
      <c r="Y243" s="57" t="s">
        <v>1869</v>
      </c>
      <c r="Z243" s="54" t="s">
        <v>1867</v>
      </c>
      <c r="AA243" s="54"/>
      <c r="AB243" s="54" t="s">
        <v>609</v>
      </c>
      <c r="AC243" s="56" t="b">
        <v>1</v>
      </c>
      <c r="AD243" s="56" t="b">
        <v>0</v>
      </c>
      <c r="AE243" s="54" t="s">
        <v>302</v>
      </c>
      <c r="AF243" s="58">
        <v>46235</v>
      </c>
      <c r="AG243" s="62" t="s">
        <v>293</v>
      </c>
      <c r="AH243" s="54">
        <v>0</v>
      </c>
      <c r="AI243" s="54"/>
      <c r="AJ243" s="54"/>
      <c r="AK243" s="54"/>
      <c r="AL243" s="54"/>
      <c r="AM243" s="54">
        <v>5</v>
      </c>
      <c r="AN243" s="54"/>
      <c r="AO243" s="54"/>
      <c r="AP243" s="54"/>
      <c r="AQ243" s="54"/>
      <c r="AR243" s="54"/>
      <c r="AS243" s="54"/>
      <c r="AT243" s="54"/>
      <c r="AU243" s="54"/>
      <c r="AV243" s="54"/>
      <c r="AW243" s="54"/>
      <c r="AX243" s="59"/>
      <c r="AY243" s="59"/>
      <c r="AZ243" s="59"/>
      <c r="BA243" s="59"/>
      <c r="BB243" s="59">
        <v>8.6701E-2</v>
      </c>
      <c r="BC243" s="60">
        <v>4.0599999999999996</v>
      </c>
      <c r="BD243" s="61">
        <v>6.0295000000000001E-2</v>
      </c>
      <c r="BE243" s="62" t="s">
        <v>293</v>
      </c>
      <c r="BF243" s="35">
        <f t="shared" si="0"/>
        <v>4.0600000000000005</v>
      </c>
      <c r="BG243" s="35">
        <f t="shared" si="0"/>
        <v>6.0295000000000001E-2</v>
      </c>
      <c r="BH243" s="35" t="str">
        <f t="shared" si="504"/>
        <v>Med</v>
      </c>
      <c r="BI243" s="110">
        <f t="shared" si="505"/>
        <v>0</v>
      </c>
      <c r="BJ243" s="83">
        <f>VLOOKUP($F243,REP_Info!$D$6:$H$250,5,FALSE)</f>
        <v>0.53900000000000003</v>
      </c>
      <c r="BK243" s="30">
        <f t="shared" si="506"/>
        <v>16.511599999999998</v>
      </c>
      <c r="BL243" s="30">
        <f t="shared" si="506"/>
        <v>15.605599999999999</v>
      </c>
      <c r="BM243" s="30">
        <f t="shared" si="506"/>
        <v>15.1526</v>
      </c>
      <c r="BN243" s="29">
        <f t="shared" si="506"/>
        <v>15.001600000000002</v>
      </c>
      <c r="BO243" s="85" t="str">
        <f t="shared" si="2"/>
        <v>$$$</v>
      </c>
      <c r="BP243" s="88" t="str">
        <f t="shared" si="507"/>
        <v>$$$</v>
      </c>
      <c r="BQ243" s="88" t="str">
        <f t="shared" si="4"/>
        <v>$$$</v>
      </c>
      <c r="BR243" s="88" t="str">
        <f t="shared" si="5"/>
        <v>$$$</v>
      </c>
      <c r="BS243" s="29" t="e">
        <f t="shared" si="508"/>
        <v>#N/A</v>
      </c>
      <c r="BT243" s="29" t="e">
        <f t="shared" si="508"/>
        <v>#N/A</v>
      </c>
      <c r="BU243" s="29" t="e">
        <f t="shared" si="508"/>
        <v>#N/A</v>
      </c>
      <c r="BV243" s="29" t="e">
        <f t="shared" si="508"/>
        <v>#N/A</v>
      </c>
      <c r="BW243" s="29" t="e">
        <f t="shared" si="508"/>
        <v>#N/A</v>
      </c>
      <c r="BX243" s="29" t="e">
        <f t="shared" si="508"/>
        <v>#N/A</v>
      </c>
      <c r="BY243" s="29" t="e">
        <f t="shared" si="508"/>
        <v>#N/A</v>
      </c>
      <c r="BZ243" s="29" t="e">
        <f t="shared" si="508"/>
        <v>#N/A</v>
      </c>
      <c r="CA243" s="29" t="e">
        <f t="shared" si="508"/>
        <v>#N/A</v>
      </c>
      <c r="CB243" s="29" t="e">
        <f t="shared" si="508"/>
        <v>#N/A</v>
      </c>
      <c r="CC243" s="29" t="e">
        <f t="shared" si="508"/>
        <v>#N/A</v>
      </c>
      <c r="CD243" s="29" t="e">
        <f t="shared" si="508"/>
        <v>#N/A</v>
      </c>
      <c r="CE243" s="6" t="str">
        <f t="shared" si="352"/>
        <v/>
      </c>
      <c r="CF243" s="27" t="e">
        <f>IF(AND(CI243,NOT(AD243)),LOOKUP(CF$5,{0,750,1500},H243:J243),"")</f>
        <v>#N/A</v>
      </c>
      <c r="CG243" s="6" t="str">
        <f t="shared" si="353"/>
        <v/>
      </c>
      <c r="CH243" t="e">
        <f t="shared" si="509"/>
        <v>#N/A</v>
      </c>
      <c r="CI243" t="e">
        <f t="shared" si="510"/>
        <v>#N/A</v>
      </c>
      <c r="CJ243" s="6" t="e">
        <f t="shared" si="11"/>
        <v>#N/A</v>
      </c>
      <c r="CK243" s="6">
        <f t="shared" si="12"/>
        <v>1</v>
      </c>
      <c r="CL243" s="6">
        <f t="shared" si="26"/>
        <v>1</v>
      </c>
      <c r="CM243" s="6">
        <f t="shared" si="13"/>
        <v>1</v>
      </c>
      <c r="CN243" s="6">
        <f t="shared" si="14"/>
        <v>1</v>
      </c>
      <c r="CO243" s="6">
        <f t="shared" si="15"/>
        <v>1</v>
      </c>
      <c r="CP243" s="6">
        <f t="shared" si="16"/>
        <v>1</v>
      </c>
      <c r="CQ243" s="6">
        <f t="shared" si="511"/>
        <v>1</v>
      </c>
      <c r="CR243" s="81" t="str">
        <f t="shared" si="17"/>
        <v/>
      </c>
      <c r="CS243">
        <f t="shared" si="512"/>
        <v>0</v>
      </c>
      <c r="CT243">
        <f t="shared" si="19"/>
        <v>150</v>
      </c>
      <c r="CU243" t="str">
        <f t="shared" si="29"/>
        <v/>
      </c>
      <c r="CV243" s="81">
        <f t="shared" si="513"/>
        <v>150</v>
      </c>
      <c r="CW243" s="81">
        <f>(CV243/25)^1.5*(Calculator!$BU$4/10000)*CW$5</f>
        <v>37.949052970673385</v>
      </c>
      <c r="CX243" t="str">
        <f t="shared" si="514"/>
        <v>$150</v>
      </c>
    </row>
    <row r="244" spans="2:102" x14ac:dyDescent="0.25">
      <c r="B244" s="115" t="s">
        <v>233</v>
      </c>
      <c r="C244" s="13">
        <v>46251.443749999999</v>
      </c>
      <c r="D244">
        <v>26804</v>
      </c>
      <c r="E244" s="54" t="s">
        <v>235</v>
      </c>
      <c r="F244" s="54" t="s">
        <v>603</v>
      </c>
      <c r="G244" s="54" t="s">
        <v>613</v>
      </c>
      <c r="H244" s="55">
        <v>15.9</v>
      </c>
      <c r="I244" s="55">
        <v>14.899999999999999</v>
      </c>
      <c r="J244" s="55">
        <v>14.399999999999999</v>
      </c>
      <c r="K244" s="54"/>
      <c r="L244" s="56" t="b">
        <v>0</v>
      </c>
      <c r="M244" s="56" t="b">
        <v>0</v>
      </c>
      <c r="N244" s="54">
        <v>1</v>
      </c>
      <c r="O244" s="54" t="s">
        <v>228</v>
      </c>
      <c r="P244" s="54">
        <v>22</v>
      </c>
      <c r="Q244" s="54">
        <v>36</v>
      </c>
      <c r="R244" s="54">
        <v>395</v>
      </c>
      <c r="S244" s="54" t="s">
        <v>605</v>
      </c>
      <c r="T244" s="54" t="s">
        <v>611</v>
      </c>
      <c r="U244" s="54" t="s">
        <v>607</v>
      </c>
      <c r="V244" s="54" t="s">
        <v>608</v>
      </c>
      <c r="W244" s="54" t="b">
        <v>0</v>
      </c>
      <c r="X244" s="54"/>
      <c r="Y244" s="57" t="s">
        <v>2120</v>
      </c>
      <c r="Z244" s="54" t="s">
        <v>2117</v>
      </c>
      <c r="AA244" s="54"/>
      <c r="AB244" s="54" t="s">
        <v>609</v>
      </c>
      <c r="AC244" s="56" t="b">
        <v>1</v>
      </c>
      <c r="AD244" s="56" t="b">
        <v>0</v>
      </c>
      <c r="AE244" s="54" t="s">
        <v>302</v>
      </c>
      <c r="AF244" s="58">
        <v>46249</v>
      </c>
      <c r="AG244" s="62" t="s">
        <v>293</v>
      </c>
      <c r="AH244" s="54">
        <v>0</v>
      </c>
      <c r="AI244" s="54"/>
      <c r="AJ244" s="54"/>
      <c r="AK244" s="54"/>
      <c r="AL244" s="54"/>
      <c r="AM244" s="54">
        <v>5</v>
      </c>
      <c r="AN244" s="54"/>
      <c r="AO244" s="54"/>
      <c r="AP244" s="54"/>
      <c r="AQ244" s="54"/>
      <c r="AR244" s="54"/>
      <c r="AS244" s="54"/>
      <c r="AT244" s="54"/>
      <c r="AU244" s="54"/>
      <c r="AV244" s="54"/>
      <c r="AW244" s="54"/>
      <c r="AX244" s="59"/>
      <c r="AY244" s="59"/>
      <c r="AZ244" s="59"/>
      <c r="BA244" s="59"/>
      <c r="BB244" s="59">
        <v>8.9555999999999997E-2</v>
      </c>
      <c r="BC244" s="60">
        <v>4.9000000000000004</v>
      </c>
      <c r="BD244" s="61">
        <v>4.9811000000000001E-2</v>
      </c>
      <c r="BE244" s="62" t="s">
        <v>293</v>
      </c>
      <c r="BF244" s="35">
        <f t="shared" ref="BF244:BG245" si="515">IF($E244=$E$4,BF$4,IF($E244=$E$5,BF$5,""))</f>
        <v>4.9000000000000004</v>
      </c>
      <c r="BG244" s="35">
        <f t="shared" si="515"/>
        <v>4.9811000000000001E-2</v>
      </c>
      <c r="BH244" s="35" t="str">
        <f t="shared" si="504"/>
        <v>Med</v>
      </c>
      <c r="BI244" s="110">
        <f t="shared" si="505"/>
        <v>0</v>
      </c>
      <c r="BJ244" s="83">
        <f>VLOOKUP($F244,REP_Info!$D$6:$H$250,5,FALSE)</f>
        <v>0.53900000000000003</v>
      </c>
      <c r="BK244" s="30">
        <f t="shared" si="506"/>
        <v>15.916700000000001</v>
      </c>
      <c r="BL244" s="30">
        <f t="shared" si="506"/>
        <v>14.926699999999999</v>
      </c>
      <c r="BM244" s="30">
        <f t="shared" si="506"/>
        <v>14.431700000000001</v>
      </c>
      <c r="BN244" s="29">
        <f t="shared" si="506"/>
        <v>14.2667</v>
      </c>
      <c r="BO244" s="85" t="str">
        <f t="shared" si="2"/>
        <v>$$$</v>
      </c>
      <c r="BP244" s="88" t="str">
        <f t="shared" si="507"/>
        <v>$$$</v>
      </c>
      <c r="BQ244" s="88" t="str">
        <f t="shared" si="4"/>
        <v>$$$</v>
      </c>
      <c r="BR244" s="88" t="str">
        <f t="shared" si="5"/>
        <v>$$$</v>
      </c>
      <c r="BS244" s="29" t="e">
        <f t="shared" si="508"/>
        <v>#N/A</v>
      </c>
      <c r="BT244" s="29" t="e">
        <f t="shared" si="508"/>
        <v>#N/A</v>
      </c>
      <c r="BU244" s="29" t="e">
        <f t="shared" si="508"/>
        <v>#N/A</v>
      </c>
      <c r="BV244" s="29" t="e">
        <f t="shared" si="508"/>
        <v>#N/A</v>
      </c>
      <c r="BW244" s="29" t="e">
        <f t="shared" si="508"/>
        <v>#N/A</v>
      </c>
      <c r="BX244" s="29" t="e">
        <f t="shared" si="508"/>
        <v>#N/A</v>
      </c>
      <c r="BY244" s="29" t="e">
        <f t="shared" si="508"/>
        <v>#N/A</v>
      </c>
      <c r="BZ244" s="29" t="e">
        <f t="shared" si="508"/>
        <v>#N/A</v>
      </c>
      <c r="CA244" s="29" t="e">
        <f t="shared" si="508"/>
        <v>#N/A</v>
      </c>
      <c r="CB244" s="29" t="e">
        <f t="shared" si="508"/>
        <v>#N/A</v>
      </c>
      <c r="CC244" s="29" t="e">
        <f t="shared" si="508"/>
        <v>#N/A</v>
      </c>
      <c r="CD244" s="29" t="e">
        <f t="shared" si="508"/>
        <v>#N/A</v>
      </c>
      <c r="CE244" s="6" t="str">
        <f t="shared" si="352"/>
        <v/>
      </c>
      <c r="CF244" s="27" t="e">
        <f>IF(AND(CI244,NOT(AD244)),LOOKUP(CF$5,{0,750,1500},H244:J244),"")</f>
        <v>#N/A</v>
      </c>
      <c r="CG244" s="6" t="str">
        <f t="shared" si="353"/>
        <v/>
      </c>
      <c r="CH244" t="e">
        <f t="shared" si="509"/>
        <v>#N/A</v>
      </c>
      <c r="CI244" t="e">
        <f t="shared" si="510"/>
        <v>#N/A</v>
      </c>
      <c r="CJ244" s="6" t="e">
        <f t="shared" si="11"/>
        <v>#N/A</v>
      </c>
      <c r="CK244" s="6">
        <f t="shared" si="12"/>
        <v>1</v>
      </c>
      <c r="CL244" s="6">
        <f t="shared" si="26"/>
        <v>1</v>
      </c>
      <c r="CM244" s="6">
        <f t="shared" si="13"/>
        <v>1</v>
      </c>
      <c r="CN244" s="6">
        <f t="shared" si="14"/>
        <v>1</v>
      </c>
      <c r="CO244" s="6">
        <f t="shared" si="15"/>
        <v>0</v>
      </c>
      <c r="CP244" s="6">
        <f t="shared" si="16"/>
        <v>1</v>
      </c>
      <c r="CQ244" s="6">
        <f t="shared" si="511"/>
        <v>1</v>
      </c>
      <c r="CR244" s="81" t="str">
        <f t="shared" si="17"/>
        <v/>
      </c>
      <c r="CS244">
        <f t="shared" si="512"/>
        <v>0</v>
      </c>
      <c r="CT244">
        <f t="shared" si="19"/>
        <v>395</v>
      </c>
      <c r="CU244" t="str">
        <f t="shared" si="29"/>
        <v/>
      </c>
      <c r="CV244" s="81">
        <f t="shared" si="513"/>
        <v>395</v>
      </c>
      <c r="CW244" s="81">
        <f>(CV244/25)^1.5*(Calculator!$BU$4/10000)*CW$5</f>
        <v>162.16595996535787</v>
      </c>
      <c r="CX244" t="str">
        <f t="shared" si="514"/>
        <v>$395</v>
      </c>
    </row>
    <row r="245" spans="2:102" x14ac:dyDescent="0.25">
      <c r="B245" s="115" t="s">
        <v>233</v>
      </c>
      <c r="C245" s="13">
        <v>46237.767361111109</v>
      </c>
      <c r="D245">
        <v>26808</v>
      </c>
      <c r="E245" s="54" t="s">
        <v>237</v>
      </c>
      <c r="F245" s="54" t="s">
        <v>603</v>
      </c>
      <c r="G245" s="54" t="s">
        <v>613</v>
      </c>
      <c r="H245" s="55">
        <v>17.100000000000001</v>
      </c>
      <c r="I245" s="55">
        <v>16.2</v>
      </c>
      <c r="J245" s="55">
        <v>15.8</v>
      </c>
      <c r="K245" s="54"/>
      <c r="L245" s="56" t="b">
        <v>0</v>
      </c>
      <c r="M245" s="56" t="b">
        <v>0</v>
      </c>
      <c r="N245" s="54">
        <v>1</v>
      </c>
      <c r="O245" s="54" t="s">
        <v>228</v>
      </c>
      <c r="P245" s="54">
        <v>24</v>
      </c>
      <c r="Q245" s="54">
        <v>36</v>
      </c>
      <c r="R245" s="54">
        <v>395</v>
      </c>
      <c r="S245" s="54" t="s">
        <v>605</v>
      </c>
      <c r="T245" s="54" t="s">
        <v>611</v>
      </c>
      <c r="U245" s="54" t="s">
        <v>607</v>
      </c>
      <c r="V245" s="54" t="s">
        <v>608</v>
      </c>
      <c r="W245" s="54" t="b">
        <v>0</v>
      </c>
      <c r="X245" s="54"/>
      <c r="Y245" s="57" t="s">
        <v>1870</v>
      </c>
      <c r="Z245" s="54" t="s">
        <v>1867</v>
      </c>
      <c r="AA245" s="54"/>
      <c r="AB245" s="54" t="s">
        <v>609</v>
      </c>
      <c r="AC245" s="56" t="b">
        <v>1</v>
      </c>
      <c r="AD245" s="56" t="b">
        <v>0</v>
      </c>
      <c r="AE245" s="54" t="s">
        <v>302</v>
      </c>
      <c r="AF245" s="58">
        <v>46235</v>
      </c>
      <c r="AG245" s="62" t="s">
        <v>293</v>
      </c>
      <c r="AH245" s="54">
        <v>0</v>
      </c>
      <c r="AI245" s="54"/>
      <c r="AJ245" s="54"/>
      <c r="AK245" s="54"/>
      <c r="AL245" s="54"/>
      <c r="AM245" s="54">
        <v>5</v>
      </c>
      <c r="AN245" s="54"/>
      <c r="AO245" s="54"/>
      <c r="AP245" s="54"/>
      <c r="AQ245" s="54"/>
      <c r="AR245" s="54"/>
      <c r="AS245" s="54"/>
      <c r="AT245" s="54"/>
      <c r="AU245" s="54"/>
      <c r="AV245" s="54"/>
      <c r="AW245" s="54"/>
      <c r="AX245" s="59"/>
      <c r="AY245" s="59"/>
      <c r="AZ245" s="59"/>
      <c r="BA245" s="59"/>
      <c r="BB245" s="59">
        <v>9.2701000000000006E-2</v>
      </c>
      <c r="BC245" s="60">
        <v>4.0599999999999996</v>
      </c>
      <c r="BD245" s="61">
        <v>6.0295000000000001E-2</v>
      </c>
      <c r="BE245" s="62" t="s">
        <v>293</v>
      </c>
      <c r="BF245" s="35">
        <f t="shared" si="515"/>
        <v>4.0600000000000005</v>
      </c>
      <c r="BG245" s="35">
        <f t="shared" si="515"/>
        <v>6.0295000000000001E-2</v>
      </c>
      <c r="BH245" s="35" t="str">
        <f t="shared" si="504"/>
        <v>Med</v>
      </c>
      <c r="BI245" s="110">
        <f t="shared" si="505"/>
        <v>0</v>
      </c>
      <c r="BJ245" s="83">
        <f>VLOOKUP($F245,REP_Info!$D$6:$H$250,5,FALSE)</f>
        <v>0.53900000000000003</v>
      </c>
      <c r="BK245" s="30">
        <f t="shared" si="506"/>
        <v>17.111600000000003</v>
      </c>
      <c r="BL245" s="30">
        <f t="shared" si="506"/>
        <v>16.2056</v>
      </c>
      <c r="BM245" s="30">
        <f t="shared" si="506"/>
        <v>15.752600000000001</v>
      </c>
      <c r="BN245" s="29">
        <f t="shared" si="506"/>
        <v>15.601600000000001</v>
      </c>
      <c r="BO245" s="85" t="str">
        <f t="shared" si="2"/>
        <v>$$$</v>
      </c>
      <c r="BP245" s="88" t="str">
        <f t="shared" si="507"/>
        <v>$$$</v>
      </c>
      <c r="BQ245" s="88" t="str">
        <f t="shared" si="4"/>
        <v>$$$</v>
      </c>
      <c r="BR245" s="88" t="str">
        <f t="shared" si="5"/>
        <v>$$$</v>
      </c>
      <c r="BS245" s="29" t="e">
        <f t="shared" si="508"/>
        <v>#N/A</v>
      </c>
      <c r="BT245" s="29" t="e">
        <f t="shared" si="508"/>
        <v>#N/A</v>
      </c>
      <c r="BU245" s="29" t="e">
        <f t="shared" si="508"/>
        <v>#N/A</v>
      </c>
      <c r="BV245" s="29" t="e">
        <f t="shared" si="508"/>
        <v>#N/A</v>
      </c>
      <c r="BW245" s="29" t="e">
        <f t="shared" si="508"/>
        <v>#N/A</v>
      </c>
      <c r="BX245" s="29" t="e">
        <f t="shared" si="508"/>
        <v>#N/A</v>
      </c>
      <c r="BY245" s="29" t="e">
        <f t="shared" si="508"/>
        <v>#N/A</v>
      </c>
      <c r="BZ245" s="29" t="e">
        <f t="shared" si="508"/>
        <v>#N/A</v>
      </c>
      <c r="CA245" s="29" t="e">
        <f t="shared" si="508"/>
        <v>#N/A</v>
      </c>
      <c r="CB245" s="29" t="e">
        <f t="shared" si="508"/>
        <v>#N/A</v>
      </c>
      <c r="CC245" s="29" t="e">
        <f t="shared" si="508"/>
        <v>#N/A</v>
      </c>
      <c r="CD245" s="29" t="e">
        <f t="shared" si="508"/>
        <v>#N/A</v>
      </c>
      <c r="CE245" s="6" t="str">
        <f t="shared" si="352"/>
        <v/>
      </c>
      <c r="CF245" s="27" t="e">
        <f>IF(AND(CI245,NOT(AD245)),LOOKUP(CF$5,{0,750,1500},H245:J245),"")</f>
        <v>#N/A</v>
      </c>
      <c r="CG245" s="6" t="str">
        <f t="shared" si="353"/>
        <v/>
      </c>
      <c r="CH245" t="e">
        <f t="shared" si="509"/>
        <v>#N/A</v>
      </c>
      <c r="CI245" t="e">
        <f t="shared" si="510"/>
        <v>#N/A</v>
      </c>
      <c r="CJ245" s="6" t="e">
        <f t="shared" si="11"/>
        <v>#N/A</v>
      </c>
      <c r="CK245" s="6">
        <f t="shared" si="12"/>
        <v>1</v>
      </c>
      <c r="CL245" s="6">
        <f t="shared" si="26"/>
        <v>1</v>
      </c>
      <c r="CM245" s="6">
        <f t="shared" si="13"/>
        <v>1</v>
      </c>
      <c r="CN245" s="6">
        <f t="shared" si="14"/>
        <v>1</v>
      </c>
      <c r="CO245" s="6">
        <f t="shared" si="15"/>
        <v>0</v>
      </c>
      <c r="CP245" s="6">
        <f t="shared" si="16"/>
        <v>1</v>
      </c>
      <c r="CQ245" s="6">
        <f t="shared" si="511"/>
        <v>1</v>
      </c>
      <c r="CR245" s="81" t="str">
        <f t="shared" si="17"/>
        <v/>
      </c>
      <c r="CS245">
        <f t="shared" si="512"/>
        <v>0</v>
      </c>
      <c r="CT245">
        <f t="shared" si="19"/>
        <v>395</v>
      </c>
      <c r="CU245" t="str">
        <f t="shared" si="29"/>
        <v/>
      </c>
      <c r="CV245" s="81">
        <f t="shared" si="513"/>
        <v>395</v>
      </c>
      <c r="CW245" s="81">
        <f>(CV245/25)^1.5*(Calculator!$BU$4/10000)*CW$5</f>
        <v>162.16595996535787</v>
      </c>
      <c r="CX245" t="str">
        <f t="shared" si="514"/>
        <v>$395</v>
      </c>
    </row>
    <row r="246" spans="2:102" x14ac:dyDescent="0.25">
      <c r="B246" s="115" t="s">
        <v>233</v>
      </c>
      <c r="C246" s="13">
        <v>46252.407638888886</v>
      </c>
      <c r="D246">
        <v>28112</v>
      </c>
      <c r="E246" s="54" t="s">
        <v>235</v>
      </c>
      <c r="F246" s="54" t="s">
        <v>603</v>
      </c>
      <c r="G246" s="54" t="s">
        <v>1583</v>
      </c>
      <c r="H246" s="55">
        <v>15.4</v>
      </c>
      <c r="I246" s="55">
        <v>14.399999999999999</v>
      </c>
      <c r="J246" s="55">
        <v>13.900000000000002</v>
      </c>
      <c r="K246" s="54"/>
      <c r="L246" s="56" t="b">
        <v>0</v>
      </c>
      <c r="M246" s="56" t="b">
        <v>0</v>
      </c>
      <c r="N246" s="54">
        <v>1</v>
      </c>
      <c r="O246" s="54" t="s">
        <v>228</v>
      </c>
      <c r="P246" s="54">
        <v>22</v>
      </c>
      <c r="Q246" s="54">
        <v>18</v>
      </c>
      <c r="R246" s="54">
        <v>180</v>
      </c>
      <c r="S246" s="54" t="s">
        <v>605</v>
      </c>
      <c r="T246" s="54" t="s">
        <v>611</v>
      </c>
      <c r="U246" s="54" t="s">
        <v>607</v>
      </c>
      <c r="V246" s="54" t="s">
        <v>608</v>
      </c>
      <c r="W246" s="54" t="b">
        <v>0</v>
      </c>
      <c r="X246" s="54"/>
      <c r="Y246" s="57" t="s">
        <v>2121</v>
      </c>
      <c r="Z246" s="54" t="s">
        <v>2122</v>
      </c>
      <c r="AA246" s="54"/>
      <c r="AB246" s="54" t="s">
        <v>609</v>
      </c>
      <c r="AC246" s="56" t="b">
        <v>1</v>
      </c>
      <c r="AD246" s="56" t="b">
        <v>0</v>
      </c>
      <c r="AE246" s="54" t="s">
        <v>302</v>
      </c>
      <c r="AF246" s="58">
        <v>46249</v>
      </c>
      <c r="AG246" s="62" t="s">
        <v>293</v>
      </c>
      <c r="AH246" s="54">
        <v>0</v>
      </c>
      <c r="AI246" s="54"/>
      <c r="AJ246" s="54"/>
      <c r="AK246" s="54"/>
      <c r="AL246" s="54"/>
      <c r="AM246" s="54">
        <v>5</v>
      </c>
      <c r="AN246" s="54"/>
      <c r="AO246" s="54"/>
      <c r="AP246" s="54"/>
      <c r="AQ246" s="54"/>
      <c r="AR246" s="54"/>
      <c r="AS246" s="54"/>
      <c r="AT246" s="54"/>
      <c r="AU246" s="54"/>
      <c r="AV246" s="54"/>
      <c r="AW246" s="54"/>
      <c r="AX246" s="59"/>
      <c r="AY246" s="59"/>
      <c r="AZ246" s="59"/>
      <c r="BA246" s="59"/>
      <c r="BB246" s="59">
        <v>8.4556000000000006E-2</v>
      </c>
      <c r="BC246" s="60">
        <v>4.9000000000000004</v>
      </c>
      <c r="BD246" s="61">
        <v>4.9811000000000001E-2</v>
      </c>
      <c r="BE246" s="62" t="s">
        <v>293</v>
      </c>
      <c r="BF246" s="35">
        <f t="shared" ref="BF246:BG262" si="516">IF($E246=$E$4,BF$4,IF($E246=$E$5,BF$5,""))</f>
        <v>4.9000000000000004</v>
      </c>
      <c r="BG246" s="35">
        <f t="shared" si="516"/>
        <v>4.9811000000000001E-2</v>
      </c>
      <c r="BH246" s="35" t="str">
        <f t="shared" ref="BH246:BH262" si="517">IF(ISTEXT(BE246),IF(AND(AV246=0,SUM(AN246:AQ246)=0),IF(AM246&lt;=0,IF(BE246="Y","Low","Flat"),"Med"),"High"),"?")</f>
        <v>Med</v>
      </c>
      <c r="BI246" s="110">
        <f t="shared" ref="BI246:BI262" si="518">IF(ISNUMBER(AH246),0*BI$5*SIN((EDATE($A$3,$Q246)-DATE(YEAR(EDATE($A$3,$Q246)),1,0)-BI$4)*2*PI()/365),"")</f>
        <v>0</v>
      </c>
      <c r="BJ246" s="83">
        <f>VLOOKUP($F246,REP_Info!$D$6:$H$250,5,FALSE)</f>
        <v>0.53900000000000003</v>
      </c>
      <c r="BK246" s="30">
        <f t="shared" ref="BK246:BN262" si="519">IF(BK$7&gt;0,(LOOKUP(BK$7,$AH246:$AL246,$AM246:$AQ246)+IF($AG246="Y",SUMPRODUCT($AX246:$BB246-$AW246:$BA246,BK$7-$AR246:$AV246,N(BK$7&gt;$AR246:$AV246)),BK$7*LOOKUP(BK$7,$AR246:$AV246,$AX246:$BB246))+IF($BE246="Y",$BF246,$BC246)+BK$7*IF($BE246="Y",$BG246,$BD246))*100/BK$7,"")</f>
        <v>15.416700000000001</v>
      </c>
      <c r="BL246" s="30">
        <f t="shared" si="519"/>
        <v>14.426700000000002</v>
      </c>
      <c r="BM246" s="30">
        <f t="shared" si="519"/>
        <v>13.931700000000001</v>
      </c>
      <c r="BN246" s="29">
        <f t="shared" si="519"/>
        <v>13.7667</v>
      </c>
      <c r="BO246" s="85" t="str">
        <f t="shared" si="2"/>
        <v>$$$</v>
      </c>
      <c r="BP246" s="88" t="str">
        <f t="shared" ref="BP246:BP262" si="520">IFERROR(BO246*100/BO$5,"$$$")</f>
        <v>$$$</v>
      </c>
      <c r="BQ246" s="88" t="str">
        <f t="shared" si="4"/>
        <v>$$$</v>
      </c>
      <c r="BR246" s="88" t="str">
        <f t="shared" si="5"/>
        <v>$$$</v>
      </c>
      <c r="BS246" s="29" t="e">
        <f t="shared" ref="BS246:CD262" si="521">IF($CI246,IF(BS$7&gt;0,IF(BS$4&gt;$Q246,$BF246+BS$7*(BS$5+$BG246+$BI246),LOOKUP(BS$7,$AH246:$AL246,$AM246:$AQ246)+IF($AG246="Y",SUMPRODUCT($AX246:$BB246-$AW246:$BA246,BS$7-$AR246:$AV246,N(BS$7&gt;$AR246:$AV246)),BS$7*LOOKUP(BS$7,$AR246:$AV246,$AX246:$BB246))+IF($BE246="Y",$BF246,$BC246)+BS$7*IF($BE246="Y",$BG246,$BD246))*100/BS$7,""),NA())</f>
        <v>#N/A</v>
      </c>
      <c r="BT246" s="29" t="e">
        <f t="shared" si="521"/>
        <v>#N/A</v>
      </c>
      <c r="BU246" s="29" t="e">
        <f t="shared" si="521"/>
        <v>#N/A</v>
      </c>
      <c r="BV246" s="29" t="e">
        <f t="shared" si="521"/>
        <v>#N/A</v>
      </c>
      <c r="BW246" s="29" t="e">
        <f t="shared" si="521"/>
        <v>#N/A</v>
      </c>
      <c r="BX246" s="29" t="e">
        <f t="shared" si="521"/>
        <v>#N/A</v>
      </c>
      <c r="BY246" s="29" t="e">
        <f t="shared" si="521"/>
        <v>#N/A</v>
      </c>
      <c r="BZ246" s="29" t="e">
        <f t="shared" si="521"/>
        <v>#N/A</v>
      </c>
      <c r="CA246" s="29" t="e">
        <f t="shared" si="521"/>
        <v>#N/A</v>
      </c>
      <c r="CB246" s="29" t="e">
        <f t="shared" si="521"/>
        <v>#N/A</v>
      </c>
      <c r="CC246" s="29" t="e">
        <f t="shared" si="521"/>
        <v>#N/A</v>
      </c>
      <c r="CD246" s="29" t="e">
        <f t="shared" si="521"/>
        <v>#N/A</v>
      </c>
      <c r="CE246" s="6" t="str">
        <f t="shared" si="352"/>
        <v/>
      </c>
      <c r="CF246" s="27" t="e">
        <f>IF(AND(CI246,NOT(AD246)),LOOKUP(CF$5,{0,750,1500},H246:J246),"")</f>
        <v>#N/A</v>
      </c>
      <c r="CG246" s="6" t="str">
        <f t="shared" si="353"/>
        <v/>
      </c>
      <c r="CH246" t="e">
        <f t="shared" ref="CH246:CH262" si="522">IF(CI246,IF(ISNUMBER(BO246),BO246,100000)+CV246/10000+IF(ISNUMBER(BJ246),BJ246,2)/10000-P246/100000+ROW()/10000000,"")</f>
        <v>#N/A</v>
      </c>
      <c r="CI246" t="e">
        <f t="shared" ref="CI246:CI262" si="523">PRODUCT(CJ246:CQ246)</f>
        <v>#N/A</v>
      </c>
      <c r="CJ246" s="6" t="e">
        <f t="shared" si="11"/>
        <v>#N/A</v>
      </c>
      <c r="CK246" s="6">
        <f t="shared" si="12"/>
        <v>1</v>
      </c>
      <c r="CL246" s="6">
        <f t="shared" si="26"/>
        <v>1</v>
      </c>
      <c r="CM246" s="6">
        <f t="shared" si="13"/>
        <v>1</v>
      </c>
      <c r="CN246" s="6">
        <f t="shared" si="14"/>
        <v>1</v>
      </c>
      <c r="CO246" s="6">
        <f t="shared" si="15"/>
        <v>0</v>
      </c>
      <c r="CP246" s="6">
        <f t="shared" si="16"/>
        <v>1</v>
      </c>
      <c r="CQ246" s="6">
        <f t="shared" ref="CQ246:CQ262" si="524">IF(CQ$5="Any",1,IF(AND(CQ$5="Med",AV246=0,SUM(AN246:AQ246)=0),1,IF(AND(CQ$5="Low",AV246=0,SUM(AN246:AQ246)=0,AM246=0),1,IF(AND(CQ$5="Flat",AV246=0,SUM(AN246:AQ246)=0,AM246=0,IFERROR(NOT(BE246="Y"),0)),1,0))))</f>
        <v>1</v>
      </c>
      <c r="CR246" s="81" t="str">
        <f t="shared" si="17"/>
        <v/>
      </c>
      <c r="CS246">
        <f t="shared" ref="CS246:CS262" si="525">CS$5*(12/(MIN(12,Q246))-1)</f>
        <v>0</v>
      </c>
      <c r="CT246">
        <f t="shared" si="19"/>
        <v>180</v>
      </c>
      <c r="CU246" t="str">
        <f t="shared" si="29"/>
        <v/>
      </c>
      <c r="CV246" s="81">
        <f t="shared" ref="CV246:CV262" si="526">CT246*IF(CU246="",1,Q246)</f>
        <v>180</v>
      </c>
      <c r="CW246" s="81">
        <f>(CV246/25)^1.5*(Calculator!$BU$4/10000)*CW$5</f>
        <v>49.885325635190988</v>
      </c>
      <c r="CX246" t="str">
        <f t="shared" ref="CX246:CX262" si="527">"$"&amp;IF(LEFT(CU246,1)="r",CT246&amp;"/"&amp;CU246,CV246)</f>
        <v>$180</v>
      </c>
    </row>
    <row r="247" spans="2:102" x14ac:dyDescent="0.25">
      <c r="B247" s="115" t="s">
        <v>233</v>
      </c>
      <c r="C247" s="13">
        <v>46237.767361111109</v>
      </c>
      <c r="D247">
        <v>28114</v>
      </c>
      <c r="E247" s="54" t="s">
        <v>237</v>
      </c>
      <c r="F247" s="54" t="s">
        <v>603</v>
      </c>
      <c r="G247" s="54" t="s">
        <v>1583</v>
      </c>
      <c r="H247" s="55">
        <v>16.2</v>
      </c>
      <c r="I247" s="55">
        <v>15.299999999999999</v>
      </c>
      <c r="J247" s="55">
        <v>14.899999999999999</v>
      </c>
      <c r="K247" s="54"/>
      <c r="L247" s="56" t="b">
        <v>0</v>
      </c>
      <c r="M247" s="56" t="b">
        <v>0</v>
      </c>
      <c r="N247" s="54">
        <v>1</v>
      </c>
      <c r="O247" s="54" t="s">
        <v>228</v>
      </c>
      <c r="P247" s="54">
        <v>15</v>
      </c>
      <c r="Q247" s="54">
        <v>18</v>
      </c>
      <c r="R247" s="54">
        <v>180</v>
      </c>
      <c r="S247" s="54" t="s">
        <v>605</v>
      </c>
      <c r="T247" s="54" t="s">
        <v>611</v>
      </c>
      <c r="U247" s="54" t="s">
        <v>607</v>
      </c>
      <c r="V247" s="54" t="s">
        <v>608</v>
      </c>
      <c r="W247" s="54" t="b">
        <v>0</v>
      </c>
      <c r="X247" s="54"/>
      <c r="Y247" s="57" t="s">
        <v>1871</v>
      </c>
      <c r="Z247" s="54" t="s">
        <v>1872</v>
      </c>
      <c r="AA247" s="54"/>
      <c r="AB247" s="54" t="s">
        <v>609</v>
      </c>
      <c r="AC247" s="56" t="b">
        <v>1</v>
      </c>
      <c r="AD247" s="56" t="b">
        <v>0</v>
      </c>
      <c r="AE247" s="54" t="s">
        <v>302</v>
      </c>
      <c r="AF247" s="58">
        <v>46235</v>
      </c>
      <c r="AG247" s="62" t="s">
        <v>293</v>
      </c>
      <c r="AH247" s="54">
        <v>0</v>
      </c>
      <c r="AI247" s="54"/>
      <c r="AJ247" s="54"/>
      <c r="AK247" s="54"/>
      <c r="AL247" s="54"/>
      <c r="AM247" s="54">
        <v>5</v>
      </c>
      <c r="AN247" s="54"/>
      <c r="AO247" s="54"/>
      <c r="AP247" s="54"/>
      <c r="AQ247" s="54"/>
      <c r="AR247" s="54"/>
      <c r="AS247" s="54"/>
      <c r="AT247" s="54"/>
      <c r="AU247" s="54"/>
      <c r="AV247" s="54"/>
      <c r="AW247" s="54"/>
      <c r="AX247" s="59"/>
      <c r="AY247" s="59"/>
      <c r="AZ247" s="59"/>
      <c r="BA247" s="59"/>
      <c r="BB247" s="59">
        <v>8.3700999999999998E-2</v>
      </c>
      <c r="BC247" s="60">
        <v>4.0599999999999996</v>
      </c>
      <c r="BD247" s="61">
        <v>6.0295000000000001E-2</v>
      </c>
      <c r="BE247" s="62" t="s">
        <v>293</v>
      </c>
      <c r="BF247" s="35">
        <f t="shared" si="516"/>
        <v>4.0600000000000005</v>
      </c>
      <c r="BG247" s="35">
        <f t="shared" si="516"/>
        <v>6.0295000000000001E-2</v>
      </c>
      <c r="BH247" s="35" t="str">
        <f t="shared" si="517"/>
        <v>Med</v>
      </c>
      <c r="BI247" s="110">
        <f t="shared" si="518"/>
        <v>0</v>
      </c>
      <c r="BJ247" s="83">
        <f>VLOOKUP($F247,REP_Info!$D$6:$H$250,5,FALSE)</f>
        <v>0.53900000000000003</v>
      </c>
      <c r="BK247" s="30">
        <f t="shared" si="519"/>
        <v>16.211599999999997</v>
      </c>
      <c r="BL247" s="30">
        <f t="shared" si="519"/>
        <v>15.305599999999998</v>
      </c>
      <c r="BM247" s="30">
        <f t="shared" si="519"/>
        <v>14.852600000000001</v>
      </c>
      <c r="BN247" s="29">
        <f t="shared" si="519"/>
        <v>14.701599999999999</v>
      </c>
      <c r="BO247" s="85" t="str">
        <f t="shared" si="2"/>
        <v>$$$</v>
      </c>
      <c r="BP247" s="88" t="str">
        <f t="shared" si="520"/>
        <v>$$$</v>
      </c>
      <c r="BQ247" s="88" t="str">
        <f t="shared" si="4"/>
        <v>$$$</v>
      </c>
      <c r="BR247" s="88" t="str">
        <f t="shared" si="5"/>
        <v>$$$</v>
      </c>
      <c r="BS247" s="29" t="e">
        <f t="shared" si="521"/>
        <v>#N/A</v>
      </c>
      <c r="BT247" s="29" t="e">
        <f t="shared" si="521"/>
        <v>#N/A</v>
      </c>
      <c r="BU247" s="29" t="e">
        <f t="shared" si="521"/>
        <v>#N/A</v>
      </c>
      <c r="BV247" s="29" t="e">
        <f t="shared" si="521"/>
        <v>#N/A</v>
      </c>
      <c r="BW247" s="29" t="e">
        <f t="shared" si="521"/>
        <v>#N/A</v>
      </c>
      <c r="BX247" s="29" t="e">
        <f t="shared" si="521"/>
        <v>#N/A</v>
      </c>
      <c r="BY247" s="29" t="e">
        <f t="shared" si="521"/>
        <v>#N/A</v>
      </c>
      <c r="BZ247" s="29" t="e">
        <f t="shared" si="521"/>
        <v>#N/A</v>
      </c>
      <c r="CA247" s="29" t="e">
        <f t="shared" si="521"/>
        <v>#N/A</v>
      </c>
      <c r="CB247" s="29" t="e">
        <f t="shared" si="521"/>
        <v>#N/A</v>
      </c>
      <c r="CC247" s="29" t="e">
        <f t="shared" si="521"/>
        <v>#N/A</v>
      </c>
      <c r="CD247" s="29" t="e">
        <f t="shared" si="521"/>
        <v>#N/A</v>
      </c>
      <c r="CE247" s="6" t="str">
        <f t="shared" si="352"/>
        <v/>
      </c>
      <c r="CF247" s="27" t="e">
        <f>IF(AND(CI247,NOT(AD247)),LOOKUP(CF$5,{0,750,1500},H247:J247),"")</f>
        <v>#N/A</v>
      </c>
      <c r="CG247" s="6" t="str">
        <f t="shared" si="353"/>
        <v/>
      </c>
      <c r="CH247" t="e">
        <f t="shared" si="522"/>
        <v>#N/A</v>
      </c>
      <c r="CI247" t="e">
        <f t="shared" si="523"/>
        <v>#N/A</v>
      </c>
      <c r="CJ247" s="6" t="e">
        <f t="shared" si="11"/>
        <v>#N/A</v>
      </c>
      <c r="CK247" s="6">
        <f t="shared" si="12"/>
        <v>1</v>
      </c>
      <c r="CL247" s="6">
        <f t="shared" si="26"/>
        <v>1</v>
      </c>
      <c r="CM247" s="6">
        <f t="shared" si="13"/>
        <v>1</v>
      </c>
      <c r="CN247" s="6">
        <f t="shared" si="14"/>
        <v>1</v>
      </c>
      <c r="CO247" s="6">
        <f t="shared" si="15"/>
        <v>0</v>
      </c>
      <c r="CP247" s="6">
        <f t="shared" si="16"/>
        <v>1</v>
      </c>
      <c r="CQ247" s="6">
        <f t="shared" si="524"/>
        <v>1</v>
      </c>
      <c r="CR247" s="81" t="str">
        <f t="shared" si="17"/>
        <v/>
      </c>
      <c r="CS247">
        <f t="shared" si="525"/>
        <v>0</v>
      </c>
      <c r="CT247">
        <f t="shared" si="19"/>
        <v>180</v>
      </c>
      <c r="CU247" t="str">
        <f t="shared" si="29"/>
        <v/>
      </c>
      <c r="CV247" s="81">
        <f t="shared" si="526"/>
        <v>180</v>
      </c>
      <c r="CW247" s="81">
        <f>(CV247/25)^1.5*(Calculator!$BU$4/10000)*CW$5</f>
        <v>49.885325635190988</v>
      </c>
      <c r="CX247" t="str">
        <f t="shared" si="527"/>
        <v>$180</v>
      </c>
    </row>
    <row r="248" spans="2:102" x14ac:dyDescent="0.25">
      <c r="B248" s="115" t="s">
        <v>233</v>
      </c>
      <c r="C248" s="13">
        <v>46252.407638888886</v>
      </c>
      <c r="D248">
        <v>30171</v>
      </c>
      <c r="E248" s="54" t="s">
        <v>235</v>
      </c>
      <c r="F248" s="54" t="s">
        <v>614</v>
      </c>
      <c r="G248" s="54" t="s">
        <v>615</v>
      </c>
      <c r="H248" s="55">
        <v>12.1</v>
      </c>
      <c r="I248" s="55">
        <v>11.200000000000001</v>
      </c>
      <c r="J248" s="55">
        <v>10.8</v>
      </c>
      <c r="K248" s="54"/>
      <c r="L248" s="56" t="b">
        <v>0</v>
      </c>
      <c r="M248" s="56" t="b">
        <v>0</v>
      </c>
      <c r="N248" s="54">
        <v>0</v>
      </c>
      <c r="O248" s="54" t="s">
        <v>238</v>
      </c>
      <c r="P248" s="54">
        <v>24</v>
      </c>
      <c r="Q248" s="54">
        <v>1</v>
      </c>
      <c r="R248" s="54">
        <v>0</v>
      </c>
      <c r="S248" s="54" t="s">
        <v>616</v>
      </c>
      <c r="T248" s="54" t="s">
        <v>617</v>
      </c>
      <c r="U248" s="54" t="s">
        <v>618</v>
      </c>
      <c r="V248" s="54" t="s">
        <v>619</v>
      </c>
      <c r="W248" s="54" t="b">
        <v>0</v>
      </c>
      <c r="X248" s="54"/>
      <c r="Y248" s="57" t="s">
        <v>2173</v>
      </c>
      <c r="Z248" s="54" t="s">
        <v>2174</v>
      </c>
      <c r="AA248" s="54"/>
      <c r="AB248" s="54" t="s">
        <v>620</v>
      </c>
      <c r="AC248" s="56" t="b">
        <v>1</v>
      </c>
      <c r="AD248" s="56" t="b">
        <v>0</v>
      </c>
      <c r="AE248" s="54"/>
      <c r="AF248" s="58"/>
      <c r="AG248" s="62" t="s">
        <v>293</v>
      </c>
      <c r="AH248" s="54"/>
      <c r="AI248" s="54"/>
      <c r="AJ248" s="54"/>
      <c r="AK248" s="54"/>
      <c r="AL248" s="54"/>
      <c r="AM248" s="54">
        <v>0</v>
      </c>
      <c r="AN248" s="54"/>
      <c r="AO248" s="54"/>
      <c r="AP248" s="54"/>
      <c r="AQ248" s="54"/>
      <c r="AR248" s="54"/>
      <c r="AS248" s="54"/>
      <c r="AT248" s="54"/>
      <c r="AU248" s="54"/>
      <c r="AV248" s="54"/>
      <c r="AW248" s="54"/>
      <c r="AX248" s="59"/>
      <c r="AY248" s="59"/>
      <c r="AZ248" s="59"/>
      <c r="BA248" s="59"/>
      <c r="BB248" s="59"/>
      <c r="BC248" s="60"/>
      <c r="BD248" s="61"/>
      <c r="BE248" s="62"/>
      <c r="BF248" s="35">
        <f t="shared" si="516"/>
        <v>4.9000000000000004</v>
      </c>
      <c r="BG248" s="35">
        <f t="shared" si="516"/>
        <v>4.9811000000000001E-2</v>
      </c>
      <c r="BH248" s="35" t="str">
        <f t="shared" si="517"/>
        <v>?</v>
      </c>
      <c r="BI248" s="110" t="str">
        <f t="shared" si="518"/>
        <v/>
      </c>
      <c r="BJ248" s="83">
        <f>VLOOKUP($F248,REP_Info!$D$6:$H$250,5,FALSE)</f>
        <v>0.123</v>
      </c>
      <c r="BK248" s="30" t="e">
        <f t="shared" si="519"/>
        <v>#N/A</v>
      </c>
      <c r="BL248" s="30" t="e">
        <f t="shared" si="519"/>
        <v>#N/A</v>
      </c>
      <c r="BM248" s="30" t="e">
        <f t="shared" si="519"/>
        <v>#N/A</v>
      </c>
      <c r="BN248" s="29" t="e">
        <f t="shared" si="519"/>
        <v>#N/A</v>
      </c>
      <c r="BO248" s="85" t="str">
        <f t="shared" si="2"/>
        <v>$$$</v>
      </c>
      <c r="BP248" s="88" t="str">
        <f t="shared" si="520"/>
        <v>$$$</v>
      </c>
      <c r="BQ248" s="88" t="str">
        <f t="shared" si="4"/>
        <v>$$$</v>
      </c>
      <c r="BR248" s="88" t="str">
        <f t="shared" si="5"/>
        <v>$$$</v>
      </c>
      <c r="BS248" s="29" t="e">
        <f t="shared" si="521"/>
        <v>#N/A</v>
      </c>
      <c r="BT248" s="29" t="e">
        <f t="shared" si="521"/>
        <v>#N/A</v>
      </c>
      <c r="BU248" s="29" t="e">
        <f t="shared" si="521"/>
        <v>#N/A</v>
      </c>
      <c r="BV248" s="29" t="e">
        <f t="shared" si="521"/>
        <v>#N/A</v>
      </c>
      <c r="BW248" s="29" t="e">
        <f t="shared" si="521"/>
        <v>#N/A</v>
      </c>
      <c r="BX248" s="29" t="e">
        <f t="shared" si="521"/>
        <v>#N/A</v>
      </c>
      <c r="BY248" s="29" t="e">
        <f t="shared" si="521"/>
        <v>#N/A</v>
      </c>
      <c r="BZ248" s="29" t="e">
        <f t="shared" si="521"/>
        <v>#N/A</v>
      </c>
      <c r="CA248" s="29" t="e">
        <f t="shared" si="521"/>
        <v>#N/A</v>
      </c>
      <c r="CB248" s="29" t="e">
        <f t="shared" si="521"/>
        <v>#N/A</v>
      </c>
      <c r="CC248" s="29" t="e">
        <f t="shared" si="521"/>
        <v>#N/A</v>
      </c>
      <c r="CD248" s="29" t="e">
        <f t="shared" si="521"/>
        <v>#N/A</v>
      </c>
      <c r="CE248" s="6" t="str">
        <f t="shared" si="352"/>
        <v/>
      </c>
      <c r="CF248" s="27" t="e">
        <f>IF(AND(CI248,NOT(AD248)),LOOKUP(CF$5,{0,750,1500},H248:J248),"")</f>
        <v>#N/A</v>
      </c>
      <c r="CG248" s="6" t="str">
        <f t="shared" si="353"/>
        <v/>
      </c>
      <c r="CH248" t="e">
        <f t="shared" si="522"/>
        <v>#N/A</v>
      </c>
      <c r="CI248" t="e">
        <f t="shared" si="523"/>
        <v>#N/A</v>
      </c>
      <c r="CJ248" s="6" t="e">
        <f t="shared" si="11"/>
        <v>#N/A</v>
      </c>
      <c r="CK248" s="6">
        <f t="shared" si="12"/>
        <v>1</v>
      </c>
      <c r="CL248" s="6">
        <f t="shared" si="26"/>
        <v>1</v>
      </c>
      <c r="CM248" s="6">
        <f t="shared" si="13"/>
        <v>0</v>
      </c>
      <c r="CN248" s="6">
        <f t="shared" si="14"/>
        <v>0</v>
      </c>
      <c r="CO248" s="6">
        <f t="shared" si="15"/>
        <v>1</v>
      </c>
      <c r="CP248" s="6">
        <f t="shared" si="16"/>
        <v>1</v>
      </c>
      <c r="CQ248" s="6">
        <f t="shared" si="524"/>
        <v>1</v>
      </c>
      <c r="CR248" s="81" t="str">
        <f t="shared" si="17"/>
        <v/>
      </c>
      <c r="CS248">
        <f t="shared" si="525"/>
        <v>198</v>
      </c>
      <c r="CT248">
        <f t="shared" si="19"/>
        <v>0</v>
      </c>
      <c r="CU248" t="str">
        <f t="shared" si="29"/>
        <v/>
      </c>
      <c r="CV248" s="81">
        <f t="shared" si="526"/>
        <v>0</v>
      </c>
      <c r="CW248" s="81">
        <f>(CV248/25)^1.5*(Calculator!$BU$4/10000)*CW$5</f>
        <v>0</v>
      </c>
      <c r="CX248" t="str">
        <f t="shared" si="527"/>
        <v>$0</v>
      </c>
    </row>
    <row r="249" spans="2:102" x14ac:dyDescent="0.25">
      <c r="B249" s="115" t="s">
        <v>233</v>
      </c>
      <c r="C249" s="13">
        <v>46252.407638888886</v>
      </c>
      <c r="D249">
        <v>30173</v>
      </c>
      <c r="E249" s="54" t="s">
        <v>237</v>
      </c>
      <c r="F249" s="54" t="s">
        <v>614</v>
      </c>
      <c r="G249" s="54" t="s">
        <v>615</v>
      </c>
      <c r="H249" s="55">
        <v>12.4</v>
      </c>
      <c r="I249" s="55">
        <v>11.600000000000001</v>
      </c>
      <c r="J249" s="55">
        <v>11.1</v>
      </c>
      <c r="K249" s="54"/>
      <c r="L249" s="56" t="b">
        <v>0</v>
      </c>
      <c r="M249" s="56" t="b">
        <v>0</v>
      </c>
      <c r="N249" s="54">
        <v>0</v>
      </c>
      <c r="O249" s="54" t="s">
        <v>238</v>
      </c>
      <c r="P249" s="54">
        <v>24</v>
      </c>
      <c r="Q249" s="54">
        <v>1</v>
      </c>
      <c r="R249" s="54">
        <v>0</v>
      </c>
      <c r="S249" s="54" t="s">
        <v>616</v>
      </c>
      <c r="T249" s="54" t="s">
        <v>617</v>
      </c>
      <c r="U249" s="54" t="s">
        <v>618</v>
      </c>
      <c r="V249" s="54" t="s">
        <v>619</v>
      </c>
      <c r="W249" s="54" t="b">
        <v>0</v>
      </c>
      <c r="X249" s="54"/>
      <c r="Y249" s="57" t="s">
        <v>2175</v>
      </c>
      <c r="Z249" s="54" t="s">
        <v>2176</v>
      </c>
      <c r="AA249" s="54"/>
      <c r="AB249" s="54" t="s">
        <v>620</v>
      </c>
      <c r="AC249" s="56" t="b">
        <v>1</v>
      </c>
      <c r="AD249" s="56" t="b">
        <v>0</v>
      </c>
      <c r="AE249" s="54"/>
      <c r="AF249" s="58"/>
      <c r="AG249" s="62" t="s">
        <v>293</v>
      </c>
      <c r="AH249" s="54"/>
      <c r="AI249" s="54"/>
      <c r="AJ249" s="54"/>
      <c r="AK249" s="54"/>
      <c r="AL249" s="54"/>
      <c r="AM249" s="54">
        <v>0</v>
      </c>
      <c r="AN249" s="54"/>
      <c r="AO249" s="54"/>
      <c r="AP249" s="54"/>
      <c r="AQ249" s="54"/>
      <c r="AR249" s="54"/>
      <c r="AS249" s="54"/>
      <c r="AT249" s="54"/>
      <c r="AU249" s="54"/>
      <c r="AV249" s="54"/>
      <c r="AW249" s="54"/>
      <c r="AX249" s="59"/>
      <c r="AY249" s="59"/>
      <c r="AZ249" s="59"/>
      <c r="BA249" s="59"/>
      <c r="BB249" s="59"/>
      <c r="BC249" s="60"/>
      <c r="BD249" s="61"/>
      <c r="BE249" s="62"/>
      <c r="BF249" s="35">
        <f t="shared" si="516"/>
        <v>4.0600000000000005</v>
      </c>
      <c r="BG249" s="35">
        <f t="shared" si="516"/>
        <v>6.0295000000000001E-2</v>
      </c>
      <c r="BH249" s="35" t="str">
        <f t="shared" si="517"/>
        <v>?</v>
      </c>
      <c r="BI249" s="110" t="str">
        <f t="shared" si="518"/>
        <v/>
      </c>
      <c r="BJ249" s="83">
        <f>VLOOKUP($F249,REP_Info!$D$6:$H$250,5,FALSE)</f>
        <v>0.123</v>
      </c>
      <c r="BK249" s="30" t="e">
        <f t="shared" si="519"/>
        <v>#N/A</v>
      </c>
      <c r="BL249" s="30" t="e">
        <f t="shared" si="519"/>
        <v>#N/A</v>
      </c>
      <c r="BM249" s="30" t="e">
        <f t="shared" si="519"/>
        <v>#N/A</v>
      </c>
      <c r="BN249" s="29" t="e">
        <f t="shared" si="519"/>
        <v>#N/A</v>
      </c>
      <c r="BO249" s="85" t="str">
        <f t="shared" si="2"/>
        <v>$$$</v>
      </c>
      <c r="BP249" s="88" t="str">
        <f t="shared" si="520"/>
        <v>$$$</v>
      </c>
      <c r="BQ249" s="88" t="str">
        <f t="shared" si="4"/>
        <v>$$$</v>
      </c>
      <c r="BR249" s="88" t="str">
        <f t="shared" si="5"/>
        <v>$$$</v>
      </c>
      <c r="BS249" s="29" t="e">
        <f t="shared" si="521"/>
        <v>#N/A</v>
      </c>
      <c r="BT249" s="29" t="e">
        <f t="shared" si="521"/>
        <v>#N/A</v>
      </c>
      <c r="BU249" s="29" t="e">
        <f t="shared" si="521"/>
        <v>#N/A</v>
      </c>
      <c r="BV249" s="29" t="e">
        <f t="shared" si="521"/>
        <v>#N/A</v>
      </c>
      <c r="BW249" s="29" t="e">
        <f t="shared" si="521"/>
        <v>#N/A</v>
      </c>
      <c r="BX249" s="29" t="e">
        <f t="shared" si="521"/>
        <v>#N/A</v>
      </c>
      <c r="BY249" s="29" t="e">
        <f t="shared" si="521"/>
        <v>#N/A</v>
      </c>
      <c r="BZ249" s="29" t="e">
        <f t="shared" si="521"/>
        <v>#N/A</v>
      </c>
      <c r="CA249" s="29" t="e">
        <f t="shared" si="521"/>
        <v>#N/A</v>
      </c>
      <c r="CB249" s="29" t="e">
        <f t="shared" si="521"/>
        <v>#N/A</v>
      </c>
      <c r="CC249" s="29" t="e">
        <f t="shared" si="521"/>
        <v>#N/A</v>
      </c>
      <c r="CD249" s="29" t="e">
        <f t="shared" si="521"/>
        <v>#N/A</v>
      </c>
      <c r="CE249" s="6" t="str">
        <f t="shared" si="352"/>
        <v/>
      </c>
      <c r="CF249" s="27" t="e">
        <f>IF(AND(CI249,NOT(AD249)),LOOKUP(CF$5,{0,750,1500},H249:J249),"")</f>
        <v>#N/A</v>
      </c>
      <c r="CG249" s="6" t="str">
        <f t="shared" si="353"/>
        <v/>
      </c>
      <c r="CH249" t="e">
        <f t="shared" si="522"/>
        <v>#N/A</v>
      </c>
      <c r="CI249" t="e">
        <f t="shared" si="523"/>
        <v>#N/A</v>
      </c>
      <c r="CJ249" s="6" t="e">
        <f t="shared" si="11"/>
        <v>#N/A</v>
      </c>
      <c r="CK249" s="6">
        <f t="shared" si="12"/>
        <v>1</v>
      </c>
      <c r="CL249" s="6">
        <f t="shared" si="26"/>
        <v>1</v>
      </c>
      <c r="CM249" s="6">
        <f t="shared" si="13"/>
        <v>0</v>
      </c>
      <c r="CN249" s="6">
        <f t="shared" si="14"/>
        <v>0</v>
      </c>
      <c r="CO249" s="6">
        <f t="shared" si="15"/>
        <v>1</v>
      </c>
      <c r="CP249" s="6">
        <f t="shared" si="16"/>
        <v>1</v>
      </c>
      <c r="CQ249" s="6">
        <f t="shared" si="524"/>
        <v>1</v>
      </c>
      <c r="CR249" s="81" t="str">
        <f t="shared" si="17"/>
        <v/>
      </c>
      <c r="CS249">
        <f t="shared" si="525"/>
        <v>198</v>
      </c>
      <c r="CT249">
        <f t="shared" si="19"/>
        <v>0</v>
      </c>
      <c r="CU249" t="str">
        <f t="shared" si="29"/>
        <v/>
      </c>
      <c r="CV249" s="81">
        <f t="shared" si="526"/>
        <v>0</v>
      </c>
      <c r="CW249" s="81">
        <f>(CV249/25)^1.5*(Calculator!$BU$4/10000)*CW$5</f>
        <v>0</v>
      </c>
      <c r="CX249" t="str">
        <f t="shared" si="527"/>
        <v>$0</v>
      </c>
    </row>
    <row r="250" spans="2:102" x14ac:dyDescent="0.25">
      <c r="B250" s="115" t="s">
        <v>233</v>
      </c>
      <c r="C250" s="13">
        <v>46252.407638888886</v>
      </c>
      <c r="D250">
        <v>30181</v>
      </c>
      <c r="E250" s="54" t="s">
        <v>235</v>
      </c>
      <c r="F250" s="54" t="s">
        <v>614</v>
      </c>
      <c r="G250" s="54" t="s">
        <v>621</v>
      </c>
      <c r="H250" s="55">
        <v>12.2</v>
      </c>
      <c r="I250" s="55">
        <v>11.3</v>
      </c>
      <c r="J250" s="55">
        <v>10.9</v>
      </c>
      <c r="K250" s="54"/>
      <c r="L250" s="56" t="b">
        <v>0</v>
      </c>
      <c r="M250" s="56" t="b">
        <v>0</v>
      </c>
      <c r="N250" s="54">
        <v>0</v>
      </c>
      <c r="O250" s="54" t="s">
        <v>238</v>
      </c>
      <c r="P250" s="54">
        <v>100</v>
      </c>
      <c r="Q250" s="54">
        <v>1</v>
      </c>
      <c r="R250" s="54">
        <v>0</v>
      </c>
      <c r="S250" s="54" t="s">
        <v>616</v>
      </c>
      <c r="T250" s="54" t="s">
        <v>622</v>
      </c>
      <c r="U250" s="54" t="s">
        <v>618</v>
      </c>
      <c r="V250" s="54" t="s">
        <v>619</v>
      </c>
      <c r="W250" s="54" t="b">
        <v>0</v>
      </c>
      <c r="X250" s="54"/>
      <c r="Y250" s="57" t="s">
        <v>2177</v>
      </c>
      <c r="Z250" s="54" t="s">
        <v>2178</v>
      </c>
      <c r="AA250" s="54"/>
      <c r="AB250" s="54" t="s">
        <v>620</v>
      </c>
      <c r="AC250" s="56" t="b">
        <v>1</v>
      </c>
      <c r="AD250" s="56" t="b">
        <v>0</v>
      </c>
      <c r="AE250" s="54"/>
      <c r="AF250" s="58"/>
      <c r="AG250" s="62" t="s">
        <v>293</v>
      </c>
      <c r="AH250" s="54"/>
      <c r="AI250" s="54"/>
      <c r="AJ250" s="54"/>
      <c r="AK250" s="54"/>
      <c r="AL250" s="54"/>
      <c r="AM250" s="54">
        <v>0</v>
      </c>
      <c r="AN250" s="54"/>
      <c r="AO250" s="54"/>
      <c r="AP250" s="54"/>
      <c r="AQ250" s="54"/>
      <c r="AR250" s="54"/>
      <c r="AS250" s="54"/>
      <c r="AT250" s="54"/>
      <c r="AU250" s="54"/>
      <c r="AV250" s="54"/>
      <c r="AW250" s="54"/>
      <c r="AX250" s="59"/>
      <c r="AY250" s="59"/>
      <c r="AZ250" s="59"/>
      <c r="BA250" s="59"/>
      <c r="BB250" s="59"/>
      <c r="BC250" s="60"/>
      <c r="BD250" s="61"/>
      <c r="BE250" s="62"/>
      <c r="BF250" s="35">
        <f t="shared" si="516"/>
        <v>4.9000000000000004</v>
      </c>
      <c r="BG250" s="35">
        <f t="shared" si="516"/>
        <v>4.9811000000000001E-2</v>
      </c>
      <c r="BH250" s="35" t="str">
        <f t="shared" si="517"/>
        <v>?</v>
      </c>
      <c r="BI250" s="110" t="str">
        <f t="shared" si="518"/>
        <v/>
      </c>
      <c r="BJ250" s="83">
        <f>VLOOKUP($F250,REP_Info!$D$6:$H$250,5,FALSE)</f>
        <v>0.123</v>
      </c>
      <c r="BK250" s="30" t="e">
        <f t="shared" si="519"/>
        <v>#N/A</v>
      </c>
      <c r="BL250" s="30" t="e">
        <f t="shared" si="519"/>
        <v>#N/A</v>
      </c>
      <c r="BM250" s="30" t="e">
        <f t="shared" si="519"/>
        <v>#N/A</v>
      </c>
      <c r="BN250" s="29" t="e">
        <f t="shared" si="519"/>
        <v>#N/A</v>
      </c>
      <c r="BO250" s="85" t="str">
        <f t="shared" si="2"/>
        <v>$$$</v>
      </c>
      <c r="BP250" s="88" t="str">
        <f t="shared" si="520"/>
        <v>$$$</v>
      </c>
      <c r="BQ250" s="88" t="str">
        <f t="shared" si="4"/>
        <v>$$$</v>
      </c>
      <c r="BR250" s="88" t="str">
        <f t="shared" si="5"/>
        <v>$$$</v>
      </c>
      <c r="BS250" s="29" t="e">
        <f t="shared" si="521"/>
        <v>#N/A</v>
      </c>
      <c r="BT250" s="29" t="e">
        <f t="shared" si="521"/>
        <v>#N/A</v>
      </c>
      <c r="BU250" s="29" t="e">
        <f t="shared" si="521"/>
        <v>#N/A</v>
      </c>
      <c r="BV250" s="29" t="e">
        <f t="shared" si="521"/>
        <v>#N/A</v>
      </c>
      <c r="BW250" s="29" t="e">
        <f t="shared" si="521"/>
        <v>#N/A</v>
      </c>
      <c r="BX250" s="29" t="e">
        <f t="shared" si="521"/>
        <v>#N/A</v>
      </c>
      <c r="BY250" s="29" t="e">
        <f t="shared" si="521"/>
        <v>#N/A</v>
      </c>
      <c r="BZ250" s="29" t="e">
        <f t="shared" si="521"/>
        <v>#N/A</v>
      </c>
      <c r="CA250" s="29" t="e">
        <f t="shared" si="521"/>
        <v>#N/A</v>
      </c>
      <c r="CB250" s="29" t="e">
        <f t="shared" si="521"/>
        <v>#N/A</v>
      </c>
      <c r="CC250" s="29" t="e">
        <f t="shared" si="521"/>
        <v>#N/A</v>
      </c>
      <c r="CD250" s="29" t="e">
        <f t="shared" si="521"/>
        <v>#N/A</v>
      </c>
      <c r="CE250" s="6" t="str">
        <f t="shared" si="352"/>
        <v/>
      </c>
      <c r="CF250" s="27" t="e">
        <f>IF(AND(CI250,NOT(AD250)),LOOKUP(CF$5,{0,750,1500},H250:J250),"")</f>
        <v>#N/A</v>
      </c>
      <c r="CG250" s="6" t="str">
        <f t="shared" si="353"/>
        <v/>
      </c>
      <c r="CH250" t="e">
        <f t="shared" si="522"/>
        <v>#N/A</v>
      </c>
      <c r="CI250" t="e">
        <f t="shared" si="523"/>
        <v>#N/A</v>
      </c>
      <c r="CJ250" s="6" t="e">
        <f t="shared" si="11"/>
        <v>#N/A</v>
      </c>
      <c r="CK250" s="6">
        <f t="shared" si="12"/>
        <v>1</v>
      </c>
      <c r="CL250" s="6">
        <f t="shared" si="26"/>
        <v>1</v>
      </c>
      <c r="CM250" s="6">
        <f t="shared" si="13"/>
        <v>0</v>
      </c>
      <c r="CN250" s="6">
        <f t="shared" si="14"/>
        <v>0</v>
      </c>
      <c r="CO250" s="6">
        <f t="shared" si="15"/>
        <v>1</v>
      </c>
      <c r="CP250" s="6">
        <f t="shared" si="16"/>
        <v>1</v>
      </c>
      <c r="CQ250" s="6">
        <f t="shared" si="524"/>
        <v>1</v>
      </c>
      <c r="CR250" s="81" t="str">
        <f t="shared" si="17"/>
        <v/>
      </c>
      <c r="CS250">
        <f t="shared" si="525"/>
        <v>198</v>
      </c>
      <c r="CT250">
        <f t="shared" si="19"/>
        <v>0</v>
      </c>
      <c r="CU250" t="str">
        <f t="shared" si="29"/>
        <v/>
      </c>
      <c r="CV250" s="81">
        <f t="shared" si="526"/>
        <v>0</v>
      </c>
      <c r="CW250" s="81">
        <f>(CV250/25)^1.5*(Calculator!$BU$4/10000)*CW$5</f>
        <v>0</v>
      </c>
      <c r="CX250" t="str">
        <f t="shared" si="527"/>
        <v>$0</v>
      </c>
    </row>
    <row r="251" spans="2:102" x14ac:dyDescent="0.25">
      <c r="B251" s="115" t="s">
        <v>233</v>
      </c>
      <c r="C251" s="13">
        <v>46252.407638888886</v>
      </c>
      <c r="D251">
        <v>30183</v>
      </c>
      <c r="E251" s="54" t="s">
        <v>237</v>
      </c>
      <c r="F251" s="54" t="s">
        <v>614</v>
      </c>
      <c r="G251" s="54" t="s">
        <v>621</v>
      </c>
      <c r="H251" s="55">
        <v>12.5</v>
      </c>
      <c r="I251" s="55">
        <v>11.700000000000001</v>
      </c>
      <c r="J251" s="55">
        <v>11.3</v>
      </c>
      <c r="K251" s="54"/>
      <c r="L251" s="56" t="b">
        <v>0</v>
      </c>
      <c r="M251" s="56" t="b">
        <v>0</v>
      </c>
      <c r="N251" s="54">
        <v>0</v>
      </c>
      <c r="O251" s="54" t="s">
        <v>238</v>
      </c>
      <c r="P251" s="54">
        <v>100</v>
      </c>
      <c r="Q251" s="54">
        <v>1</v>
      </c>
      <c r="R251" s="54">
        <v>0</v>
      </c>
      <c r="S251" s="54" t="s">
        <v>616</v>
      </c>
      <c r="T251" s="54" t="s">
        <v>622</v>
      </c>
      <c r="U251" s="54" t="s">
        <v>618</v>
      </c>
      <c r="V251" s="54" t="s">
        <v>619</v>
      </c>
      <c r="W251" s="54" t="b">
        <v>0</v>
      </c>
      <c r="X251" s="54"/>
      <c r="Y251" s="57" t="s">
        <v>2179</v>
      </c>
      <c r="Z251" s="54" t="s">
        <v>2180</v>
      </c>
      <c r="AA251" s="54"/>
      <c r="AB251" s="54" t="s">
        <v>620</v>
      </c>
      <c r="AC251" s="56" t="b">
        <v>1</v>
      </c>
      <c r="AD251" s="56" t="b">
        <v>0</v>
      </c>
      <c r="AE251" s="54"/>
      <c r="AF251" s="58"/>
      <c r="AG251" s="62" t="s">
        <v>293</v>
      </c>
      <c r="AH251" s="54"/>
      <c r="AI251" s="54"/>
      <c r="AJ251" s="54"/>
      <c r="AK251" s="54"/>
      <c r="AL251" s="54"/>
      <c r="AM251" s="54">
        <v>0</v>
      </c>
      <c r="AN251" s="54"/>
      <c r="AO251" s="54"/>
      <c r="AP251" s="54"/>
      <c r="AQ251" s="54"/>
      <c r="AR251" s="54"/>
      <c r="AS251" s="54"/>
      <c r="AT251" s="54"/>
      <c r="AU251" s="54"/>
      <c r="AV251" s="54"/>
      <c r="AW251" s="54"/>
      <c r="AX251" s="59"/>
      <c r="AY251" s="59"/>
      <c r="AZ251" s="59"/>
      <c r="BA251" s="59"/>
      <c r="BB251" s="59"/>
      <c r="BC251" s="60"/>
      <c r="BD251" s="61"/>
      <c r="BE251" s="62"/>
      <c r="BF251" s="35">
        <f t="shared" si="516"/>
        <v>4.0600000000000005</v>
      </c>
      <c r="BG251" s="35">
        <f t="shared" si="516"/>
        <v>6.0295000000000001E-2</v>
      </c>
      <c r="BH251" s="35" t="str">
        <f t="shared" si="517"/>
        <v>?</v>
      </c>
      <c r="BI251" s="110" t="str">
        <f t="shared" si="518"/>
        <v/>
      </c>
      <c r="BJ251" s="83">
        <f>VLOOKUP($F251,REP_Info!$D$6:$H$250,5,FALSE)</f>
        <v>0.123</v>
      </c>
      <c r="BK251" s="30" t="e">
        <f t="shared" si="519"/>
        <v>#N/A</v>
      </c>
      <c r="BL251" s="30" t="e">
        <f t="shared" si="519"/>
        <v>#N/A</v>
      </c>
      <c r="BM251" s="30" t="e">
        <f t="shared" si="519"/>
        <v>#N/A</v>
      </c>
      <c r="BN251" s="29" t="e">
        <f t="shared" si="519"/>
        <v>#N/A</v>
      </c>
      <c r="BO251" s="85" t="str">
        <f t="shared" si="2"/>
        <v>$$$</v>
      </c>
      <c r="BP251" s="88" t="str">
        <f t="shared" si="520"/>
        <v>$$$</v>
      </c>
      <c r="BQ251" s="88" t="str">
        <f t="shared" si="4"/>
        <v>$$$</v>
      </c>
      <c r="BR251" s="88" t="str">
        <f t="shared" si="5"/>
        <v>$$$</v>
      </c>
      <c r="BS251" s="29" t="e">
        <f t="shared" si="521"/>
        <v>#N/A</v>
      </c>
      <c r="BT251" s="29" t="e">
        <f t="shared" si="521"/>
        <v>#N/A</v>
      </c>
      <c r="BU251" s="29" t="e">
        <f t="shared" si="521"/>
        <v>#N/A</v>
      </c>
      <c r="BV251" s="29" t="e">
        <f t="shared" si="521"/>
        <v>#N/A</v>
      </c>
      <c r="BW251" s="29" t="e">
        <f t="shared" si="521"/>
        <v>#N/A</v>
      </c>
      <c r="BX251" s="29" t="e">
        <f t="shared" si="521"/>
        <v>#N/A</v>
      </c>
      <c r="BY251" s="29" t="e">
        <f t="shared" si="521"/>
        <v>#N/A</v>
      </c>
      <c r="BZ251" s="29" t="e">
        <f t="shared" si="521"/>
        <v>#N/A</v>
      </c>
      <c r="CA251" s="29" t="e">
        <f t="shared" si="521"/>
        <v>#N/A</v>
      </c>
      <c r="CB251" s="29" t="e">
        <f t="shared" si="521"/>
        <v>#N/A</v>
      </c>
      <c r="CC251" s="29" t="e">
        <f t="shared" si="521"/>
        <v>#N/A</v>
      </c>
      <c r="CD251" s="29" t="e">
        <f t="shared" si="521"/>
        <v>#N/A</v>
      </c>
      <c r="CE251" s="6" t="str">
        <f t="shared" si="352"/>
        <v/>
      </c>
      <c r="CF251" s="27" t="e">
        <f>IF(AND(CI251,NOT(AD251)),LOOKUP(CF$5,{0,750,1500},H251:J251),"")</f>
        <v>#N/A</v>
      </c>
      <c r="CG251" s="6" t="str">
        <f t="shared" si="353"/>
        <v/>
      </c>
      <c r="CH251" t="e">
        <f t="shared" si="522"/>
        <v>#N/A</v>
      </c>
      <c r="CI251" t="e">
        <f t="shared" si="523"/>
        <v>#N/A</v>
      </c>
      <c r="CJ251" s="6" t="e">
        <f t="shared" si="11"/>
        <v>#N/A</v>
      </c>
      <c r="CK251" s="6">
        <f t="shared" si="12"/>
        <v>1</v>
      </c>
      <c r="CL251" s="6">
        <f t="shared" si="26"/>
        <v>1</v>
      </c>
      <c r="CM251" s="6">
        <f t="shared" si="13"/>
        <v>0</v>
      </c>
      <c r="CN251" s="6">
        <f t="shared" si="14"/>
        <v>0</v>
      </c>
      <c r="CO251" s="6">
        <f t="shared" si="15"/>
        <v>1</v>
      </c>
      <c r="CP251" s="6">
        <f t="shared" si="16"/>
        <v>1</v>
      </c>
      <c r="CQ251" s="6">
        <f t="shared" si="524"/>
        <v>1</v>
      </c>
      <c r="CR251" s="81" t="str">
        <f t="shared" si="17"/>
        <v/>
      </c>
      <c r="CS251">
        <f t="shared" si="525"/>
        <v>198</v>
      </c>
      <c r="CT251">
        <f t="shared" si="19"/>
        <v>0</v>
      </c>
      <c r="CU251" t="str">
        <f t="shared" si="29"/>
        <v/>
      </c>
      <c r="CV251" s="81">
        <f t="shared" si="526"/>
        <v>0</v>
      </c>
      <c r="CW251" s="81">
        <f>(CV251/25)^1.5*(Calculator!$BU$4/10000)*CW$5</f>
        <v>0</v>
      </c>
      <c r="CX251" t="str">
        <f t="shared" si="527"/>
        <v>$0</v>
      </c>
    </row>
    <row r="252" spans="2:102" x14ac:dyDescent="0.25">
      <c r="B252" s="115" t="s">
        <v>233</v>
      </c>
      <c r="C252" s="13">
        <v>46252.407638888886</v>
      </c>
      <c r="D252">
        <v>30349</v>
      </c>
      <c r="E252" s="54" t="s">
        <v>235</v>
      </c>
      <c r="F252" s="54" t="s">
        <v>614</v>
      </c>
      <c r="G252" s="54" t="s">
        <v>623</v>
      </c>
      <c r="H252" s="55">
        <v>12.5</v>
      </c>
      <c r="I252" s="55">
        <v>11.600000000000001</v>
      </c>
      <c r="J252" s="55">
        <v>11.200000000000001</v>
      </c>
      <c r="K252" s="54"/>
      <c r="L252" s="56" t="b">
        <v>0</v>
      </c>
      <c r="M252" s="56" t="b">
        <v>0</v>
      </c>
      <c r="N252" s="54">
        <v>1</v>
      </c>
      <c r="O252" s="54" t="s">
        <v>228</v>
      </c>
      <c r="P252" s="54">
        <v>24</v>
      </c>
      <c r="Q252" s="54">
        <v>9</v>
      </c>
      <c r="R252" s="54">
        <v>175</v>
      </c>
      <c r="S252" s="54" t="s">
        <v>616</v>
      </c>
      <c r="T252" s="54" t="s">
        <v>617</v>
      </c>
      <c r="U252" s="54" t="s">
        <v>618</v>
      </c>
      <c r="V252" s="54" t="s">
        <v>619</v>
      </c>
      <c r="W252" s="54" t="b">
        <v>0</v>
      </c>
      <c r="X252" s="54"/>
      <c r="Y252" s="57" t="s">
        <v>2181</v>
      </c>
      <c r="Z252" s="54" t="s">
        <v>2182</v>
      </c>
      <c r="AA252" s="54"/>
      <c r="AB252" s="54" t="s">
        <v>620</v>
      </c>
      <c r="AC252" s="56" t="b">
        <v>1</v>
      </c>
      <c r="AD252" s="56" t="b">
        <v>0</v>
      </c>
      <c r="AE252" s="54" t="s">
        <v>302</v>
      </c>
      <c r="AF252" s="58">
        <v>46251</v>
      </c>
      <c r="AG252" s="62" t="s">
        <v>293</v>
      </c>
      <c r="AH252" s="54">
        <v>0</v>
      </c>
      <c r="AI252" s="54"/>
      <c r="AJ252" s="54"/>
      <c r="AK252" s="54"/>
      <c r="AL252" s="54"/>
      <c r="AM252" s="54">
        <v>4</v>
      </c>
      <c r="AN252" s="54"/>
      <c r="AO252" s="54"/>
      <c r="AP252" s="54"/>
      <c r="AQ252" s="54"/>
      <c r="AR252" s="54"/>
      <c r="AS252" s="54"/>
      <c r="AT252" s="54"/>
      <c r="AU252" s="54"/>
      <c r="AV252" s="54"/>
      <c r="AW252" s="54"/>
      <c r="AX252" s="59"/>
      <c r="AY252" s="59"/>
      <c r="AZ252" s="59"/>
      <c r="BA252" s="59"/>
      <c r="BB252" s="59">
        <v>5.765E-2</v>
      </c>
      <c r="BC252" s="60">
        <v>4.9000000000000004</v>
      </c>
      <c r="BD252" s="61">
        <v>4.9811000000000001E-2</v>
      </c>
      <c r="BE252" s="62" t="s">
        <v>293</v>
      </c>
      <c r="BF252" s="35">
        <f t="shared" si="516"/>
        <v>4.9000000000000004</v>
      </c>
      <c r="BG252" s="35">
        <f t="shared" si="516"/>
        <v>4.9811000000000001E-2</v>
      </c>
      <c r="BH252" s="35" t="str">
        <f t="shared" si="517"/>
        <v>Med</v>
      </c>
      <c r="BI252" s="110">
        <f t="shared" si="518"/>
        <v>0</v>
      </c>
      <c r="BJ252" s="83">
        <f>VLOOKUP($F252,REP_Info!$D$6:$H$250,5,FALSE)</f>
        <v>0.123</v>
      </c>
      <c r="BK252" s="30">
        <f t="shared" si="519"/>
        <v>12.5261</v>
      </c>
      <c r="BL252" s="30">
        <f t="shared" si="519"/>
        <v>11.636099999999999</v>
      </c>
      <c r="BM252" s="30">
        <f t="shared" si="519"/>
        <v>11.1911</v>
      </c>
      <c r="BN252" s="29">
        <f t="shared" si="519"/>
        <v>11.042766666666667</v>
      </c>
      <c r="BO252" s="85" t="str">
        <f t="shared" si="2"/>
        <v>$$$</v>
      </c>
      <c r="BP252" s="88" t="str">
        <f t="shared" si="520"/>
        <v>$$$</v>
      </c>
      <c r="BQ252" s="88" t="str">
        <f t="shared" si="4"/>
        <v>$$$</v>
      </c>
      <c r="BR252" s="88" t="str">
        <f t="shared" si="5"/>
        <v>$$$</v>
      </c>
      <c r="BS252" s="29" t="e">
        <f t="shared" si="521"/>
        <v>#N/A</v>
      </c>
      <c r="BT252" s="29" t="e">
        <f t="shared" si="521"/>
        <v>#N/A</v>
      </c>
      <c r="BU252" s="29" t="e">
        <f t="shared" si="521"/>
        <v>#N/A</v>
      </c>
      <c r="BV252" s="29" t="e">
        <f t="shared" si="521"/>
        <v>#N/A</v>
      </c>
      <c r="BW252" s="29" t="e">
        <f t="shared" si="521"/>
        <v>#N/A</v>
      </c>
      <c r="BX252" s="29" t="e">
        <f t="shared" si="521"/>
        <v>#N/A</v>
      </c>
      <c r="BY252" s="29" t="e">
        <f t="shared" si="521"/>
        <v>#N/A</v>
      </c>
      <c r="BZ252" s="29" t="e">
        <f t="shared" si="521"/>
        <v>#N/A</v>
      </c>
      <c r="CA252" s="29" t="e">
        <f t="shared" si="521"/>
        <v>#N/A</v>
      </c>
      <c r="CB252" s="29" t="e">
        <f t="shared" si="521"/>
        <v>#N/A</v>
      </c>
      <c r="CC252" s="29" t="e">
        <f t="shared" si="521"/>
        <v>#N/A</v>
      </c>
      <c r="CD252" s="29" t="e">
        <f t="shared" si="521"/>
        <v>#N/A</v>
      </c>
      <c r="CE252" s="6" t="str">
        <f t="shared" si="352"/>
        <v/>
      </c>
      <c r="CF252" s="27" t="e">
        <f>IF(AND(CI252,NOT(AD252)),LOOKUP(CF$5,{0,750,1500},H252:J252),"")</f>
        <v>#N/A</v>
      </c>
      <c r="CG252" s="6" t="str">
        <f t="shared" si="353"/>
        <v/>
      </c>
      <c r="CH252" t="e">
        <f t="shared" si="522"/>
        <v>#N/A</v>
      </c>
      <c r="CI252" t="e">
        <f t="shared" si="523"/>
        <v>#N/A</v>
      </c>
      <c r="CJ252" s="6" t="e">
        <f t="shared" si="11"/>
        <v>#N/A</v>
      </c>
      <c r="CK252" s="6">
        <f t="shared" si="12"/>
        <v>1</v>
      </c>
      <c r="CL252" s="6">
        <f t="shared" si="26"/>
        <v>1</v>
      </c>
      <c r="CM252" s="6">
        <f t="shared" si="13"/>
        <v>1</v>
      </c>
      <c r="CN252" s="6">
        <f t="shared" si="14"/>
        <v>0</v>
      </c>
      <c r="CO252" s="6">
        <f t="shared" si="15"/>
        <v>1</v>
      </c>
      <c r="CP252" s="6">
        <f t="shared" si="16"/>
        <v>1</v>
      </c>
      <c r="CQ252" s="6">
        <f t="shared" si="524"/>
        <v>1</v>
      </c>
      <c r="CR252" s="81" t="str">
        <f t="shared" si="17"/>
        <v/>
      </c>
      <c r="CS252">
        <f t="shared" si="525"/>
        <v>5.9999999999999982</v>
      </c>
      <c r="CT252">
        <f t="shared" si="19"/>
        <v>175</v>
      </c>
      <c r="CU252" t="str">
        <f t="shared" si="29"/>
        <v/>
      </c>
      <c r="CV252" s="81">
        <f t="shared" si="526"/>
        <v>175</v>
      </c>
      <c r="CW252" s="81">
        <f>(CV252/25)^1.5*(Calculator!$BU$4/10000)*CW$5</f>
        <v>47.821272343654172</v>
      </c>
      <c r="CX252" t="str">
        <f t="shared" si="527"/>
        <v>$175</v>
      </c>
    </row>
    <row r="253" spans="2:102" x14ac:dyDescent="0.25">
      <c r="B253" s="115" t="s">
        <v>233</v>
      </c>
      <c r="C253" s="13">
        <v>46252.407638888886</v>
      </c>
      <c r="D253">
        <v>30350</v>
      </c>
      <c r="E253" s="54" t="s">
        <v>237</v>
      </c>
      <c r="F253" s="54" t="s">
        <v>614</v>
      </c>
      <c r="G253" s="54" t="s">
        <v>623</v>
      </c>
      <c r="H253" s="55">
        <v>13.3</v>
      </c>
      <c r="I253" s="55">
        <v>12.5</v>
      </c>
      <c r="J253" s="55">
        <v>12.1</v>
      </c>
      <c r="K253" s="54"/>
      <c r="L253" s="56" t="b">
        <v>0</v>
      </c>
      <c r="M253" s="56" t="b">
        <v>0</v>
      </c>
      <c r="N253" s="54">
        <v>1</v>
      </c>
      <c r="O253" s="54" t="s">
        <v>228</v>
      </c>
      <c r="P253" s="54">
        <v>24</v>
      </c>
      <c r="Q253" s="54">
        <v>9</v>
      </c>
      <c r="R253" s="54">
        <v>175</v>
      </c>
      <c r="S253" s="54" t="s">
        <v>616</v>
      </c>
      <c r="T253" s="54" t="s">
        <v>617</v>
      </c>
      <c r="U253" s="54" t="s">
        <v>618</v>
      </c>
      <c r="V253" s="54" t="s">
        <v>619</v>
      </c>
      <c r="W253" s="54" t="b">
        <v>0</v>
      </c>
      <c r="X253" s="54"/>
      <c r="Y253" s="57" t="s">
        <v>2183</v>
      </c>
      <c r="Z253" s="54" t="s">
        <v>2184</v>
      </c>
      <c r="AA253" s="54"/>
      <c r="AB253" s="54" t="s">
        <v>620</v>
      </c>
      <c r="AC253" s="56" t="b">
        <v>1</v>
      </c>
      <c r="AD253" s="56" t="b">
        <v>0</v>
      </c>
      <c r="AE253" s="54" t="s">
        <v>302</v>
      </c>
      <c r="AF253" s="58">
        <v>46251</v>
      </c>
      <c r="AG253" s="62" t="s">
        <v>293</v>
      </c>
      <c r="AH253" s="54">
        <v>0</v>
      </c>
      <c r="AI253" s="54"/>
      <c r="AJ253" s="54"/>
      <c r="AK253" s="54"/>
      <c r="AL253" s="54"/>
      <c r="AM253" s="54">
        <v>4</v>
      </c>
      <c r="AN253" s="54"/>
      <c r="AO253" s="54"/>
      <c r="AP253" s="54"/>
      <c r="AQ253" s="54"/>
      <c r="AR253" s="54"/>
      <c r="AS253" s="54"/>
      <c r="AT253" s="54"/>
      <c r="AU253" s="54"/>
      <c r="AV253" s="54"/>
      <c r="AW253" s="54"/>
      <c r="AX253" s="59"/>
      <c r="AY253" s="59"/>
      <c r="AZ253" s="59"/>
      <c r="BA253" s="59"/>
      <c r="BB253" s="59">
        <v>5.6910000000000002E-2</v>
      </c>
      <c r="BC253" s="60">
        <v>4.0599999999999996</v>
      </c>
      <c r="BD253" s="61">
        <v>6.0295000000000001E-2</v>
      </c>
      <c r="BE253" s="62" t="s">
        <v>293</v>
      </c>
      <c r="BF253" s="35">
        <f t="shared" si="516"/>
        <v>4.0600000000000005</v>
      </c>
      <c r="BG253" s="35">
        <f t="shared" si="516"/>
        <v>6.0295000000000001E-2</v>
      </c>
      <c r="BH253" s="35" t="str">
        <f t="shared" si="517"/>
        <v>Med</v>
      </c>
      <c r="BI253" s="110">
        <f t="shared" si="518"/>
        <v>0</v>
      </c>
      <c r="BJ253" s="83">
        <f>VLOOKUP($F253,REP_Info!$D$6:$H$250,5,FALSE)</f>
        <v>0.123</v>
      </c>
      <c r="BK253" s="30">
        <f t="shared" si="519"/>
        <v>13.332499999999998</v>
      </c>
      <c r="BL253" s="30">
        <f t="shared" si="519"/>
        <v>12.5265</v>
      </c>
      <c r="BM253" s="30">
        <f t="shared" si="519"/>
        <v>12.123500000000002</v>
      </c>
      <c r="BN253" s="29">
        <f t="shared" si="519"/>
        <v>11.989166666666666</v>
      </c>
      <c r="BO253" s="85" t="str">
        <f t="shared" si="2"/>
        <v>$$$</v>
      </c>
      <c r="BP253" s="88" t="str">
        <f t="shared" si="520"/>
        <v>$$$</v>
      </c>
      <c r="BQ253" s="88" t="str">
        <f t="shared" si="4"/>
        <v>$$$</v>
      </c>
      <c r="BR253" s="88" t="str">
        <f t="shared" si="5"/>
        <v>$$$</v>
      </c>
      <c r="BS253" s="29" t="e">
        <f t="shared" si="521"/>
        <v>#N/A</v>
      </c>
      <c r="BT253" s="29" t="e">
        <f t="shared" si="521"/>
        <v>#N/A</v>
      </c>
      <c r="BU253" s="29" t="e">
        <f t="shared" si="521"/>
        <v>#N/A</v>
      </c>
      <c r="BV253" s="29" t="e">
        <f t="shared" si="521"/>
        <v>#N/A</v>
      </c>
      <c r="BW253" s="29" t="e">
        <f t="shared" si="521"/>
        <v>#N/A</v>
      </c>
      <c r="BX253" s="29" t="e">
        <f t="shared" si="521"/>
        <v>#N/A</v>
      </c>
      <c r="BY253" s="29" t="e">
        <f t="shared" si="521"/>
        <v>#N/A</v>
      </c>
      <c r="BZ253" s="29" t="e">
        <f t="shared" si="521"/>
        <v>#N/A</v>
      </c>
      <c r="CA253" s="29" t="e">
        <f t="shared" si="521"/>
        <v>#N/A</v>
      </c>
      <c r="CB253" s="29" t="e">
        <f t="shared" si="521"/>
        <v>#N/A</v>
      </c>
      <c r="CC253" s="29" t="e">
        <f t="shared" si="521"/>
        <v>#N/A</v>
      </c>
      <c r="CD253" s="29" t="e">
        <f t="shared" si="521"/>
        <v>#N/A</v>
      </c>
      <c r="CE253" s="6" t="str">
        <f t="shared" si="352"/>
        <v/>
      </c>
      <c r="CF253" s="27" t="e">
        <f>IF(AND(CI253,NOT(AD253)),LOOKUP(CF$5,{0,750,1500},H253:J253),"")</f>
        <v>#N/A</v>
      </c>
      <c r="CG253" s="6" t="str">
        <f t="shared" si="353"/>
        <v/>
      </c>
      <c r="CH253" t="e">
        <f t="shared" si="522"/>
        <v>#N/A</v>
      </c>
      <c r="CI253" t="e">
        <f t="shared" si="523"/>
        <v>#N/A</v>
      </c>
      <c r="CJ253" s="6" t="e">
        <f t="shared" si="11"/>
        <v>#N/A</v>
      </c>
      <c r="CK253" s="6">
        <f t="shared" si="12"/>
        <v>1</v>
      </c>
      <c r="CL253" s="6">
        <f t="shared" si="26"/>
        <v>1</v>
      </c>
      <c r="CM253" s="6">
        <f t="shared" si="13"/>
        <v>1</v>
      </c>
      <c r="CN253" s="6">
        <f t="shared" si="14"/>
        <v>0</v>
      </c>
      <c r="CO253" s="6">
        <f t="shared" si="15"/>
        <v>1</v>
      </c>
      <c r="CP253" s="6">
        <f t="shared" si="16"/>
        <v>1</v>
      </c>
      <c r="CQ253" s="6">
        <f t="shared" si="524"/>
        <v>1</v>
      </c>
      <c r="CR253" s="81" t="str">
        <f t="shared" si="17"/>
        <v/>
      </c>
      <c r="CS253">
        <f t="shared" si="525"/>
        <v>5.9999999999999982</v>
      </c>
      <c r="CT253">
        <f t="shared" si="19"/>
        <v>175</v>
      </c>
      <c r="CU253" t="str">
        <f t="shared" si="29"/>
        <v/>
      </c>
      <c r="CV253" s="81">
        <f t="shared" si="526"/>
        <v>175</v>
      </c>
      <c r="CW253" s="81">
        <f>(CV253/25)^1.5*(Calculator!$BU$4/10000)*CW$5</f>
        <v>47.821272343654172</v>
      </c>
      <c r="CX253" t="str">
        <f t="shared" si="527"/>
        <v>$175</v>
      </c>
    </row>
    <row r="254" spans="2:102" x14ac:dyDescent="0.25">
      <c r="B254" s="115" t="s">
        <v>233</v>
      </c>
      <c r="C254" s="13">
        <v>46252.407638888886</v>
      </c>
      <c r="D254">
        <v>30389</v>
      </c>
      <c r="E254" s="54" t="s">
        <v>235</v>
      </c>
      <c r="F254" s="54" t="s">
        <v>614</v>
      </c>
      <c r="G254" s="54" t="s">
        <v>624</v>
      </c>
      <c r="H254" s="55">
        <v>12.5</v>
      </c>
      <c r="I254" s="55">
        <v>11.600000000000001</v>
      </c>
      <c r="J254" s="55">
        <v>11.200000000000001</v>
      </c>
      <c r="K254" s="54"/>
      <c r="L254" s="56" t="b">
        <v>0</v>
      </c>
      <c r="M254" s="56" t="b">
        <v>0</v>
      </c>
      <c r="N254" s="54">
        <v>1</v>
      </c>
      <c r="O254" s="54" t="s">
        <v>228</v>
      </c>
      <c r="P254" s="54">
        <v>24</v>
      </c>
      <c r="Q254" s="54">
        <v>12</v>
      </c>
      <c r="R254" s="54">
        <v>200</v>
      </c>
      <c r="S254" s="54" t="s">
        <v>616</v>
      </c>
      <c r="T254" s="54" t="s">
        <v>617</v>
      </c>
      <c r="U254" s="54" t="s">
        <v>618</v>
      </c>
      <c r="V254" s="54" t="s">
        <v>619</v>
      </c>
      <c r="W254" s="54" t="b">
        <v>0</v>
      </c>
      <c r="X254" s="54"/>
      <c r="Y254" s="57" t="s">
        <v>2185</v>
      </c>
      <c r="Z254" s="54" t="s">
        <v>2186</v>
      </c>
      <c r="AA254" s="54"/>
      <c r="AB254" s="54" t="s">
        <v>620</v>
      </c>
      <c r="AC254" s="56" t="b">
        <v>1</v>
      </c>
      <c r="AD254" s="56" t="b">
        <v>0</v>
      </c>
      <c r="AE254" s="54" t="s">
        <v>302</v>
      </c>
      <c r="AF254" s="58">
        <v>46251</v>
      </c>
      <c r="AG254" s="62" t="s">
        <v>293</v>
      </c>
      <c r="AH254" s="54">
        <v>0</v>
      </c>
      <c r="AI254" s="54"/>
      <c r="AJ254" s="54"/>
      <c r="AK254" s="54"/>
      <c r="AL254" s="54"/>
      <c r="AM254" s="54">
        <v>4</v>
      </c>
      <c r="AN254" s="54"/>
      <c r="AO254" s="54"/>
      <c r="AP254" s="54"/>
      <c r="AQ254" s="54"/>
      <c r="AR254" s="54"/>
      <c r="AS254" s="54"/>
      <c r="AT254" s="54"/>
      <c r="AU254" s="54"/>
      <c r="AV254" s="54"/>
      <c r="AW254" s="54"/>
      <c r="AX254" s="59"/>
      <c r="AY254" s="59"/>
      <c r="AZ254" s="59"/>
      <c r="BA254" s="59"/>
      <c r="BB254" s="59">
        <v>5.7660000000000003E-2</v>
      </c>
      <c r="BC254" s="60">
        <v>4.9000000000000004</v>
      </c>
      <c r="BD254" s="61">
        <v>4.9811000000000001E-2</v>
      </c>
      <c r="BE254" s="62" t="s">
        <v>293</v>
      </c>
      <c r="BF254" s="35">
        <f t="shared" si="516"/>
        <v>4.9000000000000004</v>
      </c>
      <c r="BG254" s="35">
        <f t="shared" si="516"/>
        <v>4.9811000000000001E-2</v>
      </c>
      <c r="BH254" s="35" t="str">
        <f t="shared" si="517"/>
        <v>Med</v>
      </c>
      <c r="BI254" s="110">
        <f t="shared" si="518"/>
        <v>0</v>
      </c>
      <c r="BJ254" s="83">
        <f>VLOOKUP($F254,REP_Info!$D$6:$H$250,5,FALSE)</f>
        <v>0.123</v>
      </c>
      <c r="BK254" s="30">
        <f t="shared" si="519"/>
        <v>12.527099999999999</v>
      </c>
      <c r="BL254" s="30">
        <f t="shared" si="519"/>
        <v>11.6371</v>
      </c>
      <c r="BM254" s="30">
        <f t="shared" si="519"/>
        <v>11.1921</v>
      </c>
      <c r="BN254" s="29">
        <f t="shared" si="519"/>
        <v>11.043766666666665</v>
      </c>
      <c r="BO254" s="85" t="str">
        <f t="shared" si="2"/>
        <v>$$$</v>
      </c>
      <c r="BP254" s="88" t="str">
        <f t="shared" si="520"/>
        <v>$$$</v>
      </c>
      <c r="BQ254" s="88" t="str">
        <f t="shared" si="4"/>
        <v>$$$</v>
      </c>
      <c r="BR254" s="88" t="str">
        <f t="shared" si="5"/>
        <v>$$$</v>
      </c>
      <c r="BS254" s="29" t="e">
        <f t="shared" si="521"/>
        <v>#N/A</v>
      </c>
      <c r="BT254" s="29" t="e">
        <f t="shared" si="521"/>
        <v>#N/A</v>
      </c>
      <c r="BU254" s="29" t="e">
        <f t="shared" si="521"/>
        <v>#N/A</v>
      </c>
      <c r="BV254" s="29" t="e">
        <f t="shared" si="521"/>
        <v>#N/A</v>
      </c>
      <c r="BW254" s="29" t="e">
        <f t="shared" si="521"/>
        <v>#N/A</v>
      </c>
      <c r="BX254" s="29" t="e">
        <f t="shared" si="521"/>
        <v>#N/A</v>
      </c>
      <c r="BY254" s="29" t="e">
        <f t="shared" si="521"/>
        <v>#N/A</v>
      </c>
      <c r="BZ254" s="29" t="e">
        <f t="shared" si="521"/>
        <v>#N/A</v>
      </c>
      <c r="CA254" s="29" t="e">
        <f t="shared" si="521"/>
        <v>#N/A</v>
      </c>
      <c r="CB254" s="29" t="e">
        <f t="shared" si="521"/>
        <v>#N/A</v>
      </c>
      <c r="CC254" s="29" t="e">
        <f t="shared" si="521"/>
        <v>#N/A</v>
      </c>
      <c r="CD254" s="29" t="e">
        <f t="shared" si="521"/>
        <v>#N/A</v>
      </c>
      <c r="CE254" s="6" t="str">
        <f t="shared" si="352"/>
        <v/>
      </c>
      <c r="CF254" s="27" t="e">
        <f>IF(AND(CI254,NOT(AD254)),LOOKUP(CF$5,{0,750,1500},H254:J254),"")</f>
        <v>#N/A</v>
      </c>
      <c r="CG254" s="6" t="str">
        <f t="shared" si="353"/>
        <v/>
      </c>
      <c r="CH254" t="e">
        <f t="shared" si="522"/>
        <v>#N/A</v>
      </c>
      <c r="CI254" t="e">
        <f t="shared" si="523"/>
        <v>#N/A</v>
      </c>
      <c r="CJ254" s="6" t="e">
        <f t="shared" si="11"/>
        <v>#N/A</v>
      </c>
      <c r="CK254" s="6">
        <f t="shared" si="12"/>
        <v>1</v>
      </c>
      <c r="CL254" s="6">
        <f t="shared" si="26"/>
        <v>1</v>
      </c>
      <c r="CM254" s="6">
        <f t="shared" si="13"/>
        <v>1</v>
      </c>
      <c r="CN254" s="6">
        <f t="shared" si="14"/>
        <v>1</v>
      </c>
      <c r="CO254" s="6">
        <f t="shared" si="15"/>
        <v>1</v>
      </c>
      <c r="CP254" s="6">
        <f t="shared" si="16"/>
        <v>1</v>
      </c>
      <c r="CQ254" s="6">
        <f t="shared" si="524"/>
        <v>1</v>
      </c>
      <c r="CR254" s="81" t="str">
        <f t="shared" si="17"/>
        <v/>
      </c>
      <c r="CS254">
        <f t="shared" si="525"/>
        <v>0</v>
      </c>
      <c r="CT254">
        <f t="shared" si="19"/>
        <v>200</v>
      </c>
      <c r="CU254" t="str">
        <f t="shared" si="29"/>
        <v/>
      </c>
      <c r="CV254" s="81">
        <f t="shared" si="526"/>
        <v>200</v>
      </c>
      <c r="CW254" s="81">
        <f>(CV254/25)^1.5*(Calculator!$BU$4/10000)*CW$5</f>
        <v>58.426389194959008</v>
      </c>
      <c r="CX254" t="str">
        <f t="shared" si="527"/>
        <v>$200</v>
      </c>
    </row>
    <row r="255" spans="2:102" x14ac:dyDescent="0.25">
      <c r="B255" s="115" t="s">
        <v>233</v>
      </c>
      <c r="C255" s="13">
        <v>46252.407638888886</v>
      </c>
      <c r="D255">
        <v>30390</v>
      </c>
      <c r="E255" s="54" t="s">
        <v>237</v>
      </c>
      <c r="F255" s="54" t="s">
        <v>614</v>
      </c>
      <c r="G255" s="54" t="s">
        <v>624</v>
      </c>
      <c r="H255" s="55">
        <v>13.600000000000001</v>
      </c>
      <c r="I255" s="55">
        <v>12.8</v>
      </c>
      <c r="J255" s="55">
        <v>12.4</v>
      </c>
      <c r="K255" s="54"/>
      <c r="L255" s="56" t="b">
        <v>0</v>
      </c>
      <c r="M255" s="56" t="b">
        <v>0</v>
      </c>
      <c r="N255" s="54">
        <v>1</v>
      </c>
      <c r="O255" s="54" t="s">
        <v>228</v>
      </c>
      <c r="P255" s="54">
        <v>24</v>
      </c>
      <c r="Q255" s="54">
        <v>12</v>
      </c>
      <c r="R255" s="54">
        <v>200</v>
      </c>
      <c r="S255" s="54" t="s">
        <v>616</v>
      </c>
      <c r="T255" s="54" t="s">
        <v>617</v>
      </c>
      <c r="U255" s="54" t="s">
        <v>618</v>
      </c>
      <c r="V255" s="54" t="s">
        <v>619</v>
      </c>
      <c r="W255" s="54" t="b">
        <v>0</v>
      </c>
      <c r="X255" s="54"/>
      <c r="Y255" s="57" t="s">
        <v>2187</v>
      </c>
      <c r="Z255" s="54" t="s">
        <v>2188</v>
      </c>
      <c r="AA255" s="54"/>
      <c r="AB255" s="54" t="s">
        <v>620</v>
      </c>
      <c r="AC255" s="56" t="b">
        <v>1</v>
      </c>
      <c r="AD255" s="56" t="b">
        <v>0</v>
      </c>
      <c r="AE255" s="54" t="s">
        <v>302</v>
      </c>
      <c r="AF255" s="58">
        <v>46251</v>
      </c>
      <c r="AG255" s="62" t="s">
        <v>293</v>
      </c>
      <c r="AH255" s="54">
        <v>0</v>
      </c>
      <c r="AI255" s="54"/>
      <c r="AJ255" s="54"/>
      <c r="AK255" s="54"/>
      <c r="AL255" s="54"/>
      <c r="AM255" s="54">
        <v>4</v>
      </c>
      <c r="AN255" s="54"/>
      <c r="AO255" s="54"/>
      <c r="AP255" s="54"/>
      <c r="AQ255" s="54"/>
      <c r="AR255" s="54"/>
      <c r="AS255" s="54"/>
      <c r="AT255" s="54"/>
      <c r="AU255" s="54"/>
      <c r="AV255" s="54"/>
      <c r="AW255" s="54"/>
      <c r="AX255" s="59"/>
      <c r="AY255" s="59"/>
      <c r="AZ255" s="59"/>
      <c r="BA255" s="59"/>
      <c r="BB255" s="59">
        <v>5.9709999999999999E-2</v>
      </c>
      <c r="BC255" s="60">
        <v>4.0599999999999996</v>
      </c>
      <c r="BD255" s="61">
        <v>6.0295000000000001E-2</v>
      </c>
      <c r="BE255" s="62" t="s">
        <v>293</v>
      </c>
      <c r="BF255" s="35">
        <f t="shared" si="516"/>
        <v>4.0600000000000005</v>
      </c>
      <c r="BG255" s="35">
        <f t="shared" si="516"/>
        <v>6.0295000000000001E-2</v>
      </c>
      <c r="BH255" s="35" t="str">
        <f t="shared" si="517"/>
        <v>Med</v>
      </c>
      <c r="BI255" s="110">
        <f t="shared" si="518"/>
        <v>0</v>
      </c>
      <c r="BJ255" s="83">
        <f>VLOOKUP($F255,REP_Info!$D$6:$H$250,5,FALSE)</f>
        <v>0.123</v>
      </c>
      <c r="BK255" s="30">
        <f t="shared" si="519"/>
        <v>13.612500000000001</v>
      </c>
      <c r="BL255" s="30">
        <f t="shared" si="519"/>
        <v>12.8065</v>
      </c>
      <c r="BM255" s="30">
        <f t="shared" si="519"/>
        <v>12.403499999999999</v>
      </c>
      <c r="BN255" s="29">
        <f t="shared" si="519"/>
        <v>12.269166666666667</v>
      </c>
      <c r="BO255" s="85" t="str">
        <f t="shared" si="2"/>
        <v>$$$</v>
      </c>
      <c r="BP255" s="88" t="str">
        <f t="shared" si="520"/>
        <v>$$$</v>
      </c>
      <c r="BQ255" s="88" t="str">
        <f t="shared" si="4"/>
        <v>$$$</v>
      </c>
      <c r="BR255" s="88" t="str">
        <f t="shared" si="5"/>
        <v>$$$</v>
      </c>
      <c r="BS255" s="29" t="e">
        <f t="shared" si="521"/>
        <v>#N/A</v>
      </c>
      <c r="BT255" s="29" t="e">
        <f t="shared" si="521"/>
        <v>#N/A</v>
      </c>
      <c r="BU255" s="29" t="e">
        <f t="shared" si="521"/>
        <v>#N/A</v>
      </c>
      <c r="BV255" s="29" t="e">
        <f t="shared" si="521"/>
        <v>#N/A</v>
      </c>
      <c r="BW255" s="29" t="e">
        <f t="shared" si="521"/>
        <v>#N/A</v>
      </c>
      <c r="BX255" s="29" t="e">
        <f t="shared" si="521"/>
        <v>#N/A</v>
      </c>
      <c r="BY255" s="29" t="e">
        <f t="shared" si="521"/>
        <v>#N/A</v>
      </c>
      <c r="BZ255" s="29" t="e">
        <f t="shared" si="521"/>
        <v>#N/A</v>
      </c>
      <c r="CA255" s="29" t="e">
        <f t="shared" si="521"/>
        <v>#N/A</v>
      </c>
      <c r="CB255" s="29" t="e">
        <f t="shared" si="521"/>
        <v>#N/A</v>
      </c>
      <c r="CC255" s="29" t="e">
        <f t="shared" si="521"/>
        <v>#N/A</v>
      </c>
      <c r="CD255" s="29" t="e">
        <f t="shared" si="521"/>
        <v>#N/A</v>
      </c>
      <c r="CE255" s="6" t="str">
        <f t="shared" si="352"/>
        <v/>
      </c>
      <c r="CF255" s="27" t="e">
        <f>IF(AND(CI255,NOT(AD255)),LOOKUP(CF$5,{0,750,1500},H255:J255),"")</f>
        <v>#N/A</v>
      </c>
      <c r="CG255" s="6" t="str">
        <f t="shared" si="353"/>
        <v/>
      </c>
      <c r="CH255" t="e">
        <f t="shared" si="522"/>
        <v>#N/A</v>
      </c>
      <c r="CI255" t="e">
        <f t="shared" si="523"/>
        <v>#N/A</v>
      </c>
      <c r="CJ255" s="6" t="e">
        <f t="shared" si="11"/>
        <v>#N/A</v>
      </c>
      <c r="CK255" s="6">
        <f t="shared" si="12"/>
        <v>1</v>
      </c>
      <c r="CL255" s="6">
        <f t="shared" si="26"/>
        <v>1</v>
      </c>
      <c r="CM255" s="6">
        <f t="shared" si="13"/>
        <v>1</v>
      </c>
      <c r="CN255" s="6">
        <f t="shared" si="14"/>
        <v>1</v>
      </c>
      <c r="CO255" s="6">
        <f t="shared" si="15"/>
        <v>1</v>
      </c>
      <c r="CP255" s="6">
        <f t="shared" si="16"/>
        <v>1</v>
      </c>
      <c r="CQ255" s="6">
        <f t="shared" si="524"/>
        <v>1</v>
      </c>
      <c r="CR255" s="81" t="str">
        <f t="shared" si="17"/>
        <v/>
      </c>
      <c r="CS255">
        <f t="shared" si="525"/>
        <v>0</v>
      </c>
      <c r="CT255">
        <f t="shared" si="19"/>
        <v>200</v>
      </c>
      <c r="CU255" t="str">
        <f t="shared" si="29"/>
        <v/>
      </c>
      <c r="CV255" s="81">
        <f t="shared" si="526"/>
        <v>200</v>
      </c>
      <c r="CW255" s="81">
        <f>(CV255/25)^1.5*(Calculator!$BU$4/10000)*CW$5</f>
        <v>58.426389194959008</v>
      </c>
      <c r="CX255" t="str">
        <f t="shared" si="527"/>
        <v>$200</v>
      </c>
    </row>
    <row r="256" spans="2:102" x14ac:dyDescent="0.25">
      <c r="B256" s="115" t="s">
        <v>233</v>
      </c>
      <c r="C256" s="13">
        <v>46252.407638888886</v>
      </c>
      <c r="D256">
        <v>30429</v>
      </c>
      <c r="E256" s="54" t="s">
        <v>235</v>
      </c>
      <c r="F256" s="54" t="s">
        <v>614</v>
      </c>
      <c r="G256" s="54" t="s">
        <v>625</v>
      </c>
      <c r="H256" s="55">
        <v>13.200000000000001</v>
      </c>
      <c r="I256" s="55">
        <v>12.3</v>
      </c>
      <c r="J256" s="55">
        <v>11.799999999999999</v>
      </c>
      <c r="K256" s="54"/>
      <c r="L256" s="56" t="b">
        <v>0</v>
      </c>
      <c r="M256" s="56" t="b">
        <v>0</v>
      </c>
      <c r="N256" s="54">
        <v>1</v>
      </c>
      <c r="O256" s="54" t="s">
        <v>228</v>
      </c>
      <c r="P256" s="54">
        <v>24</v>
      </c>
      <c r="Q256" s="54">
        <v>18</v>
      </c>
      <c r="R256" s="54">
        <v>250</v>
      </c>
      <c r="S256" s="54" t="s">
        <v>616</v>
      </c>
      <c r="T256" s="54" t="s">
        <v>617</v>
      </c>
      <c r="U256" s="54" t="s">
        <v>618</v>
      </c>
      <c r="V256" s="54" t="s">
        <v>619</v>
      </c>
      <c r="W256" s="54" t="b">
        <v>0</v>
      </c>
      <c r="X256" s="54"/>
      <c r="Y256" s="57" t="s">
        <v>2189</v>
      </c>
      <c r="Z256" s="54" t="s">
        <v>2190</v>
      </c>
      <c r="AA256" s="54"/>
      <c r="AB256" s="54" t="s">
        <v>620</v>
      </c>
      <c r="AC256" s="56" t="b">
        <v>1</v>
      </c>
      <c r="AD256" s="56" t="b">
        <v>0</v>
      </c>
      <c r="AE256" s="54" t="s">
        <v>302</v>
      </c>
      <c r="AF256" s="58">
        <v>46251</v>
      </c>
      <c r="AG256" s="62" t="s">
        <v>293</v>
      </c>
      <c r="AH256" s="54">
        <v>0</v>
      </c>
      <c r="AI256" s="54"/>
      <c r="AJ256" s="54"/>
      <c r="AK256" s="54"/>
      <c r="AL256" s="54"/>
      <c r="AM256" s="54">
        <v>4</v>
      </c>
      <c r="AN256" s="54"/>
      <c r="AO256" s="54"/>
      <c r="AP256" s="54"/>
      <c r="AQ256" s="54"/>
      <c r="AR256" s="54"/>
      <c r="AS256" s="54"/>
      <c r="AT256" s="54"/>
      <c r="AU256" s="54"/>
      <c r="AV256" s="54"/>
      <c r="AW256" s="54"/>
      <c r="AX256" s="59"/>
      <c r="AY256" s="59"/>
      <c r="AZ256" s="59"/>
      <c r="BA256" s="59"/>
      <c r="BB256" s="59">
        <v>6.4149999999999999E-2</v>
      </c>
      <c r="BC256" s="60">
        <v>4.9000000000000004</v>
      </c>
      <c r="BD256" s="61">
        <v>4.9811000000000001E-2</v>
      </c>
      <c r="BE256" s="62" t="s">
        <v>293</v>
      </c>
      <c r="BF256" s="35">
        <f t="shared" si="516"/>
        <v>4.9000000000000004</v>
      </c>
      <c r="BG256" s="35">
        <f t="shared" si="516"/>
        <v>4.9811000000000001E-2</v>
      </c>
      <c r="BH256" s="35" t="str">
        <f t="shared" si="517"/>
        <v>Med</v>
      </c>
      <c r="BI256" s="110">
        <f t="shared" si="518"/>
        <v>0</v>
      </c>
      <c r="BJ256" s="83">
        <f>VLOOKUP($F256,REP_Info!$D$6:$H$250,5,FALSE)</f>
        <v>0.123</v>
      </c>
      <c r="BK256" s="30">
        <f t="shared" si="519"/>
        <v>13.1761</v>
      </c>
      <c r="BL256" s="30">
        <f t="shared" si="519"/>
        <v>12.286100000000003</v>
      </c>
      <c r="BM256" s="30">
        <f t="shared" si="519"/>
        <v>11.841100000000001</v>
      </c>
      <c r="BN256" s="29">
        <f t="shared" si="519"/>
        <v>11.692766666666667</v>
      </c>
      <c r="BO256" s="85" t="str">
        <f t="shared" si="2"/>
        <v>$$$</v>
      </c>
      <c r="BP256" s="88" t="str">
        <f t="shared" si="520"/>
        <v>$$$</v>
      </c>
      <c r="BQ256" s="88" t="str">
        <f t="shared" si="4"/>
        <v>$$$</v>
      </c>
      <c r="BR256" s="88" t="str">
        <f t="shared" si="5"/>
        <v>$$$</v>
      </c>
      <c r="BS256" s="29" t="e">
        <f t="shared" si="521"/>
        <v>#N/A</v>
      </c>
      <c r="BT256" s="29" t="e">
        <f t="shared" si="521"/>
        <v>#N/A</v>
      </c>
      <c r="BU256" s="29" t="e">
        <f t="shared" si="521"/>
        <v>#N/A</v>
      </c>
      <c r="BV256" s="29" t="e">
        <f t="shared" si="521"/>
        <v>#N/A</v>
      </c>
      <c r="BW256" s="29" t="e">
        <f t="shared" si="521"/>
        <v>#N/A</v>
      </c>
      <c r="BX256" s="29" t="e">
        <f t="shared" si="521"/>
        <v>#N/A</v>
      </c>
      <c r="BY256" s="29" t="e">
        <f t="shared" si="521"/>
        <v>#N/A</v>
      </c>
      <c r="BZ256" s="29" t="e">
        <f t="shared" si="521"/>
        <v>#N/A</v>
      </c>
      <c r="CA256" s="29" t="e">
        <f t="shared" si="521"/>
        <v>#N/A</v>
      </c>
      <c r="CB256" s="29" t="e">
        <f t="shared" si="521"/>
        <v>#N/A</v>
      </c>
      <c r="CC256" s="29" t="e">
        <f t="shared" si="521"/>
        <v>#N/A</v>
      </c>
      <c r="CD256" s="29" t="e">
        <f t="shared" si="521"/>
        <v>#N/A</v>
      </c>
      <c r="CE256" s="6" t="str">
        <f t="shared" si="352"/>
        <v/>
      </c>
      <c r="CF256" s="27" t="e">
        <f>IF(AND(CI256,NOT(AD256)),LOOKUP(CF$5,{0,750,1500},H256:J256),"")</f>
        <v>#N/A</v>
      </c>
      <c r="CG256" s="6" t="str">
        <f t="shared" si="353"/>
        <v/>
      </c>
      <c r="CH256" t="e">
        <f t="shared" si="522"/>
        <v>#N/A</v>
      </c>
      <c r="CI256" t="e">
        <f t="shared" si="523"/>
        <v>#N/A</v>
      </c>
      <c r="CJ256" s="6" t="e">
        <f t="shared" si="11"/>
        <v>#N/A</v>
      </c>
      <c r="CK256" s="6">
        <f t="shared" si="12"/>
        <v>1</v>
      </c>
      <c r="CL256" s="6">
        <f t="shared" si="26"/>
        <v>1</v>
      </c>
      <c r="CM256" s="6">
        <f t="shared" si="13"/>
        <v>1</v>
      </c>
      <c r="CN256" s="6">
        <f t="shared" si="14"/>
        <v>1</v>
      </c>
      <c r="CO256" s="6">
        <f t="shared" si="15"/>
        <v>0</v>
      </c>
      <c r="CP256" s="6">
        <f t="shared" si="16"/>
        <v>1</v>
      </c>
      <c r="CQ256" s="6">
        <f t="shared" si="524"/>
        <v>1</v>
      </c>
      <c r="CR256" s="81" t="str">
        <f t="shared" si="17"/>
        <v/>
      </c>
      <c r="CS256">
        <f t="shared" si="525"/>
        <v>0</v>
      </c>
      <c r="CT256">
        <f t="shared" si="19"/>
        <v>250</v>
      </c>
      <c r="CU256" t="str">
        <f t="shared" si="29"/>
        <v/>
      </c>
      <c r="CV256" s="81">
        <f t="shared" si="526"/>
        <v>250</v>
      </c>
      <c r="CW256" s="81">
        <f>(CV256/25)^1.5*(Calculator!$BU$4/10000)*CW$5</f>
        <v>81.653361199867305</v>
      </c>
      <c r="CX256" t="str">
        <f t="shared" si="527"/>
        <v>$250</v>
      </c>
    </row>
    <row r="257" spans="2:102" x14ac:dyDescent="0.25">
      <c r="B257" s="115" t="s">
        <v>233</v>
      </c>
      <c r="C257" s="13">
        <v>46252.407638888886</v>
      </c>
      <c r="D257">
        <v>30430</v>
      </c>
      <c r="E257" s="54" t="s">
        <v>237</v>
      </c>
      <c r="F257" s="54" t="s">
        <v>614</v>
      </c>
      <c r="G257" s="54" t="s">
        <v>625</v>
      </c>
      <c r="H257" s="55">
        <v>14.099999999999998</v>
      </c>
      <c r="I257" s="55">
        <v>13.3</v>
      </c>
      <c r="J257" s="55">
        <v>12.9</v>
      </c>
      <c r="K257" s="54"/>
      <c r="L257" s="56" t="b">
        <v>0</v>
      </c>
      <c r="M257" s="56" t="b">
        <v>0</v>
      </c>
      <c r="N257" s="54">
        <v>1</v>
      </c>
      <c r="O257" s="54" t="s">
        <v>228</v>
      </c>
      <c r="P257" s="54">
        <v>24</v>
      </c>
      <c r="Q257" s="54">
        <v>18</v>
      </c>
      <c r="R257" s="54">
        <v>250</v>
      </c>
      <c r="S257" s="54" t="s">
        <v>616</v>
      </c>
      <c r="T257" s="54" t="s">
        <v>617</v>
      </c>
      <c r="U257" s="54" t="s">
        <v>618</v>
      </c>
      <c r="V257" s="54" t="s">
        <v>619</v>
      </c>
      <c r="W257" s="54" t="b">
        <v>0</v>
      </c>
      <c r="X257" s="54"/>
      <c r="Y257" s="57" t="s">
        <v>2191</v>
      </c>
      <c r="Z257" s="54" t="s">
        <v>2192</v>
      </c>
      <c r="AA257" s="54"/>
      <c r="AB257" s="54" t="s">
        <v>620</v>
      </c>
      <c r="AC257" s="56" t="b">
        <v>1</v>
      </c>
      <c r="AD257" s="56" t="b">
        <v>0</v>
      </c>
      <c r="AE257" s="54" t="s">
        <v>302</v>
      </c>
      <c r="AF257" s="58">
        <v>46251</v>
      </c>
      <c r="AG257" s="62" t="s">
        <v>293</v>
      </c>
      <c r="AH257" s="54">
        <v>0</v>
      </c>
      <c r="AI257" s="54"/>
      <c r="AJ257" s="54"/>
      <c r="AK257" s="54"/>
      <c r="AL257" s="54"/>
      <c r="AM257" s="54">
        <v>4</v>
      </c>
      <c r="AN257" s="54"/>
      <c r="AO257" s="54"/>
      <c r="AP257" s="54"/>
      <c r="AQ257" s="54"/>
      <c r="AR257" s="54"/>
      <c r="AS257" s="54"/>
      <c r="AT257" s="54"/>
      <c r="AU257" s="54"/>
      <c r="AV257" s="54"/>
      <c r="AW257" s="54"/>
      <c r="AX257" s="59"/>
      <c r="AY257" s="59"/>
      <c r="AZ257" s="59"/>
      <c r="BA257" s="59"/>
      <c r="BB257" s="59">
        <v>6.4339999999999994E-2</v>
      </c>
      <c r="BC257" s="60">
        <v>4.0599999999999996</v>
      </c>
      <c r="BD257" s="61">
        <v>6.0295000000000001E-2</v>
      </c>
      <c r="BE257" s="62" t="s">
        <v>293</v>
      </c>
      <c r="BF257" s="35">
        <f t="shared" si="516"/>
        <v>4.0600000000000005</v>
      </c>
      <c r="BG257" s="35">
        <f t="shared" si="516"/>
        <v>6.0295000000000001E-2</v>
      </c>
      <c r="BH257" s="35" t="str">
        <f t="shared" si="517"/>
        <v>Med</v>
      </c>
      <c r="BI257" s="110">
        <f t="shared" si="518"/>
        <v>0</v>
      </c>
      <c r="BJ257" s="83">
        <f>VLOOKUP($F257,REP_Info!$D$6:$H$250,5,FALSE)</f>
        <v>0.123</v>
      </c>
      <c r="BK257" s="30">
        <f t="shared" si="519"/>
        <v>14.0755</v>
      </c>
      <c r="BL257" s="30">
        <f t="shared" si="519"/>
        <v>13.269500000000001</v>
      </c>
      <c r="BM257" s="30">
        <f t="shared" si="519"/>
        <v>12.8665</v>
      </c>
      <c r="BN257" s="29">
        <f t="shared" si="519"/>
        <v>12.732166666666666</v>
      </c>
      <c r="BO257" s="85" t="str">
        <f t="shared" si="2"/>
        <v>$$$</v>
      </c>
      <c r="BP257" s="88" t="str">
        <f t="shared" si="520"/>
        <v>$$$</v>
      </c>
      <c r="BQ257" s="88" t="str">
        <f t="shared" si="4"/>
        <v>$$$</v>
      </c>
      <c r="BR257" s="88" t="str">
        <f t="shared" si="5"/>
        <v>$$$</v>
      </c>
      <c r="BS257" s="29" t="e">
        <f t="shared" si="521"/>
        <v>#N/A</v>
      </c>
      <c r="BT257" s="29" t="e">
        <f t="shared" si="521"/>
        <v>#N/A</v>
      </c>
      <c r="BU257" s="29" t="e">
        <f t="shared" si="521"/>
        <v>#N/A</v>
      </c>
      <c r="BV257" s="29" t="e">
        <f t="shared" si="521"/>
        <v>#N/A</v>
      </c>
      <c r="BW257" s="29" t="e">
        <f t="shared" si="521"/>
        <v>#N/A</v>
      </c>
      <c r="BX257" s="29" t="e">
        <f t="shared" si="521"/>
        <v>#N/A</v>
      </c>
      <c r="BY257" s="29" t="e">
        <f t="shared" si="521"/>
        <v>#N/A</v>
      </c>
      <c r="BZ257" s="29" t="e">
        <f t="shared" si="521"/>
        <v>#N/A</v>
      </c>
      <c r="CA257" s="29" t="e">
        <f t="shared" si="521"/>
        <v>#N/A</v>
      </c>
      <c r="CB257" s="29" t="e">
        <f t="shared" si="521"/>
        <v>#N/A</v>
      </c>
      <c r="CC257" s="29" t="e">
        <f t="shared" si="521"/>
        <v>#N/A</v>
      </c>
      <c r="CD257" s="29" t="e">
        <f t="shared" si="521"/>
        <v>#N/A</v>
      </c>
      <c r="CE257" s="6" t="str">
        <f t="shared" si="352"/>
        <v/>
      </c>
      <c r="CF257" s="27" t="e">
        <f>IF(AND(CI257,NOT(AD257)),LOOKUP(CF$5,{0,750,1500},H257:J257),"")</f>
        <v>#N/A</v>
      </c>
      <c r="CG257" s="6" t="str">
        <f t="shared" si="353"/>
        <v/>
      </c>
      <c r="CH257" t="e">
        <f t="shared" si="522"/>
        <v>#N/A</v>
      </c>
      <c r="CI257" t="e">
        <f t="shared" si="523"/>
        <v>#N/A</v>
      </c>
      <c r="CJ257" s="6" t="e">
        <f t="shared" si="11"/>
        <v>#N/A</v>
      </c>
      <c r="CK257" s="6">
        <f t="shared" si="12"/>
        <v>1</v>
      </c>
      <c r="CL257" s="6">
        <f t="shared" si="26"/>
        <v>1</v>
      </c>
      <c r="CM257" s="6">
        <f t="shared" si="13"/>
        <v>1</v>
      </c>
      <c r="CN257" s="6">
        <f t="shared" si="14"/>
        <v>1</v>
      </c>
      <c r="CO257" s="6">
        <f t="shared" si="15"/>
        <v>0</v>
      </c>
      <c r="CP257" s="6">
        <f t="shared" si="16"/>
        <v>1</v>
      </c>
      <c r="CQ257" s="6">
        <f t="shared" si="524"/>
        <v>1</v>
      </c>
      <c r="CR257" s="81" t="str">
        <f t="shared" si="17"/>
        <v/>
      </c>
      <c r="CS257">
        <f t="shared" si="525"/>
        <v>0</v>
      </c>
      <c r="CT257">
        <f t="shared" si="19"/>
        <v>250</v>
      </c>
      <c r="CU257" t="str">
        <f t="shared" si="29"/>
        <v/>
      </c>
      <c r="CV257" s="81">
        <f t="shared" si="526"/>
        <v>250</v>
      </c>
      <c r="CW257" s="81">
        <f>(CV257/25)^1.5*(Calculator!$BU$4/10000)*CW$5</f>
        <v>81.653361199867305</v>
      </c>
      <c r="CX257" t="str">
        <f t="shared" si="527"/>
        <v>$250</v>
      </c>
    </row>
    <row r="258" spans="2:102" x14ac:dyDescent="0.25">
      <c r="B258" s="115" t="s">
        <v>233</v>
      </c>
      <c r="C258" s="13">
        <v>46252.407638888886</v>
      </c>
      <c r="D258">
        <v>30506</v>
      </c>
      <c r="E258" s="54" t="s">
        <v>235</v>
      </c>
      <c r="F258" s="54" t="s">
        <v>614</v>
      </c>
      <c r="G258" s="54" t="s">
        <v>626</v>
      </c>
      <c r="H258" s="55">
        <v>13.200000000000001</v>
      </c>
      <c r="I258" s="55">
        <v>12.3</v>
      </c>
      <c r="J258" s="55">
        <v>11.799999999999999</v>
      </c>
      <c r="K258" s="54"/>
      <c r="L258" s="56" t="b">
        <v>0</v>
      </c>
      <c r="M258" s="56" t="b">
        <v>0</v>
      </c>
      <c r="N258" s="54">
        <v>1</v>
      </c>
      <c r="O258" s="54" t="s">
        <v>228</v>
      </c>
      <c r="P258" s="54">
        <v>24</v>
      </c>
      <c r="Q258" s="54">
        <v>24</v>
      </c>
      <c r="R258" s="54">
        <v>300</v>
      </c>
      <c r="S258" s="54" t="s">
        <v>616</v>
      </c>
      <c r="T258" s="54" t="s">
        <v>617</v>
      </c>
      <c r="U258" s="54" t="s">
        <v>618</v>
      </c>
      <c r="V258" s="54" t="s">
        <v>619</v>
      </c>
      <c r="W258" s="54" t="b">
        <v>0</v>
      </c>
      <c r="X258" s="54"/>
      <c r="Y258" s="57" t="s">
        <v>2193</v>
      </c>
      <c r="Z258" s="54" t="s">
        <v>2194</v>
      </c>
      <c r="AA258" s="54"/>
      <c r="AB258" s="54" t="s">
        <v>620</v>
      </c>
      <c r="AC258" s="56" t="b">
        <v>1</v>
      </c>
      <c r="AD258" s="56" t="b">
        <v>0</v>
      </c>
      <c r="AE258" s="54" t="s">
        <v>302</v>
      </c>
      <c r="AF258" s="58">
        <v>46251</v>
      </c>
      <c r="AG258" s="62" t="s">
        <v>293</v>
      </c>
      <c r="AH258" s="54">
        <v>0</v>
      </c>
      <c r="AI258" s="54"/>
      <c r="AJ258" s="54"/>
      <c r="AK258" s="54"/>
      <c r="AL258" s="54"/>
      <c r="AM258" s="54">
        <v>4</v>
      </c>
      <c r="AN258" s="54"/>
      <c r="AO258" s="54"/>
      <c r="AP258" s="54"/>
      <c r="AQ258" s="54"/>
      <c r="AR258" s="54"/>
      <c r="AS258" s="54"/>
      <c r="AT258" s="54"/>
      <c r="AU258" s="54"/>
      <c r="AV258" s="54"/>
      <c r="AW258" s="54"/>
      <c r="AX258" s="59"/>
      <c r="AY258" s="59"/>
      <c r="AZ258" s="59"/>
      <c r="BA258" s="59"/>
      <c r="BB258" s="59">
        <v>6.4079999999999998E-2</v>
      </c>
      <c r="BC258" s="60">
        <v>4.9000000000000004</v>
      </c>
      <c r="BD258" s="61">
        <v>4.9811000000000001E-2</v>
      </c>
      <c r="BE258" s="62" t="s">
        <v>293</v>
      </c>
      <c r="BF258" s="35">
        <f t="shared" si="516"/>
        <v>4.9000000000000004</v>
      </c>
      <c r="BG258" s="35">
        <f t="shared" si="516"/>
        <v>4.9811000000000001E-2</v>
      </c>
      <c r="BH258" s="35" t="str">
        <f t="shared" si="517"/>
        <v>Med</v>
      </c>
      <c r="BI258" s="110">
        <f t="shared" si="518"/>
        <v>0</v>
      </c>
      <c r="BJ258" s="83">
        <f>VLOOKUP($F258,REP_Info!$D$6:$H$250,5,FALSE)</f>
        <v>0.123</v>
      </c>
      <c r="BK258" s="30">
        <f t="shared" si="519"/>
        <v>13.1691</v>
      </c>
      <c r="BL258" s="30">
        <f t="shared" si="519"/>
        <v>12.2791</v>
      </c>
      <c r="BM258" s="30">
        <f t="shared" si="519"/>
        <v>11.834100000000001</v>
      </c>
      <c r="BN258" s="29">
        <f t="shared" si="519"/>
        <v>11.685766666666666</v>
      </c>
      <c r="BO258" s="85" t="str">
        <f t="shared" si="2"/>
        <v>$$$</v>
      </c>
      <c r="BP258" s="88" t="str">
        <f t="shared" si="520"/>
        <v>$$$</v>
      </c>
      <c r="BQ258" s="88" t="str">
        <f t="shared" si="4"/>
        <v>$$$</v>
      </c>
      <c r="BR258" s="88" t="str">
        <f t="shared" si="5"/>
        <v>$$$</v>
      </c>
      <c r="BS258" s="29" t="e">
        <f t="shared" si="521"/>
        <v>#N/A</v>
      </c>
      <c r="BT258" s="29" t="e">
        <f t="shared" si="521"/>
        <v>#N/A</v>
      </c>
      <c r="BU258" s="29" t="e">
        <f t="shared" si="521"/>
        <v>#N/A</v>
      </c>
      <c r="BV258" s="29" t="e">
        <f t="shared" si="521"/>
        <v>#N/A</v>
      </c>
      <c r="BW258" s="29" t="e">
        <f t="shared" si="521"/>
        <v>#N/A</v>
      </c>
      <c r="BX258" s="29" t="e">
        <f t="shared" si="521"/>
        <v>#N/A</v>
      </c>
      <c r="BY258" s="29" t="e">
        <f t="shared" si="521"/>
        <v>#N/A</v>
      </c>
      <c r="BZ258" s="29" t="e">
        <f t="shared" si="521"/>
        <v>#N/A</v>
      </c>
      <c r="CA258" s="29" t="e">
        <f t="shared" si="521"/>
        <v>#N/A</v>
      </c>
      <c r="CB258" s="29" t="e">
        <f t="shared" si="521"/>
        <v>#N/A</v>
      </c>
      <c r="CC258" s="29" t="e">
        <f t="shared" si="521"/>
        <v>#N/A</v>
      </c>
      <c r="CD258" s="29" t="e">
        <f t="shared" si="521"/>
        <v>#N/A</v>
      </c>
      <c r="CE258" s="6" t="str">
        <f t="shared" si="352"/>
        <v/>
      </c>
      <c r="CF258" s="27" t="e">
        <f>IF(AND(CI258,NOT(AD258)),LOOKUP(CF$5,{0,750,1500},H258:J258),"")</f>
        <v>#N/A</v>
      </c>
      <c r="CG258" s="6" t="str">
        <f t="shared" si="353"/>
        <v/>
      </c>
      <c r="CH258" t="e">
        <f t="shared" si="522"/>
        <v>#N/A</v>
      </c>
      <c r="CI258" t="e">
        <f t="shared" si="523"/>
        <v>#N/A</v>
      </c>
      <c r="CJ258" s="6" t="e">
        <f t="shared" si="11"/>
        <v>#N/A</v>
      </c>
      <c r="CK258" s="6">
        <f t="shared" si="12"/>
        <v>1</v>
      </c>
      <c r="CL258" s="6">
        <f t="shared" si="26"/>
        <v>1</v>
      </c>
      <c r="CM258" s="6">
        <f t="shared" si="13"/>
        <v>1</v>
      </c>
      <c r="CN258" s="6">
        <f t="shared" si="14"/>
        <v>1</v>
      </c>
      <c r="CO258" s="6">
        <f t="shared" si="15"/>
        <v>0</v>
      </c>
      <c r="CP258" s="6">
        <f t="shared" si="16"/>
        <v>1</v>
      </c>
      <c r="CQ258" s="6">
        <f t="shared" si="524"/>
        <v>1</v>
      </c>
      <c r="CR258" s="81" t="str">
        <f t="shared" si="17"/>
        <v/>
      </c>
      <c r="CS258">
        <f t="shared" si="525"/>
        <v>0</v>
      </c>
      <c r="CT258">
        <f t="shared" si="19"/>
        <v>300</v>
      </c>
      <c r="CU258" t="str">
        <f t="shared" si="29"/>
        <v/>
      </c>
      <c r="CV258" s="81">
        <f t="shared" si="526"/>
        <v>300</v>
      </c>
      <c r="CW258" s="81">
        <f>(CV258/25)^1.5*(Calculator!$BU$4/10000)*CW$5</f>
        <v>107.33613078068259</v>
      </c>
      <c r="CX258" t="str">
        <f t="shared" si="527"/>
        <v>$300</v>
      </c>
    </row>
    <row r="259" spans="2:102" x14ac:dyDescent="0.25">
      <c r="B259" s="115" t="s">
        <v>233</v>
      </c>
      <c r="C259" s="13">
        <v>46252.407638888886</v>
      </c>
      <c r="D259">
        <v>30509</v>
      </c>
      <c r="E259" s="54" t="s">
        <v>237</v>
      </c>
      <c r="F259" s="54" t="s">
        <v>614</v>
      </c>
      <c r="G259" s="54" t="s">
        <v>626</v>
      </c>
      <c r="H259" s="55">
        <v>14.2</v>
      </c>
      <c r="I259" s="55">
        <v>13.3</v>
      </c>
      <c r="J259" s="55">
        <v>12.9</v>
      </c>
      <c r="K259" s="54"/>
      <c r="L259" s="56" t="b">
        <v>0</v>
      </c>
      <c r="M259" s="56" t="b">
        <v>0</v>
      </c>
      <c r="N259" s="54">
        <v>1</v>
      </c>
      <c r="O259" s="54" t="s">
        <v>228</v>
      </c>
      <c r="P259" s="54">
        <v>24</v>
      </c>
      <c r="Q259" s="54">
        <v>24</v>
      </c>
      <c r="R259" s="54">
        <v>300</v>
      </c>
      <c r="S259" s="54" t="s">
        <v>616</v>
      </c>
      <c r="T259" s="54" t="s">
        <v>617</v>
      </c>
      <c r="U259" s="54" t="s">
        <v>618</v>
      </c>
      <c r="V259" s="54" t="s">
        <v>619</v>
      </c>
      <c r="W259" s="54" t="b">
        <v>0</v>
      </c>
      <c r="X259" s="54"/>
      <c r="Y259" s="57" t="s">
        <v>2195</v>
      </c>
      <c r="Z259" s="54" t="s">
        <v>2196</v>
      </c>
      <c r="AA259" s="54"/>
      <c r="AB259" s="54" t="s">
        <v>620</v>
      </c>
      <c r="AC259" s="56" t="b">
        <v>1</v>
      </c>
      <c r="AD259" s="56" t="b">
        <v>0</v>
      </c>
      <c r="AE259" s="54" t="s">
        <v>302</v>
      </c>
      <c r="AF259" s="58">
        <v>46251</v>
      </c>
      <c r="AG259" s="62" t="s">
        <v>293</v>
      </c>
      <c r="AH259" s="54">
        <v>0</v>
      </c>
      <c r="AI259" s="54"/>
      <c r="AJ259" s="54"/>
      <c r="AK259" s="54"/>
      <c r="AL259" s="54"/>
      <c r="AM259" s="54">
        <v>4</v>
      </c>
      <c r="AN259" s="54"/>
      <c r="AO259" s="54"/>
      <c r="AP259" s="54"/>
      <c r="AQ259" s="54"/>
      <c r="AR259" s="54"/>
      <c r="AS259" s="54"/>
      <c r="AT259" s="54"/>
      <c r="AU259" s="54"/>
      <c r="AV259" s="54"/>
      <c r="AW259" s="54"/>
      <c r="AX259" s="59"/>
      <c r="AY259" s="59"/>
      <c r="AZ259" s="59"/>
      <c r="BA259" s="59"/>
      <c r="BB259" s="59">
        <v>6.5089999999999995E-2</v>
      </c>
      <c r="BC259" s="60">
        <v>4.0599999999999996</v>
      </c>
      <c r="BD259" s="61">
        <v>6.0295000000000001E-2</v>
      </c>
      <c r="BE259" s="62" t="s">
        <v>293</v>
      </c>
      <c r="BF259" s="35">
        <f t="shared" si="516"/>
        <v>4.0600000000000005</v>
      </c>
      <c r="BG259" s="35">
        <f t="shared" si="516"/>
        <v>6.0295000000000001E-2</v>
      </c>
      <c r="BH259" s="35" t="str">
        <f t="shared" si="517"/>
        <v>Med</v>
      </c>
      <c r="BI259" s="110">
        <f t="shared" si="518"/>
        <v>0</v>
      </c>
      <c r="BJ259" s="83">
        <f>VLOOKUP($F259,REP_Info!$D$6:$H$250,5,FALSE)</f>
        <v>0.123</v>
      </c>
      <c r="BK259" s="30">
        <f t="shared" si="519"/>
        <v>14.150499999999999</v>
      </c>
      <c r="BL259" s="30">
        <f t="shared" si="519"/>
        <v>13.3445</v>
      </c>
      <c r="BM259" s="30">
        <f t="shared" si="519"/>
        <v>12.9415</v>
      </c>
      <c r="BN259" s="29">
        <f t="shared" si="519"/>
        <v>12.807166666666667</v>
      </c>
      <c r="BO259" s="85" t="str">
        <f t="shared" ref="BO259:BO262" si="528">IFERROR(SUMPRODUCT($BS$7:$CD$7,$BS259:$CD259)/100,"$$$")</f>
        <v>$$$</v>
      </c>
      <c r="BP259" s="88" t="str">
        <f t="shared" si="520"/>
        <v>$$$</v>
      </c>
      <c r="BQ259" s="88" t="str">
        <f t="shared" ref="BQ259:BQ262" si="529">IFERROR(SUMPRODUCT($BS$7:$CD$7,$BS259:$CD259,--($BS$4:$CD$4&lt;=$Q259))/SUMPRODUCT(--($BS$4:$CD$4&lt;=$Q259),$BS$7:$CD$7),"$$$")</f>
        <v>$$$</v>
      </c>
      <c r="BR259" s="88" t="str">
        <f t="shared" ref="BR259:BR262" si="530">IFERROR($BQ259-$BF259*100*SUMPRODUCT(--($BS$4:$CD$4&lt;=$Q259))/SUMPRODUCT(--($BS$4:$CD$4&lt;=$Q259),$BS$7:$CD$7)-$BG259*100,"$$$")</f>
        <v>$$$</v>
      </c>
      <c r="BS259" s="29" t="e">
        <f t="shared" si="521"/>
        <v>#N/A</v>
      </c>
      <c r="BT259" s="29" t="e">
        <f t="shared" si="521"/>
        <v>#N/A</v>
      </c>
      <c r="BU259" s="29" t="e">
        <f t="shared" si="521"/>
        <v>#N/A</v>
      </c>
      <c r="BV259" s="29" t="e">
        <f t="shared" si="521"/>
        <v>#N/A</v>
      </c>
      <c r="BW259" s="29" t="e">
        <f t="shared" si="521"/>
        <v>#N/A</v>
      </c>
      <c r="BX259" s="29" t="e">
        <f t="shared" si="521"/>
        <v>#N/A</v>
      </c>
      <c r="BY259" s="29" t="e">
        <f t="shared" si="521"/>
        <v>#N/A</v>
      </c>
      <c r="BZ259" s="29" t="e">
        <f t="shared" si="521"/>
        <v>#N/A</v>
      </c>
      <c r="CA259" s="29" t="e">
        <f t="shared" si="521"/>
        <v>#N/A</v>
      </c>
      <c r="CB259" s="29" t="e">
        <f t="shared" si="521"/>
        <v>#N/A</v>
      </c>
      <c r="CC259" s="29" t="e">
        <f t="shared" si="521"/>
        <v>#N/A</v>
      </c>
      <c r="CD259" s="29" t="e">
        <f t="shared" si="521"/>
        <v>#N/A</v>
      </c>
      <c r="CE259" s="6" t="str">
        <f t="shared" si="352"/>
        <v/>
      </c>
      <c r="CF259" s="27" t="e">
        <f>IF(AND(CI259,NOT(AD259)),LOOKUP(CF$5,{0,750,1500},H259:J259),"")</f>
        <v>#N/A</v>
      </c>
      <c r="CG259" s="6" t="str">
        <f t="shared" si="353"/>
        <v/>
      </c>
      <c r="CH259" t="e">
        <f t="shared" si="522"/>
        <v>#N/A</v>
      </c>
      <c r="CI259" t="e">
        <f t="shared" si="523"/>
        <v>#N/A</v>
      </c>
      <c r="CJ259" s="6" t="e">
        <f t="shared" ref="CJ259:CJ262" si="531">IF($E259=CJ$5,1,0)</f>
        <v>#N/A</v>
      </c>
      <c r="CK259" s="6">
        <f t="shared" ref="CK259:CK262" si="532">IF(CK$5="[Any]",1,IF($F259=CK$5,1,0))</f>
        <v>1</v>
      </c>
      <c r="CL259" s="6">
        <f t="shared" si="26"/>
        <v>1</v>
      </c>
      <c r="CM259" s="6">
        <f t="shared" ref="CM259:CM262" si="533">IF($O259="Fixed",1,0)</f>
        <v>1</v>
      </c>
      <c r="CN259" s="6">
        <f t="shared" ref="CN259:CN262" si="534">IF($Q259&gt;=CN$5,1,0)</f>
        <v>1</v>
      </c>
      <c r="CO259" s="6">
        <f t="shared" ref="CO259:CO262" si="535">IF($Q259&lt;=CO$5,1,0)</f>
        <v>0</v>
      </c>
      <c r="CP259" s="6">
        <f t="shared" ref="CP259:CP262" si="536">IF($P259&gt;=CP$5,1,0)</f>
        <v>1</v>
      </c>
      <c r="CQ259" s="6">
        <f t="shared" si="524"/>
        <v>1</v>
      </c>
      <c r="CR259" s="81" t="str">
        <f t="shared" ref="CR259:CR262" si="537">IF(ISNUMBER($CH259),$CH259+$CS259+$CW259,"")</f>
        <v/>
      </c>
      <c r="CS259">
        <f t="shared" si="525"/>
        <v>0</v>
      </c>
      <c r="CT259">
        <f t="shared" si="19"/>
        <v>300</v>
      </c>
      <c r="CU259" t="str">
        <f t="shared" si="29"/>
        <v/>
      </c>
      <c r="CV259" s="81">
        <f t="shared" si="526"/>
        <v>300</v>
      </c>
      <c r="CW259" s="81">
        <f>(CV259/25)^1.5*(Calculator!$BU$4/10000)*CW$5</f>
        <v>107.33613078068259</v>
      </c>
      <c r="CX259" t="str">
        <f t="shared" si="527"/>
        <v>$300</v>
      </c>
    </row>
    <row r="260" spans="2:102" x14ac:dyDescent="0.25">
      <c r="B260" s="115" t="s">
        <v>233</v>
      </c>
      <c r="C260" s="13">
        <v>46252.407638888886</v>
      </c>
      <c r="D260">
        <v>30598</v>
      </c>
      <c r="E260" s="54" t="s">
        <v>235</v>
      </c>
      <c r="F260" s="54" t="s">
        <v>614</v>
      </c>
      <c r="G260" s="54" t="s">
        <v>627</v>
      </c>
      <c r="H260" s="55">
        <v>13.4</v>
      </c>
      <c r="I260" s="55">
        <v>12.5</v>
      </c>
      <c r="J260" s="55">
        <v>12.1</v>
      </c>
      <c r="K260" s="54"/>
      <c r="L260" s="56" t="b">
        <v>0</v>
      </c>
      <c r="M260" s="56" t="b">
        <v>0</v>
      </c>
      <c r="N260" s="54">
        <v>1</v>
      </c>
      <c r="O260" s="54" t="s">
        <v>228</v>
      </c>
      <c r="P260" s="54">
        <v>24</v>
      </c>
      <c r="Q260" s="54">
        <v>36</v>
      </c>
      <c r="R260" s="54">
        <v>375</v>
      </c>
      <c r="S260" s="54" t="s">
        <v>616</v>
      </c>
      <c r="T260" s="54" t="s">
        <v>617</v>
      </c>
      <c r="U260" s="54" t="s">
        <v>618</v>
      </c>
      <c r="V260" s="54" t="s">
        <v>619</v>
      </c>
      <c r="W260" s="54" t="b">
        <v>0</v>
      </c>
      <c r="X260" s="54"/>
      <c r="Y260" s="57" t="s">
        <v>2197</v>
      </c>
      <c r="Z260" s="54" t="s">
        <v>2198</v>
      </c>
      <c r="AA260" s="54"/>
      <c r="AB260" s="54" t="s">
        <v>620</v>
      </c>
      <c r="AC260" s="56" t="b">
        <v>1</v>
      </c>
      <c r="AD260" s="56" t="b">
        <v>0</v>
      </c>
      <c r="AE260" s="54" t="s">
        <v>302</v>
      </c>
      <c r="AF260" s="58">
        <v>46251</v>
      </c>
      <c r="AG260" s="62" t="s">
        <v>293</v>
      </c>
      <c r="AH260" s="54">
        <v>0</v>
      </c>
      <c r="AI260" s="54"/>
      <c r="AJ260" s="54"/>
      <c r="AK260" s="54"/>
      <c r="AL260" s="54"/>
      <c r="AM260" s="54">
        <v>4</v>
      </c>
      <c r="AN260" s="54"/>
      <c r="AO260" s="54"/>
      <c r="AP260" s="54"/>
      <c r="AQ260" s="54"/>
      <c r="AR260" s="54"/>
      <c r="AS260" s="54"/>
      <c r="AT260" s="54"/>
      <c r="AU260" s="54"/>
      <c r="AV260" s="54"/>
      <c r="AW260" s="54"/>
      <c r="AX260" s="59"/>
      <c r="AY260" s="59"/>
      <c r="AZ260" s="59"/>
      <c r="BA260" s="59"/>
      <c r="BB260" s="59">
        <v>6.6549999999999998E-2</v>
      </c>
      <c r="BC260" s="60">
        <v>4.9000000000000004</v>
      </c>
      <c r="BD260" s="61">
        <v>4.9811000000000001E-2</v>
      </c>
      <c r="BE260" s="62" t="s">
        <v>293</v>
      </c>
      <c r="BF260" s="35">
        <f t="shared" si="516"/>
        <v>4.9000000000000004</v>
      </c>
      <c r="BG260" s="35">
        <f t="shared" si="516"/>
        <v>4.9811000000000001E-2</v>
      </c>
      <c r="BH260" s="35" t="str">
        <f t="shared" si="517"/>
        <v>Med</v>
      </c>
      <c r="BI260" s="110">
        <f t="shared" si="518"/>
        <v>0</v>
      </c>
      <c r="BJ260" s="83">
        <f>VLOOKUP($F260,REP_Info!$D$6:$H$250,5,FALSE)</f>
        <v>0.123</v>
      </c>
      <c r="BK260" s="30">
        <f t="shared" si="519"/>
        <v>13.4161</v>
      </c>
      <c r="BL260" s="30">
        <f t="shared" si="519"/>
        <v>12.5261</v>
      </c>
      <c r="BM260" s="30">
        <f t="shared" si="519"/>
        <v>12.081100000000001</v>
      </c>
      <c r="BN260" s="29">
        <f t="shared" si="519"/>
        <v>11.932766666666668</v>
      </c>
      <c r="BO260" s="85" t="str">
        <f t="shared" si="528"/>
        <v>$$$</v>
      </c>
      <c r="BP260" s="88" t="str">
        <f t="shared" si="520"/>
        <v>$$$</v>
      </c>
      <c r="BQ260" s="88" t="str">
        <f t="shared" si="529"/>
        <v>$$$</v>
      </c>
      <c r="BR260" s="88" t="str">
        <f t="shared" si="530"/>
        <v>$$$</v>
      </c>
      <c r="BS260" s="29" t="e">
        <f t="shared" si="521"/>
        <v>#N/A</v>
      </c>
      <c r="BT260" s="29" t="e">
        <f t="shared" si="521"/>
        <v>#N/A</v>
      </c>
      <c r="BU260" s="29" t="e">
        <f t="shared" si="521"/>
        <v>#N/A</v>
      </c>
      <c r="BV260" s="29" t="e">
        <f t="shared" si="521"/>
        <v>#N/A</v>
      </c>
      <c r="BW260" s="29" t="e">
        <f t="shared" si="521"/>
        <v>#N/A</v>
      </c>
      <c r="BX260" s="29" t="e">
        <f t="shared" si="521"/>
        <v>#N/A</v>
      </c>
      <c r="BY260" s="29" t="e">
        <f t="shared" si="521"/>
        <v>#N/A</v>
      </c>
      <c r="BZ260" s="29" t="e">
        <f t="shared" si="521"/>
        <v>#N/A</v>
      </c>
      <c r="CA260" s="29" t="e">
        <f t="shared" si="521"/>
        <v>#N/A</v>
      </c>
      <c r="CB260" s="29" t="e">
        <f t="shared" si="521"/>
        <v>#N/A</v>
      </c>
      <c r="CC260" s="29" t="e">
        <f t="shared" si="521"/>
        <v>#N/A</v>
      </c>
      <c r="CD260" s="29" t="e">
        <f t="shared" si="521"/>
        <v>#N/A</v>
      </c>
      <c r="CE260" s="6" t="str">
        <f t="shared" si="352"/>
        <v/>
      </c>
      <c r="CF260" s="27" t="e">
        <f>IF(AND(CI260,NOT(AD260)),LOOKUP(CF$5,{0,750,1500},H260:J260),"")</f>
        <v>#N/A</v>
      </c>
      <c r="CG260" s="6" t="str">
        <f t="shared" si="353"/>
        <v/>
      </c>
      <c r="CH260" t="e">
        <f t="shared" si="522"/>
        <v>#N/A</v>
      </c>
      <c r="CI260" t="e">
        <f t="shared" si="523"/>
        <v>#N/A</v>
      </c>
      <c r="CJ260" s="6" t="e">
        <f t="shared" si="531"/>
        <v>#N/A</v>
      </c>
      <c r="CK260" s="6">
        <f t="shared" si="532"/>
        <v>1</v>
      </c>
      <c r="CL260" s="6">
        <f t="shared" si="26"/>
        <v>1</v>
      </c>
      <c r="CM260" s="6">
        <f t="shared" si="533"/>
        <v>1</v>
      </c>
      <c r="CN260" s="6">
        <f t="shared" si="534"/>
        <v>1</v>
      </c>
      <c r="CO260" s="6">
        <f t="shared" si="535"/>
        <v>0</v>
      </c>
      <c r="CP260" s="6">
        <f t="shared" si="536"/>
        <v>1</v>
      </c>
      <c r="CQ260" s="6">
        <f t="shared" si="524"/>
        <v>1</v>
      </c>
      <c r="CR260" s="81" t="str">
        <f t="shared" si="537"/>
        <v/>
      </c>
      <c r="CS260">
        <f t="shared" si="525"/>
        <v>0</v>
      </c>
      <c r="CT260">
        <f t="shared" si="19"/>
        <v>375</v>
      </c>
      <c r="CU260" t="str">
        <f t="shared" si="29"/>
        <v/>
      </c>
      <c r="CV260" s="81">
        <f t="shared" si="526"/>
        <v>375</v>
      </c>
      <c r="CW260" s="81">
        <f>(CV260/25)^1.5*(Calculator!$BU$4/10000)*CW$5</f>
        <v>150.00680304213355</v>
      </c>
      <c r="CX260" t="str">
        <f t="shared" si="527"/>
        <v>$375</v>
      </c>
    </row>
    <row r="261" spans="2:102" x14ac:dyDescent="0.25">
      <c r="B261" s="115" t="s">
        <v>233</v>
      </c>
      <c r="C261" s="13">
        <v>46252.407638888886</v>
      </c>
      <c r="D261">
        <v>30600</v>
      </c>
      <c r="E261" s="54" t="s">
        <v>237</v>
      </c>
      <c r="F261" s="54" t="s">
        <v>614</v>
      </c>
      <c r="G261" s="54" t="s">
        <v>627</v>
      </c>
      <c r="H261" s="55">
        <v>14.499999999999998</v>
      </c>
      <c r="I261" s="55">
        <v>13.700000000000001</v>
      </c>
      <c r="J261" s="55">
        <v>13.3</v>
      </c>
      <c r="K261" s="54"/>
      <c r="L261" s="56" t="b">
        <v>0</v>
      </c>
      <c r="M261" s="56" t="b">
        <v>0</v>
      </c>
      <c r="N261" s="54">
        <v>1</v>
      </c>
      <c r="O261" s="54" t="s">
        <v>228</v>
      </c>
      <c r="P261" s="54">
        <v>24</v>
      </c>
      <c r="Q261" s="54">
        <v>36</v>
      </c>
      <c r="R261" s="54">
        <v>375</v>
      </c>
      <c r="S261" s="54" t="s">
        <v>616</v>
      </c>
      <c r="T261" s="54" t="s">
        <v>617</v>
      </c>
      <c r="U261" s="54" t="s">
        <v>618</v>
      </c>
      <c r="V261" s="54" t="s">
        <v>619</v>
      </c>
      <c r="W261" s="54" t="b">
        <v>0</v>
      </c>
      <c r="X261" s="54"/>
      <c r="Y261" s="57" t="s">
        <v>2199</v>
      </c>
      <c r="Z261" s="54" t="s">
        <v>2200</v>
      </c>
      <c r="AA261" s="54"/>
      <c r="AB261" s="54" t="s">
        <v>620</v>
      </c>
      <c r="AC261" s="56" t="b">
        <v>1</v>
      </c>
      <c r="AD261" s="56" t="b">
        <v>0</v>
      </c>
      <c r="AE261" s="54" t="s">
        <v>302</v>
      </c>
      <c r="AF261" s="58">
        <v>46251</v>
      </c>
      <c r="AG261" s="62" t="s">
        <v>293</v>
      </c>
      <c r="AH261" s="54">
        <v>0</v>
      </c>
      <c r="AI261" s="54"/>
      <c r="AJ261" s="54"/>
      <c r="AK261" s="54"/>
      <c r="AL261" s="54"/>
      <c r="AM261" s="54">
        <v>4</v>
      </c>
      <c r="AN261" s="54"/>
      <c r="AO261" s="54"/>
      <c r="AP261" s="54"/>
      <c r="AQ261" s="54"/>
      <c r="AR261" s="54"/>
      <c r="AS261" s="54"/>
      <c r="AT261" s="54"/>
      <c r="AU261" s="54"/>
      <c r="AV261" s="54"/>
      <c r="AW261" s="54"/>
      <c r="AX261" s="59"/>
      <c r="AY261" s="59"/>
      <c r="AZ261" s="59"/>
      <c r="BA261" s="59"/>
      <c r="BB261" s="59">
        <v>6.8790000000000004E-2</v>
      </c>
      <c r="BC261" s="60">
        <v>4.0599999999999996</v>
      </c>
      <c r="BD261" s="61">
        <v>6.0295000000000001E-2</v>
      </c>
      <c r="BE261" s="62" t="s">
        <v>293</v>
      </c>
      <c r="BF261" s="35">
        <f t="shared" si="516"/>
        <v>4.0600000000000005</v>
      </c>
      <c r="BG261" s="35">
        <f t="shared" si="516"/>
        <v>6.0295000000000001E-2</v>
      </c>
      <c r="BH261" s="35" t="str">
        <f t="shared" si="517"/>
        <v>Med</v>
      </c>
      <c r="BI261" s="110">
        <f t="shared" si="518"/>
        <v>0</v>
      </c>
      <c r="BJ261" s="83">
        <f>VLOOKUP($F261,REP_Info!$D$6:$H$250,5,FALSE)</f>
        <v>0.123</v>
      </c>
      <c r="BK261" s="30">
        <f t="shared" si="519"/>
        <v>14.520500000000002</v>
      </c>
      <c r="BL261" s="30">
        <f t="shared" si="519"/>
        <v>13.714500000000001</v>
      </c>
      <c r="BM261" s="30">
        <f t="shared" si="519"/>
        <v>13.311500000000001</v>
      </c>
      <c r="BN261" s="29">
        <f t="shared" si="519"/>
        <v>13.177166666666666</v>
      </c>
      <c r="BO261" s="85" t="str">
        <f t="shared" si="528"/>
        <v>$$$</v>
      </c>
      <c r="BP261" s="88" t="str">
        <f t="shared" si="520"/>
        <v>$$$</v>
      </c>
      <c r="BQ261" s="88" t="str">
        <f t="shared" si="529"/>
        <v>$$$</v>
      </c>
      <c r="BR261" s="88" t="str">
        <f t="shared" si="530"/>
        <v>$$$</v>
      </c>
      <c r="BS261" s="29" t="e">
        <f t="shared" si="521"/>
        <v>#N/A</v>
      </c>
      <c r="BT261" s="29" t="e">
        <f t="shared" si="521"/>
        <v>#N/A</v>
      </c>
      <c r="BU261" s="29" t="e">
        <f t="shared" si="521"/>
        <v>#N/A</v>
      </c>
      <c r="BV261" s="29" t="e">
        <f t="shared" si="521"/>
        <v>#N/A</v>
      </c>
      <c r="BW261" s="29" t="e">
        <f t="shared" si="521"/>
        <v>#N/A</v>
      </c>
      <c r="BX261" s="29" t="e">
        <f t="shared" si="521"/>
        <v>#N/A</v>
      </c>
      <c r="BY261" s="29" t="e">
        <f t="shared" si="521"/>
        <v>#N/A</v>
      </c>
      <c r="BZ261" s="29" t="e">
        <f t="shared" si="521"/>
        <v>#N/A</v>
      </c>
      <c r="CA261" s="29" t="e">
        <f t="shared" si="521"/>
        <v>#N/A</v>
      </c>
      <c r="CB261" s="29" t="e">
        <f t="shared" si="521"/>
        <v>#N/A</v>
      </c>
      <c r="CC261" s="29" t="e">
        <f t="shared" si="521"/>
        <v>#N/A</v>
      </c>
      <c r="CD261" s="29" t="e">
        <f t="shared" si="521"/>
        <v>#N/A</v>
      </c>
      <c r="CE261" s="6" t="str">
        <f t="shared" si="352"/>
        <v/>
      </c>
      <c r="CF261" s="27" t="e">
        <f>IF(AND(CI261,NOT(AD261)),LOOKUP(CF$5,{0,750,1500},H261:J261),"")</f>
        <v>#N/A</v>
      </c>
      <c r="CG261" s="6" t="str">
        <f t="shared" si="353"/>
        <v/>
      </c>
      <c r="CH261" t="e">
        <f t="shared" si="522"/>
        <v>#N/A</v>
      </c>
      <c r="CI261" t="e">
        <f t="shared" si="523"/>
        <v>#N/A</v>
      </c>
      <c r="CJ261" s="6" t="e">
        <f t="shared" si="531"/>
        <v>#N/A</v>
      </c>
      <c r="CK261" s="6">
        <f t="shared" si="532"/>
        <v>1</v>
      </c>
      <c r="CL261" s="6">
        <f t="shared" si="26"/>
        <v>1</v>
      </c>
      <c r="CM261" s="6">
        <f t="shared" si="533"/>
        <v>1</v>
      </c>
      <c r="CN261" s="6">
        <f t="shared" si="534"/>
        <v>1</v>
      </c>
      <c r="CO261" s="6">
        <f t="shared" si="535"/>
        <v>0</v>
      </c>
      <c r="CP261" s="6">
        <f t="shared" si="536"/>
        <v>1</v>
      </c>
      <c r="CQ261" s="6">
        <f t="shared" si="524"/>
        <v>1</v>
      </c>
      <c r="CR261" s="81" t="str">
        <f t="shared" si="537"/>
        <v/>
      </c>
      <c r="CS261">
        <f t="shared" si="525"/>
        <v>0</v>
      </c>
      <c r="CT261">
        <f t="shared" si="19"/>
        <v>375</v>
      </c>
      <c r="CU261" t="str">
        <f t="shared" si="29"/>
        <v/>
      </c>
      <c r="CV261" s="81">
        <f t="shared" si="526"/>
        <v>375</v>
      </c>
      <c r="CW261" s="81">
        <f>(CV261/25)^1.5*(Calculator!$BU$4/10000)*CW$5</f>
        <v>150.00680304213355</v>
      </c>
      <c r="CX261" t="str">
        <f t="shared" si="527"/>
        <v>$375</v>
      </c>
    </row>
    <row r="262" spans="2:102" x14ac:dyDescent="0.25">
      <c r="B262" s="115" t="s">
        <v>233</v>
      </c>
      <c r="C262" s="13">
        <v>46252.407638888886</v>
      </c>
      <c r="D262">
        <v>31143</v>
      </c>
      <c r="E262" s="54" t="s">
        <v>235</v>
      </c>
      <c r="F262" s="54" t="s">
        <v>614</v>
      </c>
      <c r="G262" s="54" t="s">
        <v>628</v>
      </c>
      <c r="H262" s="55">
        <v>12</v>
      </c>
      <c r="I262" s="55">
        <v>11.200000000000001</v>
      </c>
      <c r="J262" s="55">
        <v>10.8</v>
      </c>
      <c r="K262" s="54"/>
      <c r="L262" s="56" t="b">
        <v>0</v>
      </c>
      <c r="M262" s="56" t="b">
        <v>0</v>
      </c>
      <c r="N262" s="54">
        <v>0</v>
      </c>
      <c r="O262" s="54" t="s">
        <v>238</v>
      </c>
      <c r="P262" s="54">
        <v>24</v>
      </c>
      <c r="Q262" s="54">
        <v>1</v>
      </c>
      <c r="R262" s="54">
        <v>0</v>
      </c>
      <c r="S262" s="54" t="s">
        <v>616</v>
      </c>
      <c r="T262" s="54" t="s">
        <v>617</v>
      </c>
      <c r="U262" s="54" t="s">
        <v>618</v>
      </c>
      <c r="V262" s="54" t="s">
        <v>619</v>
      </c>
      <c r="W262" s="54" t="b">
        <v>0</v>
      </c>
      <c r="X262" s="54"/>
      <c r="Y262" s="57" t="s">
        <v>2201</v>
      </c>
      <c r="Z262" s="54" t="s">
        <v>2202</v>
      </c>
      <c r="AA262" s="54"/>
      <c r="AB262" s="54" t="s">
        <v>620</v>
      </c>
      <c r="AC262" s="56" t="b">
        <v>1</v>
      </c>
      <c r="AD262" s="56" t="b">
        <v>0</v>
      </c>
      <c r="AE262" s="54"/>
      <c r="AF262" s="58"/>
      <c r="AG262" s="62" t="s">
        <v>293</v>
      </c>
      <c r="AH262" s="54"/>
      <c r="AI262" s="54"/>
      <c r="AJ262" s="54"/>
      <c r="AK262" s="54"/>
      <c r="AL262" s="54"/>
      <c r="AM262" s="54">
        <v>0</v>
      </c>
      <c r="AN262" s="54"/>
      <c r="AO262" s="54"/>
      <c r="AP262" s="54"/>
      <c r="AQ262" s="54"/>
      <c r="AR262" s="54"/>
      <c r="AS262" s="54"/>
      <c r="AT262" s="54"/>
      <c r="AU262" s="54"/>
      <c r="AV262" s="54"/>
      <c r="AW262" s="54"/>
      <c r="AX262" s="59"/>
      <c r="AY262" s="59"/>
      <c r="AZ262" s="59"/>
      <c r="BA262" s="59"/>
      <c r="BB262" s="59"/>
      <c r="BC262" s="60"/>
      <c r="BD262" s="61"/>
      <c r="BE262" s="62"/>
      <c r="BF262" s="35">
        <f t="shared" si="516"/>
        <v>4.9000000000000004</v>
      </c>
      <c r="BG262" s="35">
        <f t="shared" si="516"/>
        <v>4.9811000000000001E-2</v>
      </c>
      <c r="BH262" s="35" t="str">
        <f t="shared" si="517"/>
        <v>?</v>
      </c>
      <c r="BI262" s="110" t="str">
        <f t="shared" si="518"/>
        <v/>
      </c>
      <c r="BJ262" s="83">
        <f>VLOOKUP($F262,REP_Info!$D$6:$H$250,5,FALSE)</f>
        <v>0.123</v>
      </c>
      <c r="BK262" s="30" t="e">
        <f t="shared" si="519"/>
        <v>#N/A</v>
      </c>
      <c r="BL262" s="30" t="e">
        <f t="shared" si="519"/>
        <v>#N/A</v>
      </c>
      <c r="BM262" s="30" t="e">
        <f t="shared" si="519"/>
        <v>#N/A</v>
      </c>
      <c r="BN262" s="29" t="e">
        <f t="shared" si="519"/>
        <v>#N/A</v>
      </c>
      <c r="BO262" s="85" t="str">
        <f t="shared" si="528"/>
        <v>$$$</v>
      </c>
      <c r="BP262" s="88" t="str">
        <f t="shared" si="520"/>
        <v>$$$</v>
      </c>
      <c r="BQ262" s="88" t="str">
        <f t="shared" si="529"/>
        <v>$$$</v>
      </c>
      <c r="BR262" s="88" t="str">
        <f t="shared" si="530"/>
        <v>$$$</v>
      </c>
      <c r="BS262" s="29" t="e">
        <f t="shared" si="521"/>
        <v>#N/A</v>
      </c>
      <c r="BT262" s="29" t="e">
        <f t="shared" si="521"/>
        <v>#N/A</v>
      </c>
      <c r="BU262" s="29" t="e">
        <f t="shared" si="521"/>
        <v>#N/A</v>
      </c>
      <c r="BV262" s="29" t="e">
        <f t="shared" si="521"/>
        <v>#N/A</v>
      </c>
      <c r="BW262" s="29" t="e">
        <f t="shared" si="521"/>
        <v>#N/A</v>
      </c>
      <c r="BX262" s="29" t="e">
        <f t="shared" si="521"/>
        <v>#N/A</v>
      </c>
      <c r="BY262" s="29" t="e">
        <f t="shared" si="521"/>
        <v>#N/A</v>
      </c>
      <c r="BZ262" s="29" t="e">
        <f t="shared" si="521"/>
        <v>#N/A</v>
      </c>
      <c r="CA262" s="29" t="e">
        <f t="shared" si="521"/>
        <v>#N/A</v>
      </c>
      <c r="CB262" s="29" t="e">
        <f t="shared" si="521"/>
        <v>#N/A</v>
      </c>
      <c r="CC262" s="29" t="e">
        <f t="shared" si="521"/>
        <v>#N/A</v>
      </c>
      <c r="CD262" s="29" t="e">
        <f t="shared" si="521"/>
        <v>#N/A</v>
      </c>
      <c r="CE262" s="6" t="str">
        <f t="shared" si="352"/>
        <v/>
      </c>
      <c r="CF262" s="27" t="e">
        <f>IF(AND(CI262,NOT(AD262)),LOOKUP(CF$5,{0,750,1500},H262:J262),"")</f>
        <v>#N/A</v>
      </c>
      <c r="CG262" s="6" t="str">
        <f t="shared" si="353"/>
        <v/>
      </c>
      <c r="CH262" t="e">
        <f t="shared" si="522"/>
        <v>#N/A</v>
      </c>
      <c r="CI262" t="e">
        <f t="shared" si="523"/>
        <v>#N/A</v>
      </c>
      <c r="CJ262" s="6" t="e">
        <f t="shared" si="531"/>
        <v>#N/A</v>
      </c>
      <c r="CK262" s="6">
        <f t="shared" si="532"/>
        <v>1</v>
      </c>
      <c r="CL262" s="6">
        <f t="shared" si="26"/>
        <v>1</v>
      </c>
      <c r="CM262" s="6">
        <f t="shared" si="533"/>
        <v>0</v>
      </c>
      <c r="CN262" s="6">
        <f t="shared" si="534"/>
        <v>0</v>
      </c>
      <c r="CO262" s="6">
        <f t="shared" si="535"/>
        <v>1</v>
      </c>
      <c r="CP262" s="6">
        <f t="shared" si="536"/>
        <v>1</v>
      </c>
      <c r="CQ262" s="6">
        <f t="shared" si="524"/>
        <v>1</v>
      </c>
      <c r="CR262" s="81" t="str">
        <f t="shared" si="537"/>
        <v/>
      </c>
      <c r="CS262">
        <f t="shared" si="525"/>
        <v>198</v>
      </c>
      <c r="CT262">
        <f t="shared" si="19"/>
        <v>0</v>
      </c>
      <c r="CU262" t="str">
        <f t="shared" si="29"/>
        <v/>
      </c>
      <c r="CV262" s="81">
        <f t="shared" si="526"/>
        <v>0</v>
      </c>
      <c r="CW262" s="81">
        <f>(CV262/25)^1.5*(Calculator!$BU$4/10000)*CW$5</f>
        <v>0</v>
      </c>
      <c r="CX262" t="str">
        <f t="shared" si="527"/>
        <v>$0</v>
      </c>
    </row>
    <row r="263" spans="2:102" x14ac:dyDescent="0.25">
      <c r="B263" s="115" t="s">
        <v>233</v>
      </c>
      <c r="C263" s="13">
        <v>46252.407638888886</v>
      </c>
      <c r="D263">
        <v>31144</v>
      </c>
      <c r="E263" s="54" t="s">
        <v>237</v>
      </c>
      <c r="F263" s="54" t="s">
        <v>614</v>
      </c>
      <c r="G263" s="54" t="s">
        <v>628</v>
      </c>
      <c r="H263" s="55">
        <v>12.3</v>
      </c>
      <c r="I263" s="55">
        <v>11.600000000000001</v>
      </c>
      <c r="J263" s="55">
        <v>11.3</v>
      </c>
      <c r="K263" s="54"/>
      <c r="L263" s="56" t="b">
        <v>0</v>
      </c>
      <c r="M263" s="56" t="b">
        <v>0</v>
      </c>
      <c r="N263" s="54">
        <v>0</v>
      </c>
      <c r="O263" s="54" t="s">
        <v>238</v>
      </c>
      <c r="P263" s="54">
        <v>24</v>
      </c>
      <c r="Q263" s="54">
        <v>1</v>
      </c>
      <c r="R263" s="54">
        <v>0</v>
      </c>
      <c r="S263" s="54" t="s">
        <v>616</v>
      </c>
      <c r="T263" s="54" t="s">
        <v>617</v>
      </c>
      <c r="U263" s="54" t="s">
        <v>618</v>
      </c>
      <c r="V263" s="54" t="s">
        <v>619</v>
      </c>
      <c r="W263" s="54" t="b">
        <v>0</v>
      </c>
      <c r="X263" s="54"/>
      <c r="Y263" s="57" t="s">
        <v>2203</v>
      </c>
      <c r="Z263" s="54" t="s">
        <v>2204</v>
      </c>
      <c r="AA263" s="54"/>
      <c r="AB263" s="54" t="s">
        <v>620</v>
      </c>
      <c r="AC263" s="56" t="b">
        <v>1</v>
      </c>
      <c r="AD263" s="56" t="b">
        <v>0</v>
      </c>
      <c r="AE263" s="54"/>
      <c r="AF263" s="58"/>
      <c r="AG263" s="62" t="s">
        <v>293</v>
      </c>
      <c r="AH263" s="54"/>
      <c r="AI263" s="54"/>
      <c r="AJ263" s="54"/>
      <c r="AK263" s="54"/>
      <c r="AL263" s="54"/>
      <c r="AM263" s="54">
        <v>0</v>
      </c>
      <c r="AN263" s="54"/>
      <c r="AO263" s="54"/>
      <c r="AP263" s="54"/>
      <c r="AQ263" s="54"/>
      <c r="AR263" s="54"/>
      <c r="AS263" s="54"/>
      <c r="AT263" s="54"/>
      <c r="AU263" s="54"/>
      <c r="AV263" s="54"/>
      <c r="AW263" s="54"/>
      <c r="AX263" s="59"/>
      <c r="AY263" s="59"/>
      <c r="AZ263" s="59"/>
      <c r="BA263" s="59"/>
      <c r="BB263" s="59"/>
      <c r="BC263" s="60"/>
      <c r="BD263" s="61"/>
      <c r="BE263" s="62"/>
      <c r="BF263" s="35">
        <f t="shared" ref="BF263:BG272" si="538">IF($E263=$E$4,BF$4,IF($E263=$E$5,BF$5,""))</f>
        <v>4.0600000000000005</v>
      </c>
      <c r="BG263" s="35">
        <f t="shared" si="538"/>
        <v>6.0295000000000001E-2</v>
      </c>
      <c r="BH263" s="35" t="str">
        <f t="shared" ref="BH263:BH272" si="539">IF(ISTEXT(BE263),IF(AND(AV263=0,SUM(AN263:AQ263)=0),IF(AM263&lt;=0,IF(BE263="Y","Low","Flat"),"Med"),"High"),"?")</f>
        <v>?</v>
      </c>
      <c r="BI263" s="110" t="str">
        <f t="shared" ref="BI263:BI272" si="540">IF(ISNUMBER(AH263),0*BI$5*SIN((EDATE($A$3,$Q263)-DATE(YEAR(EDATE($A$3,$Q263)),1,0)-BI$4)*2*PI()/365),"")</f>
        <v/>
      </c>
      <c r="BJ263" s="83">
        <f>VLOOKUP($F263,REP_Info!$D$6:$H$250,5,FALSE)</f>
        <v>0.123</v>
      </c>
      <c r="BK263" s="30" t="e">
        <f t="shared" ref="BK263:BN272" si="541">IF(BK$7&gt;0,(LOOKUP(BK$7,$AH263:$AL263,$AM263:$AQ263)+IF($AG263="Y",SUMPRODUCT($AX263:$BB263-$AW263:$BA263,BK$7-$AR263:$AV263,N(BK$7&gt;$AR263:$AV263)),BK$7*LOOKUP(BK$7,$AR263:$AV263,$AX263:$BB263))+IF($BE263="Y",$BF263,$BC263)+BK$7*IF($BE263="Y",$BG263,$BD263))*100/BK$7,"")</f>
        <v>#N/A</v>
      </c>
      <c r="BL263" s="30" t="e">
        <f t="shared" si="541"/>
        <v>#N/A</v>
      </c>
      <c r="BM263" s="30" t="e">
        <f t="shared" si="541"/>
        <v>#N/A</v>
      </c>
      <c r="BN263" s="29" t="e">
        <f t="shared" si="541"/>
        <v>#N/A</v>
      </c>
      <c r="BO263" s="85" t="str">
        <f t="shared" si="2"/>
        <v>$$$</v>
      </c>
      <c r="BP263" s="88" t="str">
        <f t="shared" ref="BP263:BP272" si="542">IFERROR(BO263*100/BO$5,"$$$")</f>
        <v>$$$</v>
      </c>
      <c r="BQ263" s="88" t="str">
        <f t="shared" si="4"/>
        <v>$$$</v>
      </c>
      <c r="BR263" s="88" t="str">
        <f t="shared" si="5"/>
        <v>$$$</v>
      </c>
      <c r="BS263" s="29" t="e">
        <f t="shared" ref="BS263:CD272" si="543">IF($CI263,IF(BS$7&gt;0,IF(BS$4&gt;$Q263,$BF263+BS$7*(BS$5+$BG263+$BI263),LOOKUP(BS$7,$AH263:$AL263,$AM263:$AQ263)+IF($AG263="Y",SUMPRODUCT($AX263:$BB263-$AW263:$BA263,BS$7-$AR263:$AV263,N(BS$7&gt;$AR263:$AV263)),BS$7*LOOKUP(BS$7,$AR263:$AV263,$AX263:$BB263))+IF($BE263="Y",$BF263,$BC263)+BS$7*IF($BE263="Y",$BG263,$BD263))*100/BS$7,""),NA())</f>
        <v>#N/A</v>
      </c>
      <c r="BT263" s="29" t="e">
        <f t="shared" si="543"/>
        <v>#N/A</v>
      </c>
      <c r="BU263" s="29" t="e">
        <f t="shared" si="543"/>
        <v>#N/A</v>
      </c>
      <c r="BV263" s="29" t="e">
        <f t="shared" si="543"/>
        <v>#N/A</v>
      </c>
      <c r="BW263" s="29" t="e">
        <f t="shared" si="543"/>
        <v>#N/A</v>
      </c>
      <c r="BX263" s="29" t="e">
        <f t="shared" si="543"/>
        <v>#N/A</v>
      </c>
      <c r="BY263" s="29" t="e">
        <f t="shared" si="543"/>
        <v>#N/A</v>
      </c>
      <c r="BZ263" s="29" t="e">
        <f t="shared" si="543"/>
        <v>#N/A</v>
      </c>
      <c r="CA263" s="29" t="e">
        <f t="shared" si="543"/>
        <v>#N/A</v>
      </c>
      <c r="CB263" s="29" t="e">
        <f t="shared" si="543"/>
        <v>#N/A</v>
      </c>
      <c r="CC263" s="29" t="e">
        <f t="shared" si="543"/>
        <v>#N/A</v>
      </c>
      <c r="CD263" s="29" t="e">
        <f t="shared" si="543"/>
        <v>#N/A</v>
      </c>
      <c r="CE263" s="6" t="str">
        <f t="shared" si="352"/>
        <v/>
      </c>
      <c r="CF263" s="27" t="e">
        <f>IF(AND(CI263,NOT(AD263)),LOOKUP(CF$5,{0,750,1500},H263:J263),"")</f>
        <v>#N/A</v>
      </c>
      <c r="CG263" s="6" t="str">
        <f t="shared" si="353"/>
        <v/>
      </c>
      <c r="CH263" t="e">
        <f t="shared" ref="CH263:CH272" si="544">IF(CI263,IF(ISNUMBER(BO263),BO263,100000)+CV263/10000+IF(ISNUMBER(BJ263),BJ263,2)/10000-P263/100000+ROW()/10000000,"")</f>
        <v>#N/A</v>
      </c>
      <c r="CI263" t="e">
        <f t="shared" ref="CI263:CI272" si="545">PRODUCT(CJ263:CQ263)</f>
        <v>#N/A</v>
      </c>
      <c r="CJ263" s="6" t="e">
        <f t="shared" si="11"/>
        <v>#N/A</v>
      </c>
      <c r="CK263" s="6">
        <f t="shared" si="12"/>
        <v>1</v>
      </c>
      <c r="CL263" s="6">
        <f t="shared" si="26"/>
        <v>1</v>
      </c>
      <c r="CM263" s="6">
        <f t="shared" si="13"/>
        <v>0</v>
      </c>
      <c r="CN263" s="6">
        <f t="shared" si="14"/>
        <v>0</v>
      </c>
      <c r="CO263" s="6">
        <f t="shared" si="15"/>
        <v>1</v>
      </c>
      <c r="CP263" s="6">
        <f t="shared" si="16"/>
        <v>1</v>
      </c>
      <c r="CQ263" s="6">
        <f t="shared" ref="CQ263:CQ272" si="546">IF(CQ$5="Any",1,IF(AND(CQ$5="Med",AV263=0,SUM(AN263:AQ263)=0),1,IF(AND(CQ$5="Low",AV263=0,SUM(AN263:AQ263)=0,AM263=0),1,IF(AND(CQ$5="Flat",AV263=0,SUM(AN263:AQ263)=0,AM263=0,IFERROR(NOT(BE263="Y"),0)),1,0))))</f>
        <v>1</v>
      </c>
      <c r="CR263" s="81" t="str">
        <f t="shared" si="17"/>
        <v/>
      </c>
      <c r="CS263">
        <f t="shared" ref="CS263:CS272" si="547">CS$5*(12/(MIN(12,Q263))-1)</f>
        <v>198</v>
      </c>
      <c r="CT263">
        <f t="shared" si="19"/>
        <v>0</v>
      </c>
      <c r="CU263" t="str">
        <f t="shared" si="29"/>
        <v/>
      </c>
      <c r="CV263" s="81">
        <f t="shared" ref="CV263:CV272" si="548">CT263*IF(CU263="",1,Q263)</f>
        <v>0</v>
      </c>
      <c r="CW263" s="81">
        <f>(CV263/25)^1.5*(Calculator!$BU$4/10000)*CW$5</f>
        <v>0</v>
      </c>
      <c r="CX263" t="str">
        <f t="shared" ref="CX263:CX272" si="549">"$"&amp;IF(LEFT(CU263,1)="r",CT263&amp;"/"&amp;CU263,CV263)</f>
        <v>$0</v>
      </c>
    </row>
    <row r="264" spans="2:102" x14ac:dyDescent="0.25">
      <c r="B264" s="115" t="s">
        <v>233</v>
      </c>
      <c r="C264" s="13">
        <v>46252.407638888886</v>
      </c>
      <c r="D264">
        <v>31151</v>
      </c>
      <c r="E264" s="54" t="s">
        <v>235</v>
      </c>
      <c r="F264" s="54" t="s">
        <v>614</v>
      </c>
      <c r="G264" s="54" t="s">
        <v>629</v>
      </c>
      <c r="H264" s="55">
        <v>12.1</v>
      </c>
      <c r="I264" s="55">
        <v>11.3</v>
      </c>
      <c r="J264" s="55">
        <v>10.9</v>
      </c>
      <c r="K264" s="54"/>
      <c r="L264" s="56" t="b">
        <v>0</v>
      </c>
      <c r="M264" s="56" t="b">
        <v>0</v>
      </c>
      <c r="N264" s="54">
        <v>0</v>
      </c>
      <c r="O264" s="54" t="s">
        <v>238</v>
      </c>
      <c r="P264" s="54">
        <v>100</v>
      </c>
      <c r="Q264" s="54">
        <v>1</v>
      </c>
      <c r="R264" s="54">
        <v>0</v>
      </c>
      <c r="S264" s="54" t="s">
        <v>616</v>
      </c>
      <c r="T264" s="54" t="s">
        <v>622</v>
      </c>
      <c r="U264" s="54" t="s">
        <v>618</v>
      </c>
      <c r="V264" s="54" t="s">
        <v>619</v>
      </c>
      <c r="W264" s="54" t="b">
        <v>0</v>
      </c>
      <c r="X264" s="54"/>
      <c r="Y264" s="57" t="s">
        <v>2205</v>
      </c>
      <c r="Z264" s="54" t="s">
        <v>2206</v>
      </c>
      <c r="AA264" s="54"/>
      <c r="AB264" s="54" t="s">
        <v>620</v>
      </c>
      <c r="AC264" s="56" t="b">
        <v>1</v>
      </c>
      <c r="AD264" s="56" t="b">
        <v>0</v>
      </c>
      <c r="AE264" s="54"/>
      <c r="AF264" s="58"/>
      <c r="AG264" s="62" t="s">
        <v>293</v>
      </c>
      <c r="AH264" s="54"/>
      <c r="AI264" s="54"/>
      <c r="AJ264" s="54"/>
      <c r="AK264" s="54"/>
      <c r="AL264" s="54"/>
      <c r="AM264" s="54">
        <v>0</v>
      </c>
      <c r="AN264" s="54"/>
      <c r="AO264" s="54"/>
      <c r="AP264" s="54"/>
      <c r="AQ264" s="54"/>
      <c r="AR264" s="54"/>
      <c r="AS264" s="54"/>
      <c r="AT264" s="54"/>
      <c r="AU264" s="54"/>
      <c r="AV264" s="54"/>
      <c r="AW264" s="54"/>
      <c r="AX264" s="59"/>
      <c r="AY264" s="59"/>
      <c r="AZ264" s="59"/>
      <c r="BA264" s="59"/>
      <c r="BB264" s="59"/>
      <c r="BC264" s="60"/>
      <c r="BD264" s="61"/>
      <c r="BE264" s="62"/>
      <c r="BF264" s="35">
        <f t="shared" si="538"/>
        <v>4.9000000000000004</v>
      </c>
      <c r="BG264" s="35">
        <f t="shared" si="538"/>
        <v>4.9811000000000001E-2</v>
      </c>
      <c r="BH264" s="35" t="str">
        <f t="shared" si="539"/>
        <v>?</v>
      </c>
      <c r="BI264" s="110" t="str">
        <f t="shared" si="540"/>
        <v/>
      </c>
      <c r="BJ264" s="83">
        <f>VLOOKUP($F264,REP_Info!$D$6:$H$250,5,FALSE)</f>
        <v>0.123</v>
      </c>
      <c r="BK264" s="30" t="e">
        <f t="shared" si="541"/>
        <v>#N/A</v>
      </c>
      <c r="BL264" s="30" t="e">
        <f t="shared" si="541"/>
        <v>#N/A</v>
      </c>
      <c r="BM264" s="30" t="e">
        <f t="shared" si="541"/>
        <v>#N/A</v>
      </c>
      <c r="BN264" s="29" t="e">
        <f t="shared" si="541"/>
        <v>#N/A</v>
      </c>
      <c r="BO264" s="85" t="str">
        <f t="shared" si="2"/>
        <v>$$$</v>
      </c>
      <c r="BP264" s="88" t="str">
        <f t="shared" si="542"/>
        <v>$$$</v>
      </c>
      <c r="BQ264" s="88" t="str">
        <f t="shared" si="4"/>
        <v>$$$</v>
      </c>
      <c r="BR264" s="88" t="str">
        <f t="shared" si="5"/>
        <v>$$$</v>
      </c>
      <c r="BS264" s="29" t="e">
        <f t="shared" si="543"/>
        <v>#N/A</v>
      </c>
      <c r="BT264" s="29" t="e">
        <f t="shared" si="543"/>
        <v>#N/A</v>
      </c>
      <c r="BU264" s="29" t="e">
        <f t="shared" si="543"/>
        <v>#N/A</v>
      </c>
      <c r="BV264" s="29" t="e">
        <f t="shared" si="543"/>
        <v>#N/A</v>
      </c>
      <c r="BW264" s="29" t="e">
        <f t="shared" si="543"/>
        <v>#N/A</v>
      </c>
      <c r="BX264" s="29" t="e">
        <f t="shared" si="543"/>
        <v>#N/A</v>
      </c>
      <c r="BY264" s="29" t="e">
        <f t="shared" si="543"/>
        <v>#N/A</v>
      </c>
      <c r="BZ264" s="29" t="e">
        <f t="shared" si="543"/>
        <v>#N/A</v>
      </c>
      <c r="CA264" s="29" t="e">
        <f t="shared" si="543"/>
        <v>#N/A</v>
      </c>
      <c r="CB264" s="29" t="e">
        <f t="shared" si="543"/>
        <v>#N/A</v>
      </c>
      <c r="CC264" s="29" t="e">
        <f t="shared" si="543"/>
        <v>#N/A</v>
      </c>
      <c r="CD264" s="29" t="e">
        <f t="shared" si="543"/>
        <v>#N/A</v>
      </c>
      <c r="CE264" s="6" t="str">
        <f t="shared" si="352"/>
        <v/>
      </c>
      <c r="CF264" s="27" t="e">
        <f>IF(AND(CI264,NOT(AD264)),LOOKUP(CF$5,{0,750,1500},H264:J264),"")</f>
        <v>#N/A</v>
      </c>
      <c r="CG264" s="6" t="str">
        <f t="shared" si="353"/>
        <v/>
      </c>
      <c r="CH264" t="e">
        <f t="shared" si="544"/>
        <v>#N/A</v>
      </c>
      <c r="CI264" t="e">
        <f t="shared" si="545"/>
        <v>#N/A</v>
      </c>
      <c r="CJ264" s="6" t="e">
        <f t="shared" si="11"/>
        <v>#N/A</v>
      </c>
      <c r="CK264" s="6">
        <f t="shared" si="12"/>
        <v>1</v>
      </c>
      <c r="CL264" s="6">
        <f t="shared" si="26"/>
        <v>1</v>
      </c>
      <c r="CM264" s="6">
        <f t="shared" si="13"/>
        <v>0</v>
      </c>
      <c r="CN264" s="6">
        <f t="shared" si="14"/>
        <v>0</v>
      </c>
      <c r="CO264" s="6">
        <f t="shared" si="15"/>
        <v>1</v>
      </c>
      <c r="CP264" s="6">
        <f t="shared" si="16"/>
        <v>1</v>
      </c>
      <c r="CQ264" s="6">
        <f t="shared" si="546"/>
        <v>1</v>
      </c>
      <c r="CR264" s="81" t="str">
        <f t="shared" si="17"/>
        <v/>
      </c>
      <c r="CS264">
        <f t="shared" si="547"/>
        <v>198</v>
      </c>
      <c r="CT264">
        <f t="shared" si="19"/>
        <v>0</v>
      </c>
      <c r="CU264" t="str">
        <f t="shared" si="29"/>
        <v/>
      </c>
      <c r="CV264" s="81">
        <f t="shared" si="548"/>
        <v>0</v>
      </c>
      <c r="CW264" s="81">
        <f>(CV264/25)^1.5*(Calculator!$BU$4/10000)*CW$5</f>
        <v>0</v>
      </c>
      <c r="CX264" t="str">
        <f t="shared" si="549"/>
        <v>$0</v>
      </c>
    </row>
    <row r="265" spans="2:102" x14ac:dyDescent="0.25">
      <c r="B265" s="115" t="s">
        <v>233</v>
      </c>
      <c r="C265" s="13">
        <v>46252.407638888886</v>
      </c>
      <c r="D265">
        <v>31153</v>
      </c>
      <c r="E265" s="54" t="s">
        <v>237</v>
      </c>
      <c r="F265" s="54" t="s">
        <v>614</v>
      </c>
      <c r="G265" s="54" t="s">
        <v>629</v>
      </c>
      <c r="H265" s="55">
        <v>12.4</v>
      </c>
      <c r="I265" s="55">
        <v>11.700000000000001</v>
      </c>
      <c r="J265" s="55">
        <v>11.4</v>
      </c>
      <c r="K265" s="54"/>
      <c r="L265" s="56" t="b">
        <v>0</v>
      </c>
      <c r="M265" s="56" t="b">
        <v>0</v>
      </c>
      <c r="N265" s="54">
        <v>0</v>
      </c>
      <c r="O265" s="54" t="s">
        <v>238</v>
      </c>
      <c r="P265" s="54">
        <v>100</v>
      </c>
      <c r="Q265" s="54">
        <v>1</v>
      </c>
      <c r="R265" s="54">
        <v>0</v>
      </c>
      <c r="S265" s="54" t="s">
        <v>616</v>
      </c>
      <c r="T265" s="54" t="s">
        <v>622</v>
      </c>
      <c r="U265" s="54" t="s">
        <v>618</v>
      </c>
      <c r="V265" s="54" t="s">
        <v>619</v>
      </c>
      <c r="W265" s="54" t="b">
        <v>0</v>
      </c>
      <c r="X265" s="54"/>
      <c r="Y265" s="57" t="s">
        <v>2207</v>
      </c>
      <c r="Z265" s="54" t="s">
        <v>2208</v>
      </c>
      <c r="AA265" s="54"/>
      <c r="AB265" s="54" t="s">
        <v>620</v>
      </c>
      <c r="AC265" s="56" t="b">
        <v>1</v>
      </c>
      <c r="AD265" s="56" t="b">
        <v>0</v>
      </c>
      <c r="AE265" s="54"/>
      <c r="AF265" s="58"/>
      <c r="AG265" s="62" t="s">
        <v>293</v>
      </c>
      <c r="AH265" s="54"/>
      <c r="AI265" s="54"/>
      <c r="AJ265" s="54"/>
      <c r="AK265" s="54"/>
      <c r="AL265" s="54"/>
      <c r="AM265" s="54">
        <v>0</v>
      </c>
      <c r="AN265" s="54"/>
      <c r="AO265" s="54"/>
      <c r="AP265" s="54"/>
      <c r="AQ265" s="54"/>
      <c r="AR265" s="54"/>
      <c r="AS265" s="54"/>
      <c r="AT265" s="54"/>
      <c r="AU265" s="54"/>
      <c r="AV265" s="54"/>
      <c r="AW265" s="54"/>
      <c r="AX265" s="59"/>
      <c r="AY265" s="59"/>
      <c r="AZ265" s="59"/>
      <c r="BA265" s="59"/>
      <c r="BB265" s="59"/>
      <c r="BC265" s="60"/>
      <c r="BD265" s="61"/>
      <c r="BE265" s="62"/>
      <c r="BF265" s="35">
        <f t="shared" si="538"/>
        <v>4.0600000000000005</v>
      </c>
      <c r="BG265" s="35">
        <f t="shared" si="538"/>
        <v>6.0295000000000001E-2</v>
      </c>
      <c r="BH265" s="35" t="str">
        <f t="shared" si="539"/>
        <v>?</v>
      </c>
      <c r="BI265" s="110" t="str">
        <f t="shared" si="540"/>
        <v/>
      </c>
      <c r="BJ265" s="83">
        <f>VLOOKUP($F265,REP_Info!$D$6:$H$250,5,FALSE)</f>
        <v>0.123</v>
      </c>
      <c r="BK265" s="30" t="e">
        <f t="shared" si="541"/>
        <v>#N/A</v>
      </c>
      <c r="BL265" s="30" t="e">
        <f t="shared" si="541"/>
        <v>#N/A</v>
      </c>
      <c r="BM265" s="30" t="e">
        <f t="shared" si="541"/>
        <v>#N/A</v>
      </c>
      <c r="BN265" s="29" t="e">
        <f t="shared" si="541"/>
        <v>#N/A</v>
      </c>
      <c r="BO265" s="85" t="str">
        <f t="shared" si="2"/>
        <v>$$$</v>
      </c>
      <c r="BP265" s="88" t="str">
        <f t="shared" si="542"/>
        <v>$$$</v>
      </c>
      <c r="BQ265" s="88" t="str">
        <f t="shared" si="4"/>
        <v>$$$</v>
      </c>
      <c r="BR265" s="88" t="str">
        <f t="shared" si="5"/>
        <v>$$$</v>
      </c>
      <c r="BS265" s="29" t="e">
        <f t="shared" si="543"/>
        <v>#N/A</v>
      </c>
      <c r="BT265" s="29" t="e">
        <f t="shared" si="543"/>
        <v>#N/A</v>
      </c>
      <c r="BU265" s="29" t="e">
        <f t="shared" si="543"/>
        <v>#N/A</v>
      </c>
      <c r="BV265" s="29" t="e">
        <f t="shared" si="543"/>
        <v>#N/A</v>
      </c>
      <c r="BW265" s="29" t="e">
        <f t="shared" si="543"/>
        <v>#N/A</v>
      </c>
      <c r="BX265" s="29" t="e">
        <f t="shared" si="543"/>
        <v>#N/A</v>
      </c>
      <c r="BY265" s="29" t="e">
        <f t="shared" si="543"/>
        <v>#N/A</v>
      </c>
      <c r="BZ265" s="29" t="e">
        <f t="shared" si="543"/>
        <v>#N/A</v>
      </c>
      <c r="CA265" s="29" t="e">
        <f t="shared" si="543"/>
        <v>#N/A</v>
      </c>
      <c r="CB265" s="29" t="e">
        <f t="shared" si="543"/>
        <v>#N/A</v>
      </c>
      <c r="CC265" s="29" t="e">
        <f t="shared" si="543"/>
        <v>#N/A</v>
      </c>
      <c r="CD265" s="29" t="e">
        <f t="shared" si="543"/>
        <v>#N/A</v>
      </c>
      <c r="CE265" s="6" t="str">
        <f t="shared" si="352"/>
        <v/>
      </c>
      <c r="CF265" s="27" t="e">
        <f>IF(AND(CI265,NOT(AD265)),LOOKUP(CF$5,{0,750,1500},H265:J265),"")</f>
        <v>#N/A</v>
      </c>
      <c r="CG265" s="6" t="str">
        <f t="shared" si="353"/>
        <v/>
      </c>
      <c r="CH265" t="e">
        <f t="shared" si="544"/>
        <v>#N/A</v>
      </c>
      <c r="CI265" t="e">
        <f t="shared" si="545"/>
        <v>#N/A</v>
      </c>
      <c r="CJ265" s="6" t="e">
        <f t="shared" si="11"/>
        <v>#N/A</v>
      </c>
      <c r="CK265" s="6">
        <f t="shared" si="12"/>
        <v>1</v>
      </c>
      <c r="CL265" s="6">
        <f t="shared" si="26"/>
        <v>1</v>
      </c>
      <c r="CM265" s="6">
        <f t="shared" si="13"/>
        <v>0</v>
      </c>
      <c r="CN265" s="6">
        <f t="shared" si="14"/>
        <v>0</v>
      </c>
      <c r="CO265" s="6">
        <f t="shared" si="15"/>
        <v>1</v>
      </c>
      <c r="CP265" s="6">
        <f t="shared" si="16"/>
        <v>1</v>
      </c>
      <c r="CQ265" s="6">
        <f t="shared" si="546"/>
        <v>1</v>
      </c>
      <c r="CR265" s="81" t="str">
        <f t="shared" si="17"/>
        <v/>
      </c>
      <c r="CS265">
        <f t="shared" si="547"/>
        <v>198</v>
      </c>
      <c r="CT265">
        <f t="shared" si="19"/>
        <v>0</v>
      </c>
      <c r="CU265" t="str">
        <f t="shared" si="29"/>
        <v/>
      </c>
      <c r="CV265" s="81">
        <f t="shared" si="548"/>
        <v>0</v>
      </c>
      <c r="CW265" s="81">
        <f>(CV265/25)^1.5*(Calculator!$BU$4/10000)*CW$5</f>
        <v>0</v>
      </c>
      <c r="CX265" t="str">
        <f t="shared" si="549"/>
        <v>$0</v>
      </c>
    </row>
    <row r="266" spans="2:102" x14ac:dyDescent="0.25">
      <c r="B266" s="115" t="s">
        <v>233</v>
      </c>
      <c r="C266" s="13">
        <v>46256.21597222222</v>
      </c>
      <c r="D266">
        <v>35059</v>
      </c>
      <c r="E266" s="54" t="s">
        <v>235</v>
      </c>
      <c r="F266" s="54" t="s">
        <v>630</v>
      </c>
      <c r="G266" s="54" t="s">
        <v>631</v>
      </c>
      <c r="H266" s="55">
        <v>10.5</v>
      </c>
      <c r="I266" s="55">
        <v>10.5</v>
      </c>
      <c r="J266" s="55">
        <v>10.6</v>
      </c>
      <c r="K266" s="54"/>
      <c r="L266" s="56" t="b">
        <v>0</v>
      </c>
      <c r="M266" s="56" t="b">
        <v>0</v>
      </c>
      <c r="N266" s="54">
        <v>1</v>
      </c>
      <c r="O266" s="54" t="s">
        <v>228</v>
      </c>
      <c r="P266" s="54">
        <v>100</v>
      </c>
      <c r="Q266" s="54">
        <v>12</v>
      </c>
      <c r="R266" s="54" t="s">
        <v>485</v>
      </c>
      <c r="S266" s="54" t="s">
        <v>1655</v>
      </c>
      <c r="T266" s="54" t="s">
        <v>632</v>
      </c>
      <c r="U266" s="54" t="s">
        <v>633</v>
      </c>
      <c r="V266" s="54" t="s">
        <v>634</v>
      </c>
      <c r="W266" s="54" t="b">
        <v>0</v>
      </c>
      <c r="X266" s="54"/>
      <c r="Y266" s="57" t="s">
        <v>635</v>
      </c>
      <c r="Z266" s="54" t="s">
        <v>1656</v>
      </c>
      <c r="AA266" s="54"/>
      <c r="AB266" s="54" t="s">
        <v>636</v>
      </c>
      <c r="AC266" s="56" t="b">
        <v>0</v>
      </c>
      <c r="AD266" s="56" t="b">
        <v>0</v>
      </c>
      <c r="AE266" s="54" t="s">
        <v>302</v>
      </c>
      <c r="AF266" s="58">
        <v>46255</v>
      </c>
      <c r="AG266" s="62" t="s">
        <v>293</v>
      </c>
      <c r="AH266" s="54">
        <v>0</v>
      </c>
      <c r="AI266" s="54"/>
      <c r="AJ266" s="54"/>
      <c r="AK266" s="54"/>
      <c r="AL266" s="54"/>
      <c r="AM266" s="54">
        <v>-5</v>
      </c>
      <c r="AN266" s="54"/>
      <c r="AO266" s="54"/>
      <c r="AP266" s="54"/>
      <c r="AQ266" s="54"/>
      <c r="AR266" s="54"/>
      <c r="AS266" s="54"/>
      <c r="AT266" s="54"/>
      <c r="AU266" s="54"/>
      <c r="AV266" s="54"/>
      <c r="AW266" s="54"/>
      <c r="AX266" s="59"/>
      <c r="AY266" s="59"/>
      <c r="AZ266" s="59"/>
      <c r="BA266" s="59"/>
      <c r="BB266" s="59">
        <v>5.5780000000000003E-2</v>
      </c>
      <c r="BC266" s="60">
        <v>4.9000000000000004</v>
      </c>
      <c r="BD266" s="61">
        <v>4.9811000000000001E-2</v>
      </c>
      <c r="BE266" s="62" t="s">
        <v>293</v>
      </c>
      <c r="BF266" s="35">
        <f t="shared" si="538"/>
        <v>4.9000000000000004</v>
      </c>
      <c r="BG266" s="35">
        <f t="shared" si="538"/>
        <v>4.9811000000000001E-2</v>
      </c>
      <c r="BH266" s="35" t="str">
        <f t="shared" si="539"/>
        <v>Low</v>
      </c>
      <c r="BI266" s="110">
        <f t="shared" si="540"/>
        <v>0</v>
      </c>
      <c r="BJ266" s="83">
        <f>VLOOKUP($F266,REP_Info!$D$6:$H$250,5,FALSE)</f>
        <v>1.5649999999999999</v>
      </c>
      <c r="BK266" s="30">
        <f t="shared" si="541"/>
        <v>10.539099999999998</v>
      </c>
      <c r="BL266" s="30">
        <f t="shared" si="541"/>
        <v>10.549100000000001</v>
      </c>
      <c r="BM266" s="30">
        <f t="shared" si="541"/>
        <v>10.5541</v>
      </c>
      <c r="BN266" s="29">
        <f t="shared" si="541"/>
        <v>10.555766666666667</v>
      </c>
      <c r="BO266" s="85" t="str">
        <f t="shared" si="2"/>
        <v>$$$</v>
      </c>
      <c r="BP266" s="88" t="str">
        <f t="shared" si="542"/>
        <v>$$$</v>
      </c>
      <c r="BQ266" s="88" t="str">
        <f t="shared" si="4"/>
        <v>$$$</v>
      </c>
      <c r="BR266" s="88" t="str">
        <f t="shared" si="5"/>
        <v>$$$</v>
      </c>
      <c r="BS266" s="29" t="e">
        <f t="shared" si="543"/>
        <v>#N/A</v>
      </c>
      <c r="BT266" s="29" t="e">
        <f t="shared" si="543"/>
        <v>#N/A</v>
      </c>
      <c r="BU266" s="29" t="e">
        <f t="shared" si="543"/>
        <v>#N/A</v>
      </c>
      <c r="BV266" s="29" t="e">
        <f t="shared" si="543"/>
        <v>#N/A</v>
      </c>
      <c r="BW266" s="29" t="e">
        <f t="shared" si="543"/>
        <v>#N/A</v>
      </c>
      <c r="BX266" s="29" t="e">
        <f t="shared" si="543"/>
        <v>#N/A</v>
      </c>
      <c r="BY266" s="29" t="e">
        <f t="shared" si="543"/>
        <v>#N/A</v>
      </c>
      <c r="BZ266" s="29" t="e">
        <f t="shared" si="543"/>
        <v>#N/A</v>
      </c>
      <c r="CA266" s="29" t="e">
        <f t="shared" si="543"/>
        <v>#N/A</v>
      </c>
      <c r="CB266" s="29" t="e">
        <f t="shared" si="543"/>
        <v>#N/A</v>
      </c>
      <c r="CC266" s="29" t="e">
        <f t="shared" si="543"/>
        <v>#N/A</v>
      </c>
      <c r="CD266" s="29" t="e">
        <f t="shared" si="543"/>
        <v>#N/A</v>
      </c>
      <c r="CE266" s="6" t="str">
        <f t="shared" si="352"/>
        <v/>
      </c>
      <c r="CF266" s="27" t="e">
        <f>IF(AND(CI266,NOT(AD266)),LOOKUP(CF$5,{0,750,1500},H266:J266),"")</f>
        <v>#N/A</v>
      </c>
      <c r="CG266" s="6" t="str">
        <f t="shared" si="353"/>
        <v/>
      </c>
      <c r="CH266" t="e">
        <f t="shared" si="544"/>
        <v>#N/A</v>
      </c>
      <c r="CI266" t="e">
        <f t="shared" si="545"/>
        <v>#N/A</v>
      </c>
      <c r="CJ266" s="6" t="e">
        <f t="shared" si="11"/>
        <v>#N/A</v>
      </c>
      <c r="CK266" s="6">
        <f t="shared" si="12"/>
        <v>1</v>
      </c>
      <c r="CL266" s="6">
        <f t="shared" si="26"/>
        <v>1</v>
      </c>
      <c r="CM266" s="6">
        <f t="shared" si="13"/>
        <v>1</v>
      </c>
      <c r="CN266" s="6">
        <f t="shared" si="14"/>
        <v>1</v>
      </c>
      <c r="CO266" s="6">
        <f t="shared" si="15"/>
        <v>1</v>
      </c>
      <c r="CP266" s="6">
        <f t="shared" si="16"/>
        <v>1</v>
      </c>
      <c r="CQ266" s="6">
        <f t="shared" si="546"/>
        <v>1</v>
      </c>
      <c r="CR266" s="81" t="str">
        <f t="shared" si="17"/>
        <v/>
      </c>
      <c r="CS266">
        <f t="shared" si="547"/>
        <v>0</v>
      </c>
      <c r="CT266">
        <f t="shared" si="19"/>
        <v>20</v>
      </c>
      <c r="CU266" t="str">
        <f t="shared" si="29"/>
        <v>rm</v>
      </c>
      <c r="CV266" s="81">
        <f t="shared" si="548"/>
        <v>240</v>
      </c>
      <c r="CW266" s="81">
        <f>(CV266/25)^1.5*(Calculator!$BU$4/10000)*CW$5</f>
        <v>76.803483157572401</v>
      </c>
      <c r="CX266" t="str">
        <f t="shared" si="549"/>
        <v>$20/rm</v>
      </c>
    </row>
    <row r="267" spans="2:102" x14ac:dyDescent="0.25">
      <c r="B267" s="115" t="s">
        <v>233</v>
      </c>
      <c r="C267" s="13">
        <v>46254.637499999997</v>
      </c>
      <c r="D267">
        <v>35061</v>
      </c>
      <c r="E267" s="54" t="s">
        <v>237</v>
      </c>
      <c r="F267" s="54" t="s">
        <v>630</v>
      </c>
      <c r="G267" s="54" t="s">
        <v>631</v>
      </c>
      <c r="H267" s="55">
        <v>11.700000000000001</v>
      </c>
      <c r="I267" s="55">
        <v>11.700000000000001</v>
      </c>
      <c r="J267" s="55">
        <v>11.799999999999999</v>
      </c>
      <c r="K267" s="54"/>
      <c r="L267" s="56" t="b">
        <v>0</v>
      </c>
      <c r="M267" s="56" t="b">
        <v>0</v>
      </c>
      <c r="N267" s="54">
        <v>1</v>
      </c>
      <c r="O267" s="54" t="s">
        <v>228</v>
      </c>
      <c r="P267" s="54">
        <v>100</v>
      </c>
      <c r="Q267" s="54">
        <v>12</v>
      </c>
      <c r="R267" s="54" t="s">
        <v>485</v>
      </c>
      <c r="S267" s="54" t="s">
        <v>1655</v>
      </c>
      <c r="T267" s="54" t="s">
        <v>632</v>
      </c>
      <c r="U267" s="54" t="s">
        <v>633</v>
      </c>
      <c r="V267" s="54" t="s">
        <v>634</v>
      </c>
      <c r="W267" s="54" t="b">
        <v>0</v>
      </c>
      <c r="X267" s="54"/>
      <c r="Y267" s="57" t="s">
        <v>637</v>
      </c>
      <c r="Z267" s="54" t="s">
        <v>1657</v>
      </c>
      <c r="AA267" s="54"/>
      <c r="AB267" s="54" t="s">
        <v>636</v>
      </c>
      <c r="AC267" s="56" t="b">
        <v>0</v>
      </c>
      <c r="AD267" s="56" t="b">
        <v>0</v>
      </c>
      <c r="AE267" s="54" t="s">
        <v>302</v>
      </c>
      <c r="AF267" s="58">
        <v>46254</v>
      </c>
      <c r="AG267" s="62" t="s">
        <v>293</v>
      </c>
      <c r="AH267" s="54">
        <v>0</v>
      </c>
      <c r="AI267" s="54"/>
      <c r="AJ267" s="54"/>
      <c r="AK267" s="54"/>
      <c r="AL267" s="54"/>
      <c r="AM267" s="54">
        <v>-5</v>
      </c>
      <c r="AN267" s="54"/>
      <c r="AO267" s="54"/>
      <c r="AP267" s="54"/>
      <c r="AQ267" s="54"/>
      <c r="AR267" s="54"/>
      <c r="AS267" s="54"/>
      <c r="AT267" s="54"/>
      <c r="AU267" s="54"/>
      <c r="AV267" s="54"/>
      <c r="AW267" s="54"/>
      <c r="AX267" s="59"/>
      <c r="AY267" s="59"/>
      <c r="AZ267" s="59"/>
      <c r="BA267" s="59"/>
      <c r="BB267" s="59">
        <v>5.8139999999999997E-2</v>
      </c>
      <c r="BC267" s="60">
        <v>4.0599999999999996</v>
      </c>
      <c r="BD267" s="61">
        <v>6.0295000000000001E-2</v>
      </c>
      <c r="BE267" s="62" t="s">
        <v>293</v>
      </c>
      <c r="BF267" s="35">
        <f t="shared" si="538"/>
        <v>4.0600000000000005</v>
      </c>
      <c r="BG267" s="35">
        <f t="shared" si="538"/>
        <v>6.0295000000000001E-2</v>
      </c>
      <c r="BH267" s="35" t="str">
        <f t="shared" si="539"/>
        <v>Low</v>
      </c>
      <c r="BI267" s="110">
        <f t="shared" si="540"/>
        <v>0</v>
      </c>
      <c r="BJ267" s="83">
        <f>VLOOKUP($F267,REP_Info!$D$6:$H$250,5,FALSE)</f>
        <v>1.5649999999999999</v>
      </c>
      <c r="BK267" s="30">
        <f t="shared" si="541"/>
        <v>11.6555</v>
      </c>
      <c r="BL267" s="30">
        <f t="shared" si="541"/>
        <v>11.749499999999999</v>
      </c>
      <c r="BM267" s="30">
        <f t="shared" si="541"/>
        <v>11.7965</v>
      </c>
      <c r="BN267" s="29">
        <f t="shared" si="541"/>
        <v>11.812166666666666</v>
      </c>
      <c r="BO267" s="85" t="str">
        <f t="shared" si="2"/>
        <v>$$$</v>
      </c>
      <c r="BP267" s="88" t="str">
        <f t="shared" si="542"/>
        <v>$$$</v>
      </c>
      <c r="BQ267" s="88" t="str">
        <f t="shared" si="4"/>
        <v>$$$</v>
      </c>
      <c r="BR267" s="88" t="str">
        <f t="shared" si="5"/>
        <v>$$$</v>
      </c>
      <c r="BS267" s="29" t="e">
        <f t="shared" si="543"/>
        <v>#N/A</v>
      </c>
      <c r="BT267" s="29" t="e">
        <f t="shared" si="543"/>
        <v>#N/A</v>
      </c>
      <c r="BU267" s="29" t="e">
        <f t="shared" si="543"/>
        <v>#N/A</v>
      </c>
      <c r="BV267" s="29" t="e">
        <f t="shared" si="543"/>
        <v>#N/A</v>
      </c>
      <c r="BW267" s="29" t="e">
        <f t="shared" si="543"/>
        <v>#N/A</v>
      </c>
      <c r="BX267" s="29" t="e">
        <f t="shared" si="543"/>
        <v>#N/A</v>
      </c>
      <c r="BY267" s="29" t="e">
        <f t="shared" si="543"/>
        <v>#N/A</v>
      </c>
      <c r="BZ267" s="29" t="e">
        <f t="shared" si="543"/>
        <v>#N/A</v>
      </c>
      <c r="CA267" s="29" t="e">
        <f t="shared" si="543"/>
        <v>#N/A</v>
      </c>
      <c r="CB267" s="29" t="e">
        <f t="shared" si="543"/>
        <v>#N/A</v>
      </c>
      <c r="CC267" s="29" t="e">
        <f t="shared" si="543"/>
        <v>#N/A</v>
      </c>
      <c r="CD267" s="29" t="e">
        <f t="shared" si="543"/>
        <v>#N/A</v>
      </c>
      <c r="CE267" s="6" t="str">
        <f t="shared" si="352"/>
        <v/>
      </c>
      <c r="CF267" s="27" t="e">
        <f>IF(AND(CI267,NOT(AD267)),LOOKUP(CF$5,{0,750,1500},H267:J267),"")</f>
        <v>#N/A</v>
      </c>
      <c r="CG267" s="6" t="str">
        <f t="shared" si="353"/>
        <v/>
      </c>
      <c r="CH267" t="e">
        <f t="shared" si="544"/>
        <v>#N/A</v>
      </c>
      <c r="CI267" t="e">
        <f t="shared" si="545"/>
        <v>#N/A</v>
      </c>
      <c r="CJ267" s="6" t="e">
        <f t="shared" si="11"/>
        <v>#N/A</v>
      </c>
      <c r="CK267" s="6">
        <f t="shared" si="12"/>
        <v>1</v>
      </c>
      <c r="CL267" s="6">
        <f t="shared" si="26"/>
        <v>1</v>
      </c>
      <c r="CM267" s="6">
        <f t="shared" si="13"/>
        <v>1</v>
      </c>
      <c r="CN267" s="6">
        <f t="shared" si="14"/>
        <v>1</v>
      </c>
      <c r="CO267" s="6">
        <f t="shared" si="15"/>
        <v>1</v>
      </c>
      <c r="CP267" s="6">
        <f t="shared" si="16"/>
        <v>1</v>
      </c>
      <c r="CQ267" s="6">
        <f t="shared" si="546"/>
        <v>1</v>
      </c>
      <c r="CR267" s="81" t="str">
        <f t="shared" si="17"/>
        <v/>
      </c>
      <c r="CS267">
        <f t="shared" si="547"/>
        <v>0</v>
      </c>
      <c r="CT267">
        <f t="shared" si="19"/>
        <v>20</v>
      </c>
      <c r="CU267" t="str">
        <f t="shared" si="29"/>
        <v>rm</v>
      </c>
      <c r="CV267" s="81">
        <f t="shared" si="548"/>
        <v>240</v>
      </c>
      <c r="CW267" s="81">
        <f>(CV267/25)^1.5*(Calculator!$BU$4/10000)*CW$5</f>
        <v>76.803483157572401</v>
      </c>
      <c r="CX267" t="str">
        <f t="shared" si="549"/>
        <v>$20/rm</v>
      </c>
    </row>
    <row r="268" spans="2:102" x14ac:dyDescent="0.25">
      <c r="B268" s="115" t="s">
        <v>233</v>
      </c>
      <c r="C268" s="13">
        <v>46254.637499999997</v>
      </c>
      <c r="D268">
        <v>35813</v>
      </c>
      <c r="E268" s="54" t="s">
        <v>235</v>
      </c>
      <c r="F268" s="54" t="s">
        <v>630</v>
      </c>
      <c r="G268" s="54" t="s">
        <v>638</v>
      </c>
      <c r="H268" s="55">
        <v>11.899999999999999</v>
      </c>
      <c r="I268" s="55">
        <v>11.899999999999999</v>
      </c>
      <c r="J268" s="55">
        <v>12</v>
      </c>
      <c r="K268" s="54"/>
      <c r="L268" s="56" t="b">
        <v>0</v>
      </c>
      <c r="M268" s="56" t="b">
        <v>0</v>
      </c>
      <c r="N268" s="54">
        <v>1</v>
      </c>
      <c r="O268" s="54" t="s">
        <v>228</v>
      </c>
      <c r="P268" s="54">
        <v>100</v>
      </c>
      <c r="Q268" s="54">
        <v>24</v>
      </c>
      <c r="R268" s="54" t="s">
        <v>485</v>
      </c>
      <c r="S268" s="54" t="s">
        <v>1656</v>
      </c>
      <c r="T268" s="54" t="s">
        <v>632</v>
      </c>
      <c r="U268" s="54" t="s">
        <v>633</v>
      </c>
      <c r="V268" s="54" t="s">
        <v>634</v>
      </c>
      <c r="W268" s="54" t="b">
        <v>0</v>
      </c>
      <c r="X268" s="54"/>
      <c r="Y268" s="57" t="s">
        <v>639</v>
      </c>
      <c r="Z268" s="54" t="s">
        <v>1658</v>
      </c>
      <c r="AA268" s="54"/>
      <c r="AB268" s="54" t="s">
        <v>636</v>
      </c>
      <c r="AC268" s="56" t="b">
        <v>0</v>
      </c>
      <c r="AD268" s="56" t="b">
        <v>0</v>
      </c>
      <c r="AE268" s="54" t="s">
        <v>302</v>
      </c>
      <c r="AF268" s="58">
        <v>46254</v>
      </c>
      <c r="AG268" s="62" t="s">
        <v>293</v>
      </c>
      <c r="AH268" s="54">
        <v>0</v>
      </c>
      <c r="AI268" s="54"/>
      <c r="AJ268" s="54"/>
      <c r="AK268" s="54"/>
      <c r="AL268" s="54"/>
      <c r="AM268" s="54">
        <v>-5</v>
      </c>
      <c r="AN268" s="54"/>
      <c r="AO268" s="54"/>
      <c r="AP268" s="54"/>
      <c r="AQ268" s="54"/>
      <c r="AR268" s="54"/>
      <c r="AS268" s="54"/>
      <c r="AT268" s="54"/>
      <c r="AU268" s="54"/>
      <c r="AV268" s="54"/>
      <c r="AW268" s="54"/>
      <c r="AX268" s="59"/>
      <c r="AY268" s="59"/>
      <c r="AZ268" s="59"/>
      <c r="BA268" s="59"/>
      <c r="BB268" s="59">
        <v>6.9779999999999995E-2</v>
      </c>
      <c r="BC268" s="60">
        <v>4.9000000000000004</v>
      </c>
      <c r="BD268" s="61">
        <v>4.9811000000000001E-2</v>
      </c>
      <c r="BE268" s="62" t="s">
        <v>293</v>
      </c>
      <c r="BF268" s="35">
        <f t="shared" si="538"/>
        <v>4.9000000000000004</v>
      </c>
      <c r="BG268" s="35">
        <f t="shared" si="538"/>
        <v>4.9811000000000001E-2</v>
      </c>
      <c r="BH268" s="35" t="str">
        <f t="shared" si="539"/>
        <v>Low</v>
      </c>
      <c r="BI268" s="110">
        <f t="shared" si="540"/>
        <v>0</v>
      </c>
      <c r="BJ268" s="83">
        <f>VLOOKUP($F268,REP_Info!$D$6:$H$250,5,FALSE)</f>
        <v>1.5649999999999999</v>
      </c>
      <c r="BK268" s="30">
        <f t="shared" si="541"/>
        <v>11.939099999999998</v>
      </c>
      <c r="BL268" s="30">
        <f t="shared" si="541"/>
        <v>11.949100000000001</v>
      </c>
      <c r="BM268" s="30">
        <f t="shared" si="541"/>
        <v>11.9541</v>
      </c>
      <c r="BN268" s="29">
        <f t="shared" si="541"/>
        <v>11.955766666666667</v>
      </c>
      <c r="BO268" s="85" t="str">
        <f t="shared" si="2"/>
        <v>$$$</v>
      </c>
      <c r="BP268" s="88" t="str">
        <f t="shared" si="542"/>
        <v>$$$</v>
      </c>
      <c r="BQ268" s="88" t="str">
        <f t="shared" si="4"/>
        <v>$$$</v>
      </c>
      <c r="BR268" s="88" t="str">
        <f t="shared" si="5"/>
        <v>$$$</v>
      </c>
      <c r="BS268" s="29" t="e">
        <f t="shared" si="543"/>
        <v>#N/A</v>
      </c>
      <c r="BT268" s="29" t="e">
        <f t="shared" si="543"/>
        <v>#N/A</v>
      </c>
      <c r="BU268" s="29" t="e">
        <f t="shared" si="543"/>
        <v>#N/A</v>
      </c>
      <c r="BV268" s="29" t="e">
        <f t="shared" si="543"/>
        <v>#N/A</v>
      </c>
      <c r="BW268" s="29" t="e">
        <f t="shared" si="543"/>
        <v>#N/A</v>
      </c>
      <c r="BX268" s="29" t="e">
        <f t="shared" si="543"/>
        <v>#N/A</v>
      </c>
      <c r="BY268" s="29" t="e">
        <f t="shared" si="543"/>
        <v>#N/A</v>
      </c>
      <c r="BZ268" s="29" t="e">
        <f t="shared" si="543"/>
        <v>#N/A</v>
      </c>
      <c r="CA268" s="29" t="e">
        <f t="shared" si="543"/>
        <v>#N/A</v>
      </c>
      <c r="CB268" s="29" t="e">
        <f t="shared" si="543"/>
        <v>#N/A</v>
      </c>
      <c r="CC268" s="29" t="e">
        <f t="shared" si="543"/>
        <v>#N/A</v>
      </c>
      <c r="CD268" s="29" t="e">
        <f t="shared" si="543"/>
        <v>#N/A</v>
      </c>
      <c r="CE268" s="6" t="str">
        <f t="shared" si="352"/>
        <v/>
      </c>
      <c r="CF268" s="27" t="e">
        <f>IF(AND(CI268,NOT(AD268)),LOOKUP(CF$5,{0,750,1500},H268:J268),"")</f>
        <v>#N/A</v>
      </c>
      <c r="CG268" s="6" t="str">
        <f t="shared" si="353"/>
        <v/>
      </c>
      <c r="CH268" t="e">
        <f t="shared" si="544"/>
        <v>#N/A</v>
      </c>
      <c r="CI268" t="e">
        <f t="shared" si="545"/>
        <v>#N/A</v>
      </c>
      <c r="CJ268" s="6" t="e">
        <f t="shared" si="11"/>
        <v>#N/A</v>
      </c>
      <c r="CK268" s="6">
        <f t="shared" si="12"/>
        <v>1</v>
      </c>
      <c r="CL268" s="6">
        <f t="shared" si="26"/>
        <v>1</v>
      </c>
      <c r="CM268" s="6">
        <f t="shared" si="13"/>
        <v>1</v>
      </c>
      <c r="CN268" s="6">
        <f t="shared" si="14"/>
        <v>1</v>
      </c>
      <c r="CO268" s="6">
        <f t="shared" si="15"/>
        <v>0</v>
      </c>
      <c r="CP268" s="6">
        <f t="shared" si="16"/>
        <v>1</v>
      </c>
      <c r="CQ268" s="6">
        <f t="shared" si="546"/>
        <v>1</v>
      </c>
      <c r="CR268" s="81" t="str">
        <f t="shared" si="17"/>
        <v/>
      </c>
      <c r="CS268">
        <f t="shared" si="547"/>
        <v>0</v>
      </c>
      <c r="CT268">
        <f t="shared" si="19"/>
        <v>20</v>
      </c>
      <c r="CU268" t="str">
        <f t="shared" si="29"/>
        <v>rm</v>
      </c>
      <c r="CV268" s="81">
        <f t="shared" si="548"/>
        <v>480</v>
      </c>
      <c r="CW268" s="81">
        <f>(CV268/25)^1.5*(Calculator!$BU$4/10000)*CW$5</f>
        <v>217.23305503786497</v>
      </c>
      <c r="CX268" t="str">
        <f t="shared" si="549"/>
        <v>$20/rm</v>
      </c>
    </row>
    <row r="269" spans="2:102" x14ac:dyDescent="0.25">
      <c r="B269" s="115" t="s">
        <v>233</v>
      </c>
      <c r="C269" s="13">
        <v>46253.410416666666</v>
      </c>
      <c r="D269">
        <v>35815</v>
      </c>
      <c r="E269" s="54" t="s">
        <v>237</v>
      </c>
      <c r="F269" s="54" t="s">
        <v>630</v>
      </c>
      <c r="G269" s="54" t="s">
        <v>638</v>
      </c>
      <c r="H269" s="55">
        <v>13.100000000000001</v>
      </c>
      <c r="I269" s="55">
        <v>13.100000000000001</v>
      </c>
      <c r="J269" s="55">
        <v>13.200000000000001</v>
      </c>
      <c r="K269" s="54"/>
      <c r="L269" s="56" t="b">
        <v>0</v>
      </c>
      <c r="M269" s="56" t="b">
        <v>0</v>
      </c>
      <c r="N269" s="54">
        <v>1</v>
      </c>
      <c r="O269" s="54" t="s">
        <v>228</v>
      </c>
      <c r="P269" s="54">
        <v>100</v>
      </c>
      <c r="Q269" s="54">
        <v>24</v>
      </c>
      <c r="R269" s="54" t="s">
        <v>485</v>
      </c>
      <c r="S269" s="54" t="s">
        <v>1643</v>
      </c>
      <c r="T269" s="54" t="s">
        <v>632</v>
      </c>
      <c r="U269" s="54" t="s">
        <v>633</v>
      </c>
      <c r="V269" s="54" t="s">
        <v>634</v>
      </c>
      <c r="W269" s="54" t="b">
        <v>0</v>
      </c>
      <c r="X269" s="54"/>
      <c r="Y269" s="57" t="s">
        <v>640</v>
      </c>
      <c r="Z269" s="54" t="s">
        <v>1659</v>
      </c>
      <c r="AA269" s="54"/>
      <c r="AB269" s="54" t="s">
        <v>636</v>
      </c>
      <c r="AC269" s="56" t="b">
        <v>0</v>
      </c>
      <c r="AD269" s="56" t="b">
        <v>0</v>
      </c>
      <c r="AE269" s="54" t="s">
        <v>302</v>
      </c>
      <c r="AF269" s="58">
        <v>46252</v>
      </c>
      <c r="AG269" s="62" t="s">
        <v>293</v>
      </c>
      <c r="AH269" s="54">
        <v>0</v>
      </c>
      <c r="AI269" s="54"/>
      <c r="AJ269" s="54"/>
      <c r="AK269" s="54"/>
      <c r="AL269" s="54"/>
      <c r="AM269" s="54">
        <v>-5</v>
      </c>
      <c r="AN269" s="54"/>
      <c r="AO269" s="54"/>
      <c r="AP269" s="54"/>
      <c r="AQ269" s="54"/>
      <c r="AR269" s="54"/>
      <c r="AS269" s="54"/>
      <c r="AT269" s="54"/>
      <c r="AU269" s="54"/>
      <c r="AV269" s="54"/>
      <c r="AW269" s="54"/>
      <c r="AX269" s="59"/>
      <c r="AY269" s="59"/>
      <c r="AZ269" s="59"/>
      <c r="BA269" s="59"/>
      <c r="BB269" s="59">
        <v>7.2139999999999996E-2</v>
      </c>
      <c r="BC269" s="60">
        <v>4.0599999999999996</v>
      </c>
      <c r="BD269" s="61">
        <v>6.0295000000000001E-2</v>
      </c>
      <c r="BE269" s="62" t="s">
        <v>293</v>
      </c>
      <c r="BF269" s="35">
        <f t="shared" si="538"/>
        <v>4.0600000000000005</v>
      </c>
      <c r="BG269" s="35">
        <f t="shared" si="538"/>
        <v>6.0295000000000001E-2</v>
      </c>
      <c r="BH269" s="35" t="str">
        <f t="shared" si="539"/>
        <v>Low</v>
      </c>
      <c r="BI269" s="110">
        <f t="shared" si="540"/>
        <v>0</v>
      </c>
      <c r="BJ269" s="83">
        <f>VLOOKUP($F269,REP_Info!$D$6:$H$250,5,FALSE)</f>
        <v>1.5649999999999999</v>
      </c>
      <c r="BK269" s="30">
        <f t="shared" si="541"/>
        <v>13.0555</v>
      </c>
      <c r="BL269" s="30">
        <f t="shared" si="541"/>
        <v>13.1495</v>
      </c>
      <c r="BM269" s="30">
        <f t="shared" si="541"/>
        <v>13.1965</v>
      </c>
      <c r="BN269" s="29">
        <f t="shared" si="541"/>
        <v>13.212166666666667</v>
      </c>
      <c r="BO269" s="85" t="str">
        <f t="shared" si="2"/>
        <v>$$$</v>
      </c>
      <c r="BP269" s="88" t="str">
        <f t="shared" si="542"/>
        <v>$$$</v>
      </c>
      <c r="BQ269" s="88" t="str">
        <f t="shared" si="4"/>
        <v>$$$</v>
      </c>
      <c r="BR269" s="88" t="str">
        <f t="shared" si="5"/>
        <v>$$$</v>
      </c>
      <c r="BS269" s="29" t="e">
        <f t="shared" si="543"/>
        <v>#N/A</v>
      </c>
      <c r="BT269" s="29" t="e">
        <f t="shared" si="543"/>
        <v>#N/A</v>
      </c>
      <c r="BU269" s="29" t="e">
        <f t="shared" si="543"/>
        <v>#N/A</v>
      </c>
      <c r="BV269" s="29" t="e">
        <f t="shared" si="543"/>
        <v>#N/A</v>
      </c>
      <c r="BW269" s="29" t="e">
        <f t="shared" si="543"/>
        <v>#N/A</v>
      </c>
      <c r="BX269" s="29" t="e">
        <f t="shared" si="543"/>
        <v>#N/A</v>
      </c>
      <c r="BY269" s="29" t="e">
        <f t="shared" si="543"/>
        <v>#N/A</v>
      </c>
      <c r="BZ269" s="29" t="e">
        <f t="shared" si="543"/>
        <v>#N/A</v>
      </c>
      <c r="CA269" s="29" t="e">
        <f t="shared" si="543"/>
        <v>#N/A</v>
      </c>
      <c r="CB269" s="29" t="e">
        <f t="shared" si="543"/>
        <v>#N/A</v>
      </c>
      <c r="CC269" s="29" t="e">
        <f t="shared" si="543"/>
        <v>#N/A</v>
      </c>
      <c r="CD269" s="29" t="e">
        <f t="shared" si="543"/>
        <v>#N/A</v>
      </c>
      <c r="CE269" s="6" t="str">
        <f t="shared" si="352"/>
        <v/>
      </c>
      <c r="CF269" s="27" t="e">
        <f>IF(AND(CI269,NOT(AD269)),LOOKUP(CF$5,{0,750,1500},H269:J269),"")</f>
        <v>#N/A</v>
      </c>
      <c r="CG269" s="6" t="str">
        <f t="shared" si="353"/>
        <v/>
      </c>
      <c r="CH269" t="e">
        <f t="shared" si="544"/>
        <v>#N/A</v>
      </c>
      <c r="CI269" t="e">
        <f t="shared" si="545"/>
        <v>#N/A</v>
      </c>
      <c r="CJ269" s="6" t="e">
        <f t="shared" si="11"/>
        <v>#N/A</v>
      </c>
      <c r="CK269" s="6">
        <f t="shared" si="12"/>
        <v>1</v>
      </c>
      <c r="CL269" s="6">
        <f t="shared" si="26"/>
        <v>1</v>
      </c>
      <c r="CM269" s="6">
        <f t="shared" si="13"/>
        <v>1</v>
      </c>
      <c r="CN269" s="6">
        <f t="shared" si="14"/>
        <v>1</v>
      </c>
      <c r="CO269" s="6">
        <f t="shared" si="15"/>
        <v>0</v>
      </c>
      <c r="CP269" s="6">
        <f t="shared" si="16"/>
        <v>1</v>
      </c>
      <c r="CQ269" s="6">
        <f t="shared" si="546"/>
        <v>1</v>
      </c>
      <c r="CR269" s="81" t="str">
        <f t="shared" si="17"/>
        <v/>
      </c>
      <c r="CS269">
        <f t="shared" si="547"/>
        <v>0</v>
      </c>
      <c r="CT269">
        <f t="shared" si="19"/>
        <v>20</v>
      </c>
      <c r="CU269" t="str">
        <f t="shared" si="29"/>
        <v>rm</v>
      </c>
      <c r="CV269" s="81">
        <f t="shared" si="548"/>
        <v>480</v>
      </c>
      <c r="CW269" s="81">
        <f>(CV269/25)^1.5*(Calculator!$BU$4/10000)*CW$5</f>
        <v>217.23305503786497</v>
      </c>
      <c r="CX269" t="str">
        <f t="shared" si="549"/>
        <v>$20/rm</v>
      </c>
    </row>
    <row r="270" spans="2:102" x14ac:dyDescent="0.25">
      <c r="B270" s="115" t="s">
        <v>233</v>
      </c>
      <c r="C270" s="13">
        <v>46252.407638888886</v>
      </c>
      <c r="D270">
        <v>35818</v>
      </c>
      <c r="E270" s="54" t="s">
        <v>235</v>
      </c>
      <c r="F270" s="54" t="s">
        <v>630</v>
      </c>
      <c r="G270" s="54" t="s">
        <v>641</v>
      </c>
      <c r="H270" s="55">
        <v>12.6</v>
      </c>
      <c r="I270" s="55">
        <v>12.6</v>
      </c>
      <c r="J270" s="55">
        <v>12.6</v>
      </c>
      <c r="K270" s="54"/>
      <c r="L270" s="56" t="b">
        <v>0</v>
      </c>
      <c r="M270" s="56" t="b">
        <v>0</v>
      </c>
      <c r="N270" s="54">
        <v>1</v>
      </c>
      <c r="O270" s="54" t="s">
        <v>228</v>
      </c>
      <c r="P270" s="54">
        <v>100</v>
      </c>
      <c r="Q270" s="54">
        <v>36</v>
      </c>
      <c r="R270" s="54" t="s">
        <v>485</v>
      </c>
      <c r="S270" s="54" t="s">
        <v>1655</v>
      </c>
      <c r="T270" s="54" t="s">
        <v>632</v>
      </c>
      <c r="U270" s="54" t="s">
        <v>633</v>
      </c>
      <c r="V270" s="54" t="s">
        <v>634</v>
      </c>
      <c r="W270" s="54" t="b">
        <v>0</v>
      </c>
      <c r="X270" s="54"/>
      <c r="Y270" s="57" t="s">
        <v>642</v>
      </c>
      <c r="Z270" s="54" t="s">
        <v>1660</v>
      </c>
      <c r="AA270" s="54"/>
      <c r="AB270" s="54" t="s">
        <v>636</v>
      </c>
      <c r="AC270" s="56" t="b">
        <v>0</v>
      </c>
      <c r="AD270" s="56" t="b">
        <v>0</v>
      </c>
      <c r="AE270" s="54" t="s">
        <v>302</v>
      </c>
      <c r="AF270" s="58">
        <v>46251</v>
      </c>
      <c r="AG270" s="62" t="s">
        <v>293</v>
      </c>
      <c r="AH270" s="54">
        <v>0</v>
      </c>
      <c r="AI270" s="54"/>
      <c r="AJ270" s="54"/>
      <c r="AK270" s="54"/>
      <c r="AL270" s="54"/>
      <c r="AM270" s="54">
        <v>-5</v>
      </c>
      <c r="AN270" s="54"/>
      <c r="AO270" s="54"/>
      <c r="AP270" s="54"/>
      <c r="AQ270" s="54"/>
      <c r="AR270" s="54"/>
      <c r="AS270" s="54"/>
      <c r="AT270" s="54"/>
      <c r="AU270" s="54"/>
      <c r="AV270" s="54"/>
      <c r="AW270" s="54"/>
      <c r="AX270" s="59"/>
      <c r="AY270" s="59"/>
      <c r="AZ270" s="59"/>
      <c r="BA270" s="59"/>
      <c r="BB270" s="59">
        <v>7.6130000000000003E-2</v>
      </c>
      <c r="BC270" s="60">
        <v>4.9000000000000004</v>
      </c>
      <c r="BD270" s="61">
        <v>4.9811000000000001E-2</v>
      </c>
      <c r="BE270" s="62" t="s">
        <v>293</v>
      </c>
      <c r="BF270" s="35">
        <f t="shared" si="538"/>
        <v>4.9000000000000004</v>
      </c>
      <c r="BG270" s="35">
        <f t="shared" si="538"/>
        <v>4.9811000000000001E-2</v>
      </c>
      <c r="BH270" s="35" t="str">
        <f t="shared" si="539"/>
        <v>Low</v>
      </c>
      <c r="BI270" s="110">
        <f t="shared" si="540"/>
        <v>0</v>
      </c>
      <c r="BJ270" s="83">
        <f>VLOOKUP($F270,REP_Info!$D$6:$H$250,5,FALSE)</f>
        <v>1.5649999999999999</v>
      </c>
      <c r="BK270" s="30">
        <f t="shared" si="541"/>
        <v>12.574100000000001</v>
      </c>
      <c r="BL270" s="30">
        <f t="shared" si="541"/>
        <v>12.584100000000001</v>
      </c>
      <c r="BM270" s="30">
        <f t="shared" si="541"/>
        <v>12.589100000000002</v>
      </c>
      <c r="BN270" s="29">
        <f t="shared" si="541"/>
        <v>12.590766666666667</v>
      </c>
      <c r="BO270" s="85" t="str">
        <f t="shared" si="2"/>
        <v>$$$</v>
      </c>
      <c r="BP270" s="88" t="str">
        <f t="shared" si="542"/>
        <v>$$$</v>
      </c>
      <c r="BQ270" s="88" t="str">
        <f t="shared" si="4"/>
        <v>$$$</v>
      </c>
      <c r="BR270" s="88" t="str">
        <f t="shared" si="5"/>
        <v>$$$</v>
      </c>
      <c r="BS270" s="29" t="e">
        <f t="shared" si="543"/>
        <v>#N/A</v>
      </c>
      <c r="BT270" s="29" t="e">
        <f t="shared" si="543"/>
        <v>#N/A</v>
      </c>
      <c r="BU270" s="29" t="e">
        <f t="shared" si="543"/>
        <v>#N/A</v>
      </c>
      <c r="BV270" s="29" t="e">
        <f t="shared" si="543"/>
        <v>#N/A</v>
      </c>
      <c r="BW270" s="29" t="e">
        <f t="shared" si="543"/>
        <v>#N/A</v>
      </c>
      <c r="BX270" s="29" t="e">
        <f t="shared" si="543"/>
        <v>#N/A</v>
      </c>
      <c r="BY270" s="29" t="e">
        <f t="shared" si="543"/>
        <v>#N/A</v>
      </c>
      <c r="BZ270" s="29" t="e">
        <f t="shared" si="543"/>
        <v>#N/A</v>
      </c>
      <c r="CA270" s="29" t="e">
        <f t="shared" si="543"/>
        <v>#N/A</v>
      </c>
      <c r="CB270" s="29" t="e">
        <f t="shared" si="543"/>
        <v>#N/A</v>
      </c>
      <c r="CC270" s="29" t="e">
        <f t="shared" si="543"/>
        <v>#N/A</v>
      </c>
      <c r="CD270" s="29" t="e">
        <f t="shared" si="543"/>
        <v>#N/A</v>
      </c>
      <c r="CE270" s="6" t="str">
        <f t="shared" si="352"/>
        <v/>
      </c>
      <c r="CF270" s="27" t="e">
        <f>IF(AND(CI270,NOT(AD270)),LOOKUP(CF$5,{0,750,1500},H270:J270),"")</f>
        <v>#N/A</v>
      </c>
      <c r="CG270" s="6" t="str">
        <f t="shared" si="353"/>
        <v/>
      </c>
      <c r="CH270" t="e">
        <f t="shared" si="544"/>
        <v>#N/A</v>
      </c>
      <c r="CI270" t="e">
        <f t="shared" si="545"/>
        <v>#N/A</v>
      </c>
      <c r="CJ270" s="6" t="e">
        <f t="shared" si="11"/>
        <v>#N/A</v>
      </c>
      <c r="CK270" s="6">
        <f t="shared" si="12"/>
        <v>1</v>
      </c>
      <c r="CL270" s="6">
        <f t="shared" si="26"/>
        <v>1</v>
      </c>
      <c r="CM270" s="6">
        <f t="shared" si="13"/>
        <v>1</v>
      </c>
      <c r="CN270" s="6">
        <f t="shared" si="14"/>
        <v>1</v>
      </c>
      <c r="CO270" s="6">
        <f t="shared" si="15"/>
        <v>0</v>
      </c>
      <c r="CP270" s="6">
        <f t="shared" si="16"/>
        <v>1</v>
      </c>
      <c r="CQ270" s="6">
        <f t="shared" si="546"/>
        <v>1</v>
      </c>
      <c r="CR270" s="81" t="str">
        <f t="shared" si="17"/>
        <v/>
      </c>
      <c r="CS270">
        <f t="shared" si="547"/>
        <v>0</v>
      </c>
      <c r="CT270">
        <f t="shared" si="19"/>
        <v>20</v>
      </c>
      <c r="CU270" t="str">
        <f t="shared" si="29"/>
        <v>rm</v>
      </c>
      <c r="CV270" s="81">
        <f t="shared" si="548"/>
        <v>720</v>
      </c>
      <c r="CW270" s="81">
        <f>(CV270/25)^1.5*(Calculator!$BU$4/10000)*CW$5</f>
        <v>399.08260508152779</v>
      </c>
      <c r="CX270" t="str">
        <f t="shared" si="549"/>
        <v>$20/rm</v>
      </c>
    </row>
    <row r="271" spans="2:102" x14ac:dyDescent="0.25">
      <c r="B271" s="115" t="s">
        <v>233</v>
      </c>
      <c r="C271" s="13">
        <v>46254.637499999997</v>
      </c>
      <c r="D271">
        <v>35820</v>
      </c>
      <c r="E271" s="54" t="s">
        <v>237</v>
      </c>
      <c r="F271" s="54" t="s">
        <v>630</v>
      </c>
      <c r="G271" s="54" t="s">
        <v>641</v>
      </c>
      <c r="H271" s="55">
        <v>13.3</v>
      </c>
      <c r="I271" s="55">
        <v>13.3</v>
      </c>
      <c r="J271" s="55">
        <v>13.4</v>
      </c>
      <c r="K271" s="54"/>
      <c r="L271" s="56" t="b">
        <v>0</v>
      </c>
      <c r="M271" s="56" t="b">
        <v>0</v>
      </c>
      <c r="N271" s="54">
        <v>1</v>
      </c>
      <c r="O271" s="54" t="s">
        <v>228</v>
      </c>
      <c r="P271" s="54">
        <v>100</v>
      </c>
      <c r="Q271" s="54">
        <v>36</v>
      </c>
      <c r="R271" s="54" t="s">
        <v>485</v>
      </c>
      <c r="S271" s="54" t="s">
        <v>1655</v>
      </c>
      <c r="T271" s="54" t="s">
        <v>632</v>
      </c>
      <c r="U271" s="54" t="s">
        <v>633</v>
      </c>
      <c r="V271" s="54" t="s">
        <v>634</v>
      </c>
      <c r="W271" s="54" t="b">
        <v>0</v>
      </c>
      <c r="X271" s="54"/>
      <c r="Y271" s="57" t="s">
        <v>643</v>
      </c>
      <c r="Z271" s="54" t="s">
        <v>1661</v>
      </c>
      <c r="AA271" s="54"/>
      <c r="AB271" s="54" t="s">
        <v>636</v>
      </c>
      <c r="AC271" s="56" t="b">
        <v>0</v>
      </c>
      <c r="AD271" s="56" t="b">
        <v>0</v>
      </c>
      <c r="AE271" s="54" t="s">
        <v>302</v>
      </c>
      <c r="AF271" s="58">
        <v>46254</v>
      </c>
      <c r="AG271" s="62" t="s">
        <v>293</v>
      </c>
      <c r="AH271" s="54">
        <v>0</v>
      </c>
      <c r="AI271" s="54"/>
      <c r="AJ271" s="54"/>
      <c r="AK271" s="54"/>
      <c r="AL271" s="54"/>
      <c r="AM271" s="54">
        <v>-5</v>
      </c>
      <c r="AN271" s="54"/>
      <c r="AO271" s="54"/>
      <c r="AP271" s="54"/>
      <c r="AQ271" s="54"/>
      <c r="AR271" s="54"/>
      <c r="AS271" s="54"/>
      <c r="AT271" s="54"/>
      <c r="AU271" s="54"/>
      <c r="AV271" s="54"/>
      <c r="AW271" s="54"/>
      <c r="AX271" s="59"/>
      <c r="AY271" s="59"/>
      <c r="AZ271" s="59"/>
      <c r="BA271" s="59"/>
      <c r="BB271" s="59">
        <v>7.4139999999999998E-2</v>
      </c>
      <c r="BC271" s="60">
        <v>4.0599999999999996</v>
      </c>
      <c r="BD271" s="61">
        <v>6.0295000000000001E-2</v>
      </c>
      <c r="BE271" s="62" t="s">
        <v>293</v>
      </c>
      <c r="BF271" s="35">
        <f t="shared" si="538"/>
        <v>4.0600000000000005</v>
      </c>
      <c r="BG271" s="35">
        <f t="shared" si="538"/>
        <v>6.0295000000000001E-2</v>
      </c>
      <c r="BH271" s="35" t="str">
        <f t="shared" si="539"/>
        <v>Low</v>
      </c>
      <c r="BI271" s="110">
        <f t="shared" si="540"/>
        <v>0</v>
      </c>
      <c r="BJ271" s="83">
        <f>VLOOKUP($F271,REP_Info!$D$6:$H$250,5,FALSE)</f>
        <v>1.5649999999999999</v>
      </c>
      <c r="BK271" s="30">
        <f t="shared" si="541"/>
        <v>13.2555</v>
      </c>
      <c r="BL271" s="30">
        <f t="shared" si="541"/>
        <v>13.349500000000001</v>
      </c>
      <c r="BM271" s="30">
        <f t="shared" si="541"/>
        <v>13.3965</v>
      </c>
      <c r="BN271" s="29">
        <f t="shared" si="541"/>
        <v>13.412166666666666</v>
      </c>
      <c r="BO271" s="85" t="str">
        <f t="shared" si="2"/>
        <v>$$$</v>
      </c>
      <c r="BP271" s="88" t="str">
        <f t="shared" si="542"/>
        <v>$$$</v>
      </c>
      <c r="BQ271" s="88" t="str">
        <f t="shared" si="4"/>
        <v>$$$</v>
      </c>
      <c r="BR271" s="88" t="str">
        <f t="shared" si="5"/>
        <v>$$$</v>
      </c>
      <c r="BS271" s="29" t="e">
        <f t="shared" si="543"/>
        <v>#N/A</v>
      </c>
      <c r="BT271" s="29" t="e">
        <f t="shared" si="543"/>
        <v>#N/A</v>
      </c>
      <c r="BU271" s="29" t="e">
        <f t="shared" si="543"/>
        <v>#N/A</v>
      </c>
      <c r="BV271" s="29" t="e">
        <f t="shared" si="543"/>
        <v>#N/A</v>
      </c>
      <c r="BW271" s="29" t="e">
        <f t="shared" si="543"/>
        <v>#N/A</v>
      </c>
      <c r="BX271" s="29" t="e">
        <f t="shared" si="543"/>
        <v>#N/A</v>
      </c>
      <c r="BY271" s="29" t="e">
        <f t="shared" si="543"/>
        <v>#N/A</v>
      </c>
      <c r="BZ271" s="29" t="e">
        <f t="shared" si="543"/>
        <v>#N/A</v>
      </c>
      <c r="CA271" s="29" t="e">
        <f t="shared" si="543"/>
        <v>#N/A</v>
      </c>
      <c r="CB271" s="29" t="e">
        <f t="shared" si="543"/>
        <v>#N/A</v>
      </c>
      <c r="CC271" s="29" t="e">
        <f t="shared" si="543"/>
        <v>#N/A</v>
      </c>
      <c r="CD271" s="29" t="e">
        <f t="shared" si="543"/>
        <v>#N/A</v>
      </c>
      <c r="CE271" s="6" t="str">
        <f t="shared" ref="CE271:CE334" si="550">IF(ISNUMBER(CF271),RANK($CF271,$CF$8:$CF$357,1),"")</f>
        <v/>
      </c>
      <c r="CF271" s="27" t="e">
        <f>IF(AND(CI271,NOT(AD271)),LOOKUP(CF$5,{0,750,1500},H271:J271),"")</f>
        <v>#N/A</v>
      </c>
      <c r="CG271" s="6" t="str">
        <f t="shared" ref="CG271:CG334" si="551">IF(ISNUMBER(CH271),RANK($CH271,$CH$8:$CH$357,1),"")</f>
        <v/>
      </c>
      <c r="CH271" t="e">
        <f t="shared" si="544"/>
        <v>#N/A</v>
      </c>
      <c r="CI271" t="e">
        <f t="shared" si="545"/>
        <v>#N/A</v>
      </c>
      <c r="CJ271" s="6" t="e">
        <f t="shared" si="11"/>
        <v>#N/A</v>
      </c>
      <c r="CK271" s="6">
        <f t="shared" si="12"/>
        <v>1</v>
      </c>
      <c r="CL271" s="6">
        <f t="shared" si="26"/>
        <v>1</v>
      </c>
      <c r="CM271" s="6">
        <f t="shared" si="13"/>
        <v>1</v>
      </c>
      <c r="CN271" s="6">
        <f t="shared" si="14"/>
        <v>1</v>
      </c>
      <c r="CO271" s="6">
        <f t="shared" si="15"/>
        <v>0</v>
      </c>
      <c r="CP271" s="6">
        <f t="shared" si="16"/>
        <v>1</v>
      </c>
      <c r="CQ271" s="6">
        <f t="shared" si="546"/>
        <v>1</v>
      </c>
      <c r="CR271" s="81" t="str">
        <f t="shared" si="17"/>
        <v/>
      </c>
      <c r="CS271">
        <f t="shared" si="547"/>
        <v>0</v>
      </c>
      <c r="CT271">
        <f t="shared" si="19"/>
        <v>20</v>
      </c>
      <c r="CU271" t="str">
        <f t="shared" si="29"/>
        <v>rm</v>
      </c>
      <c r="CV271" s="81">
        <f t="shared" si="548"/>
        <v>720</v>
      </c>
      <c r="CW271" s="81">
        <f>(CV271/25)^1.5*(Calculator!$BU$4/10000)*CW$5</f>
        <v>399.08260508152779</v>
      </c>
      <c r="CX271" t="str">
        <f t="shared" si="549"/>
        <v>$20/rm</v>
      </c>
    </row>
    <row r="272" spans="2:102" x14ac:dyDescent="0.25">
      <c r="B272" s="115" t="s">
        <v>233</v>
      </c>
      <c r="C272" s="13">
        <v>46252.407638888886</v>
      </c>
      <c r="D272">
        <v>36353</v>
      </c>
      <c r="E272" s="54" t="s">
        <v>235</v>
      </c>
      <c r="F272" s="54" t="s">
        <v>630</v>
      </c>
      <c r="G272" s="54" t="s">
        <v>1933</v>
      </c>
      <c r="H272" s="55">
        <v>19</v>
      </c>
      <c r="I272" s="55">
        <v>6.5</v>
      </c>
      <c r="J272" s="55">
        <v>12.7</v>
      </c>
      <c r="K272" s="54" t="s">
        <v>1613</v>
      </c>
      <c r="L272" s="56" t="b">
        <v>0</v>
      </c>
      <c r="M272" s="56" t="b">
        <v>0</v>
      </c>
      <c r="N272" s="54">
        <v>1</v>
      </c>
      <c r="O272" s="54" t="s">
        <v>228</v>
      </c>
      <c r="P272" s="54">
        <v>100</v>
      </c>
      <c r="Q272" s="54">
        <v>24</v>
      </c>
      <c r="R272" s="54" t="s">
        <v>485</v>
      </c>
      <c r="S272" s="54" t="s">
        <v>1655</v>
      </c>
      <c r="T272" s="54" t="s">
        <v>632</v>
      </c>
      <c r="U272" s="54" t="s">
        <v>633</v>
      </c>
      <c r="V272" s="54" t="s">
        <v>634</v>
      </c>
      <c r="W272" s="54" t="b">
        <v>0</v>
      </c>
      <c r="X272" s="54"/>
      <c r="Y272" s="57" t="s">
        <v>1934</v>
      </c>
      <c r="Z272" s="54" t="s">
        <v>1662</v>
      </c>
      <c r="AA272" s="54"/>
      <c r="AB272" s="54" t="s">
        <v>636</v>
      </c>
      <c r="AC272" s="56" t="b">
        <v>0</v>
      </c>
      <c r="AD272" s="56" t="b">
        <v>1</v>
      </c>
      <c r="AE272" s="54" t="s">
        <v>302</v>
      </c>
      <c r="AF272" s="58">
        <v>46251</v>
      </c>
      <c r="AG272" s="62" t="s">
        <v>293</v>
      </c>
      <c r="AH272" s="54">
        <v>0</v>
      </c>
      <c r="AI272" s="54">
        <v>1000</v>
      </c>
      <c r="AJ272" s="54"/>
      <c r="AK272" s="54"/>
      <c r="AL272" s="54"/>
      <c r="AM272" s="54">
        <v>-5</v>
      </c>
      <c r="AN272" s="54">
        <v>-130</v>
      </c>
      <c r="AO272" s="54"/>
      <c r="AP272" s="54"/>
      <c r="AQ272" s="54"/>
      <c r="AR272" s="54"/>
      <c r="AS272" s="54"/>
      <c r="AT272" s="54"/>
      <c r="AU272" s="54"/>
      <c r="AV272" s="54"/>
      <c r="AW272" s="54"/>
      <c r="AX272" s="59"/>
      <c r="AY272" s="59"/>
      <c r="AZ272" s="59"/>
      <c r="BA272" s="59"/>
      <c r="BB272" s="59">
        <v>0.14002000000000001</v>
      </c>
      <c r="BC272" s="60">
        <v>4.9000000000000004</v>
      </c>
      <c r="BD272" s="61">
        <v>4.9811000000000001E-2</v>
      </c>
      <c r="BE272" s="62" t="s">
        <v>293</v>
      </c>
      <c r="BF272" s="35">
        <f t="shared" si="538"/>
        <v>4.9000000000000004</v>
      </c>
      <c r="BG272" s="35">
        <f t="shared" si="538"/>
        <v>4.9811000000000001E-2</v>
      </c>
      <c r="BH272" s="35" t="str">
        <f t="shared" si="539"/>
        <v>High</v>
      </c>
      <c r="BI272" s="110">
        <f t="shared" si="540"/>
        <v>0</v>
      </c>
      <c r="BJ272" s="83">
        <f>VLOOKUP($F272,REP_Info!$D$6:$H$250,5,FALSE)</f>
        <v>1.5649999999999999</v>
      </c>
      <c r="BK272" s="30">
        <f t="shared" si="541"/>
        <v>18.963100000000001</v>
      </c>
      <c r="BL272" s="30">
        <f t="shared" si="541"/>
        <v>6.4731000000000014</v>
      </c>
      <c r="BM272" s="30">
        <f t="shared" si="541"/>
        <v>12.7281</v>
      </c>
      <c r="BN272" s="29">
        <f t="shared" si="541"/>
        <v>14.813099999999999</v>
      </c>
      <c r="BO272" s="85" t="str">
        <f t="shared" si="2"/>
        <v>$$$</v>
      </c>
      <c r="BP272" s="88" t="str">
        <f t="shared" si="542"/>
        <v>$$$</v>
      </c>
      <c r="BQ272" s="88" t="str">
        <f t="shared" si="4"/>
        <v>$$$</v>
      </c>
      <c r="BR272" s="88" t="str">
        <f t="shared" si="5"/>
        <v>$$$</v>
      </c>
      <c r="BS272" s="29" t="e">
        <f t="shared" si="543"/>
        <v>#N/A</v>
      </c>
      <c r="BT272" s="29" t="e">
        <f t="shared" si="543"/>
        <v>#N/A</v>
      </c>
      <c r="BU272" s="29" t="e">
        <f t="shared" si="543"/>
        <v>#N/A</v>
      </c>
      <c r="BV272" s="29" t="e">
        <f t="shared" si="543"/>
        <v>#N/A</v>
      </c>
      <c r="BW272" s="29" t="e">
        <f t="shared" si="543"/>
        <v>#N/A</v>
      </c>
      <c r="BX272" s="29" t="e">
        <f t="shared" si="543"/>
        <v>#N/A</v>
      </c>
      <c r="BY272" s="29" t="e">
        <f t="shared" si="543"/>
        <v>#N/A</v>
      </c>
      <c r="BZ272" s="29" t="e">
        <f t="shared" si="543"/>
        <v>#N/A</v>
      </c>
      <c r="CA272" s="29" t="e">
        <f t="shared" si="543"/>
        <v>#N/A</v>
      </c>
      <c r="CB272" s="29" t="e">
        <f t="shared" si="543"/>
        <v>#N/A</v>
      </c>
      <c r="CC272" s="29" t="e">
        <f t="shared" si="543"/>
        <v>#N/A</v>
      </c>
      <c r="CD272" s="29" t="e">
        <f t="shared" si="543"/>
        <v>#N/A</v>
      </c>
      <c r="CE272" s="6" t="str">
        <f t="shared" si="550"/>
        <v/>
      </c>
      <c r="CF272" s="27" t="e">
        <f>IF(AND(CI272,NOT(AD272)),LOOKUP(CF$5,{0,750,1500},H272:J272),"")</f>
        <v>#N/A</v>
      </c>
      <c r="CG272" s="6" t="str">
        <f t="shared" si="551"/>
        <v/>
      </c>
      <c r="CH272" t="e">
        <f t="shared" si="544"/>
        <v>#N/A</v>
      </c>
      <c r="CI272" t="e">
        <f t="shared" si="545"/>
        <v>#N/A</v>
      </c>
      <c r="CJ272" s="6" t="e">
        <f t="shared" si="11"/>
        <v>#N/A</v>
      </c>
      <c r="CK272" s="6">
        <f t="shared" si="12"/>
        <v>1</v>
      </c>
      <c r="CL272" s="6">
        <f t="shared" si="26"/>
        <v>1</v>
      </c>
      <c r="CM272" s="6">
        <f t="shared" si="13"/>
        <v>1</v>
      </c>
      <c r="CN272" s="6">
        <f t="shared" si="14"/>
        <v>1</v>
      </c>
      <c r="CO272" s="6">
        <f t="shared" si="15"/>
        <v>0</v>
      </c>
      <c r="CP272" s="6">
        <f t="shared" si="16"/>
        <v>1</v>
      </c>
      <c r="CQ272" s="6">
        <f t="shared" si="546"/>
        <v>1</v>
      </c>
      <c r="CR272" s="81" t="str">
        <f t="shared" si="17"/>
        <v/>
      </c>
      <c r="CS272">
        <f t="shared" si="547"/>
        <v>0</v>
      </c>
      <c r="CT272">
        <f t="shared" si="19"/>
        <v>20</v>
      </c>
      <c r="CU272" t="str">
        <f t="shared" si="29"/>
        <v>rm</v>
      </c>
      <c r="CV272" s="81">
        <f t="shared" si="548"/>
        <v>480</v>
      </c>
      <c r="CW272" s="81">
        <f>(CV272/25)^1.5*(Calculator!$BU$4/10000)*CW$5</f>
        <v>217.23305503786497</v>
      </c>
      <c r="CX272" t="str">
        <f t="shared" si="549"/>
        <v>$20/rm</v>
      </c>
    </row>
    <row r="273" spans="2:102" x14ac:dyDescent="0.25">
      <c r="B273" s="115" t="s">
        <v>233</v>
      </c>
      <c r="C273" s="13">
        <v>46247.313194444447</v>
      </c>
      <c r="D273">
        <v>36355</v>
      </c>
      <c r="E273" s="54" t="s">
        <v>237</v>
      </c>
      <c r="F273" s="54" t="s">
        <v>630</v>
      </c>
      <c r="G273" s="54" t="s">
        <v>1933</v>
      </c>
      <c r="H273" s="55">
        <v>19.7</v>
      </c>
      <c r="I273" s="55">
        <v>7.3</v>
      </c>
      <c r="J273" s="55">
        <v>13.600000000000001</v>
      </c>
      <c r="K273" s="54" t="s">
        <v>1613</v>
      </c>
      <c r="L273" s="56" t="b">
        <v>0</v>
      </c>
      <c r="M273" s="56" t="b">
        <v>0</v>
      </c>
      <c r="N273" s="54">
        <v>1</v>
      </c>
      <c r="O273" s="54" t="s">
        <v>228</v>
      </c>
      <c r="P273" s="54">
        <v>100</v>
      </c>
      <c r="Q273" s="54">
        <v>24</v>
      </c>
      <c r="R273" s="54" t="s">
        <v>485</v>
      </c>
      <c r="S273" s="54" t="s">
        <v>1655</v>
      </c>
      <c r="T273" s="54" t="s">
        <v>632</v>
      </c>
      <c r="U273" s="54" t="s">
        <v>633</v>
      </c>
      <c r="V273" s="54" t="s">
        <v>634</v>
      </c>
      <c r="W273" s="54" t="b">
        <v>0</v>
      </c>
      <c r="X273" s="54"/>
      <c r="Y273" s="57" t="s">
        <v>1935</v>
      </c>
      <c r="Z273" s="54" t="s">
        <v>1663</v>
      </c>
      <c r="AA273" s="54"/>
      <c r="AB273" s="54" t="s">
        <v>636</v>
      </c>
      <c r="AC273" s="56" t="b">
        <v>0</v>
      </c>
      <c r="AD273" s="56" t="b">
        <v>1</v>
      </c>
      <c r="AE273" s="54" t="s">
        <v>302</v>
      </c>
      <c r="AF273" s="58">
        <v>46246</v>
      </c>
      <c r="AG273" s="62" t="s">
        <v>293</v>
      </c>
      <c r="AH273" s="54">
        <v>0</v>
      </c>
      <c r="AI273" s="54">
        <v>1000</v>
      </c>
      <c r="AJ273" s="54"/>
      <c r="AK273" s="54"/>
      <c r="AL273" s="54"/>
      <c r="AM273" s="54">
        <v>-5</v>
      </c>
      <c r="AN273" s="54">
        <v>-130</v>
      </c>
      <c r="AO273" s="54"/>
      <c r="AP273" s="54"/>
      <c r="AQ273" s="54"/>
      <c r="AR273" s="54"/>
      <c r="AS273" s="54"/>
      <c r="AT273" s="54"/>
      <c r="AU273" s="54"/>
      <c r="AV273" s="54"/>
      <c r="AW273" s="54"/>
      <c r="AX273" s="59"/>
      <c r="AY273" s="59"/>
      <c r="AZ273" s="59"/>
      <c r="BA273" s="59"/>
      <c r="BB273" s="59">
        <v>0.13907</v>
      </c>
      <c r="BC273" s="60">
        <v>4.0599999999999996</v>
      </c>
      <c r="BD273" s="61">
        <v>6.0295000000000001E-2</v>
      </c>
      <c r="BE273" s="62" t="s">
        <v>293</v>
      </c>
      <c r="BF273" s="35">
        <f t="shared" ref="BF273:BG275" si="552">IF($E273=$E$4,BF$4,IF($E273=$E$5,BF$5,""))</f>
        <v>4.0600000000000005</v>
      </c>
      <c r="BG273" s="35">
        <f t="shared" si="552"/>
        <v>6.0295000000000001E-2</v>
      </c>
      <c r="BH273" s="35" t="str">
        <f t="shared" ref="BH273:BH275" si="553">IF(ISTEXT(BE273),IF(AND(AV273=0,SUM(AN273:AQ273)=0),IF(AM273&lt;=0,IF(BE273="Y","Low","Flat"),"Med"),"High"),"?")</f>
        <v>High</v>
      </c>
      <c r="BI273" s="110">
        <f t="shared" ref="BI273:BI275" si="554">IF(ISNUMBER(AH273),0*BI$5*SIN((EDATE($A$3,$Q273)-DATE(YEAR(EDATE($A$3,$Q273)),1,0)-BI$4)*2*PI()/365),"")</f>
        <v>0</v>
      </c>
      <c r="BJ273" s="83">
        <f>VLOOKUP($F273,REP_Info!$D$6:$H$250,5,FALSE)</f>
        <v>1.5649999999999999</v>
      </c>
      <c r="BK273" s="30">
        <f t="shared" ref="BK273:BN275" si="555">IF(BK$7&gt;0,(LOOKUP(BK$7,$AH273:$AL273,$AM273:$AQ273)+IF($AG273="Y",SUMPRODUCT($AX273:$BB273-$AW273:$BA273,BK$7-$AR273:$AV273,N(BK$7&gt;$AR273:$AV273)),BK$7*LOOKUP(BK$7,$AR273:$AV273,$AX273:$BB273))+IF($BE273="Y",$BF273,$BC273)+BK$7*IF($BE273="Y",$BG273,$BD273))*100/BK$7,"")</f>
        <v>19.7485</v>
      </c>
      <c r="BL273" s="30">
        <f t="shared" si="555"/>
        <v>7.3425000000000002</v>
      </c>
      <c r="BM273" s="30">
        <f t="shared" si="555"/>
        <v>13.639499999999998</v>
      </c>
      <c r="BN273" s="29">
        <f t="shared" si="555"/>
        <v>15.7385</v>
      </c>
      <c r="BO273" s="85" t="str">
        <f t="shared" ref="BO273:BO275" si="556">IFERROR(SUMPRODUCT($BS$7:$CD$7,$BS273:$CD273)/100,"$$$")</f>
        <v>$$$</v>
      </c>
      <c r="BP273" s="88" t="str">
        <f t="shared" ref="BP273:BP275" si="557">IFERROR(BO273*100/BO$5,"$$$")</f>
        <v>$$$</v>
      </c>
      <c r="BQ273" s="88" t="str">
        <f t="shared" ref="BQ273:BQ275" si="558">IFERROR(SUMPRODUCT($BS$7:$CD$7,$BS273:$CD273,--($BS$4:$CD$4&lt;=$Q273))/SUMPRODUCT(--($BS$4:$CD$4&lt;=$Q273),$BS$7:$CD$7),"$$$")</f>
        <v>$$$</v>
      </c>
      <c r="BR273" s="88" t="str">
        <f t="shared" ref="BR273:BR275" si="559">IFERROR($BQ273-$BF273*100*SUMPRODUCT(--($BS$4:$CD$4&lt;=$Q273))/SUMPRODUCT(--($BS$4:$CD$4&lt;=$Q273),$BS$7:$CD$7)-$BG273*100,"$$$")</f>
        <v>$$$</v>
      </c>
      <c r="BS273" s="29" t="e">
        <f t="shared" ref="BS273:CD275" si="560">IF($CI273,IF(BS$7&gt;0,IF(BS$4&gt;$Q273,$BF273+BS$7*(BS$5+$BG273+$BI273),LOOKUP(BS$7,$AH273:$AL273,$AM273:$AQ273)+IF($AG273="Y",SUMPRODUCT($AX273:$BB273-$AW273:$BA273,BS$7-$AR273:$AV273,N(BS$7&gt;$AR273:$AV273)),BS$7*LOOKUP(BS$7,$AR273:$AV273,$AX273:$BB273))+IF($BE273="Y",$BF273,$BC273)+BS$7*IF($BE273="Y",$BG273,$BD273))*100/BS$7,""),NA())</f>
        <v>#N/A</v>
      </c>
      <c r="BT273" s="29" t="e">
        <f t="shared" si="560"/>
        <v>#N/A</v>
      </c>
      <c r="BU273" s="29" t="e">
        <f t="shared" si="560"/>
        <v>#N/A</v>
      </c>
      <c r="BV273" s="29" t="e">
        <f t="shared" si="560"/>
        <v>#N/A</v>
      </c>
      <c r="BW273" s="29" t="e">
        <f t="shared" si="560"/>
        <v>#N/A</v>
      </c>
      <c r="BX273" s="29" t="e">
        <f t="shared" si="560"/>
        <v>#N/A</v>
      </c>
      <c r="BY273" s="29" t="e">
        <f t="shared" si="560"/>
        <v>#N/A</v>
      </c>
      <c r="BZ273" s="29" t="e">
        <f t="shared" si="560"/>
        <v>#N/A</v>
      </c>
      <c r="CA273" s="29" t="e">
        <f t="shared" si="560"/>
        <v>#N/A</v>
      </c>
      <c r="CB273" s="29" t="e">
        <f t="shared" si="560"/>
        <v>#N/A</v>
      </c>
      <c r="CC273" s="29" t="e">
        <f t="shared" si="560"/>
        <v>#N/A</v>
      </c>
      <c r="CD273" s="29" t="e">
        <f t="shared" si="560"/>
        <v>#N/A</v>
      </c>
      <c r="CE273" s="6" t="str">
        <f t="shared" si="550"/>
        <v/>
      </c>
      <c r="CF273" s="27" t="e">
        <f>IF(AND(CI273,NOT(AD273)),LOOKUP(CF$5,{0,750,1500},H273:J273),"")</f>
        <v>#N/A</v>
      </c>
      <c r="CG273" s="6" t="str">
        <f t="shared" si="551"/>
        <v/>
      </c>
      <c r="CH273" t="e">
        <f t="shared" ref="CH273:CH275" si="561">IF(CI273,IF(ISNUMBER(BO273),BO273,100000)+CV273/10000+IF(ISNUMBER(BJ273),BJ273,2)/10000-P273/100000+ROW()/10000000,"")</f>
        <v>#N/A</v>
      </c>
      <c r="CI273" t="e">
        <f t="shared" ref="CI273:CI275" si="562">PRODUCT(CJ273:CQ273)</f>
        <v>#N/A</v>
      </c>
      <c r="CJ273" s="6" t="e">
        <f t="shared" ref="CJ273:CJ275" si="563">IF($E273=CJ$5,1,0)</f>
        <v>#N/A</v>
      </c>
      <c r="CK273" s="6">
        <f t="shared" ref="CK273:CK275" si="564">IF(CK$5="[Any]",1,IF($F273=CK$5,1,0))</f>
        <v>1</v>
      </c>
      <c r="CL273" s="6">
        <f t="shared" si="26"/>
        <v>1</v>
      </c>
      <c r="CM273" s="6">
        <f t="shared" ref="CM273:CM275" si="565">IF($O273="Fixed",1,0)</f>
        <v>1</v>
      </c>
      <c r="CN273" s="6">
        <f t="shared" ref="CN273:CN275" si="566">IF($Q273&gt;=CN$5,1,0)</f>
        <v>1</v>
      </c>
      <c r="CO273" s="6">
        <f t="shared" ref="CO273:CO275" si="567">IF($Q273&lt;=CO$5,1,0)</f>
        <v>0</v>
      </c>
      <c r="CP273" s="6">
        <f t="shared" ref="CP273:CP275" si="568">IF($P273&gt;=CP$5,1,0)</f>
        <v>1</v>
      </c>
      <c r="CQ273" s="6">
        <f t="shared" ref="CQ273:CQ275" si="569">IF(CQ$5="Any",1,IF(AND(CQ$5="Med",AV273=0,SUM(AN273:AQ273)=0),1,IF(AND(CQ$5="Low",AV273=0,SUM(AN273:AQ273)=0,AM273=0),1,IF(AND(CQ$5="Flat",AV273=0,SUM(AN273:AQ273)=0,AM273=0,IFERROR(NOT(BE273="Y"),0)),1,0))))</f>
        <v>1</v>
      </c>
      <c r="CR273" s="81" t="str">
        <f t="shared" ref="CR273:CR275" si="570">IF(ISNUMBER($CH273),$CH273+$CS273+$CW273,"")</f>
        <v/>
      </c>
      <c r="CS273">
        <f t="shared" ref="CS273:CS275" si="571">CS$5*(12/(MIN(12,Q273))-1)</f>
        <v>0</v>
      </c>
      <c r="CT273">
        <f t="shared" si="19"/>
        <v>20</v>
      </c>
      <c r="CU273" t="str">
        <f t="shared" si="29"/>
        <v>rm</v>
      </c>
      <c r="CV273" s="81">
        <f t="shared" ref="CV273:CV275" si="572">CT273*IF(CU273="",1,Q273)</f>
        <v>480</v>
      </c>
      <c r="CW273" s="81">
        <f>(CV273/25)^1.5*(Calculator!$BU$4/10000)*CW$5</f>
        <v>217.23305503786497</v>
      </c>
      <c r="CX273" t="str">
        <f t="shared" ref="CX273:CX275" si="573">"$"&amp;IF(LEFT(CU273,1)="r",CT273&amp;"/"&amp;CU273,CV273)</f>
        <v>$20/rm</v>
      </c>
    </row>
    <row r="274" spans="2:102" x14ac:dyDescent="0.25">
      <c r="B274" s="115" t="s">
        <v>233</v>
      </c>
      <c r="C274" s="13">
        <v>46256.21597222222</v>
      </c>
      <c r="D274">
        <v>37666</v>
      </c>
      <c r="E274" s="54" t="s">
        <v>235</v>
      </c>
      <c r="F274" s="54" t="s">
        <v>630</v>
      </c>
      <c r="G274" s="54" t="s">
        <v>2360</v>
      </c>
      <c r="H274" s="55">
        <v>9.9</v>
      </c>
      <c r="I274" s="55">
        <v>9.9</v>
      </c>
      <c r="J274" s="55">
        <v>10</v>
      </c>
      <c r="K274" s="54"/>
      <c r="L274" s="56" t="b">
        <v>0</v>
      </c>
      <c r="M274" s="56" t="b">
        <v>0</v>
      </c>
      <c r="N274" s="54">
        <v>1</v>
      </c>
      <c r="O274" s="54" t="s">
        <v>228</v>
      </c>
      <c r="P274" s="54">
        <v>100</v>
      </c>
      <c r="Q274" s="54">
        <v>9</v>
      </c>
      <c r="R274" s="54" t="s">
        <v>485</v>
      </c>
      <c r="S274" s="54" t="s">
        <v>1655</v>
      </c>
      <c r="T274" s="54" t="s">
        <v>2361</v>
      </c>
      <c r="U274" s="54" t="s">
        <v>633</v>
      </c>
      <c r="V274" s="54" t="s">
        <v>634</v>
      </c>
      <c r="W274" s="54" t="b">
        <v>0</v>
      </c>
      <c r="X274" s="54"/>
      <c r="Y274" s="57" t="s">
        <v>2362</v>
      </c>
      <c r="Z274" s="54" t="s">
        <v>2363</v>
      </c>
      <c r="AA274" s="54"/>
      <c r="AB274" s="54" t="s">
        <v>636</v>
      </c>
      <c r="AC274" s="56" t="b">
        <v>0</v>
      </c>
      <c r="AD274" s="56" t="b">
        <v>0</v>
      </c>
      <c r="AE274" s="54" t="s">
        <v>302</v>
      </c>
      <c r="AF274" s="58">
        <v>46255</v>
      </c>
      <c r="AG274" s="62" t="s">
        <v>293</v>
      </c>
      <c r="AH274" s="54">
        <v>0</v>
      </c>
      <c r="AI274" s="54"/>
      <c r="AJ274" s="54"/>
      <c r="AK274" s="54"/>
      <c r="AL274" s="54"/>
      <c r="AM274" s="54">
        <v>-5</v>
      </c>
      <c r="AN274" s="54"/>
      <c r="AO274" s="54"/>
      <c r="AP274" s="54"/>
      <c r="AQ274" s="54"/>
      <c r="AR274" s="54"/>
      <c r="AS274" s="54"/>
      <c r="AT274" s="54"/>
      <c r="AU274" s="54"/>
      <c r="AV274" s="54"/>
      <c r="AW274" s="54"/>
      <c r="AX274" s="59"/>
      <c r="AY274" s="59"/>
      <c r="AZ274" s="59"/>
      <c r="BA274" s="59"/>
      <c r="BB274" s="59">
        <v>4.9779999999999998E-2</v>
      </c>
      <c r="BC274" s="60">
        <v>4.9000000000000004</v>
      </c>
      <c r="BD274" s="61">
        <v>4.9811000000000001E-2</v>
      </c>
      <c r="BE274" s="62" t="s">
        <v>293</v>
      </c>
      <c r="BF274" s="35">
        <f t="shared" si="552"/>
        <v>4.9000000000000004</v>
      </c>
      <c r="BG274" s="35">
        <f t="shared" si="552"/>
        <v>4.9811000000000001E-2</v>
      </c>
      <c r="BH274" s="35" t="str">
        <f t="shared" si="553"/>
        <v>Low</v>
      </c>
      <c r="BI274" s="110">
        <f t="shared" si="554"/>
        <v>0</v>
      </c>
      <c r="BJ274" s="83">
        <f>VLOOKUP($F274,REP_Info!$D$6:$H$250,5,FALSE)</f>
        <v>1.5649999999999999</v>
      </c>
      <c r="BK274" s="30">
        <f t="shared" si="555"/>
        <v>9.939099999999998</v>
      </c>
      <c r="BL274" s="30">
        <f t="shared" si="555"/>
        <v>9.9490999999999996</v>
      </c>
      <c r="BM274" s="30">
        <f t="shared" si="555"/>
        <v>9.9541000000000004</v>
      </c>
      <c r="BN274" s="29">
        <f t="shared" si="555"/>
        <v>9.9557666666666655</v>
      </c>
      <c r="BO274" s="85" t="str">
        <f t="shared" si="556"/>
        <v>$$$</v>
      </c>
      <c r="BP274" s="88" t="str">
        <f t="shared" si="557"/>
        <v>$$$</v>
      </c>
      <c r="BQ274" s="88" t="str">
        <f t="shared" si="558"/>
        <v>$$$</v>
      </c>
      <c r="BR274" s="88" t="str">
        <f t="shared" si="559"/>
        <v>$$$</v>
      </c>
      <c r="BS274" s="29" t="e">
        <f t="shared" si="560"/>
        <v>#N/A</v>
      </c>
      <c r="BT274" s="29" t="e">
        <f t="shared" si="560"/>
        <v>#N/A</v>
      </c>
      <c r="BU274" s="29" t="e">
        <f t="shared" si="560"/>
        <v>#N/A</v>
      </c>
      <c r="BV274" s="29" t="e">
        <f t="shared" si="560"/>
        <v>#N/A</v>
      </c>
      <c r="BW274" s="29" t="e">
        <f t="shared" si="560"/>
        <v>#N/A</v>
      </c>
      <c r="BX274" s="29" t="e">
        <f t="shared" si="560"/>
        <v>#N/A</v>
      </c>
      <c r="BY274" s="29" t="e">
        <f t="shared" si="560"/>
        <v>#N/A</v>
      </c>
      <c r="BZ274" s="29" t="e">
        <f t="shared" si="560"/>
        <v>#N/A</v>
      </c>
      <c r="CA274" s="29" t="e">
        <f t="shared" si="560"/>
        <v>#N/A</v>
      </c>
      <c r="CB274" s="29" t="e">
        <f t="shared" si="560"/>
        <v>#N/A</v>
      </c>
      <c r="CC274" s="29" t="e">
        <f t="shared" si="560"/>
        <v>#N/A</v>
      </c>
      <c r="CD274" s="29" t="e">
        <f t="shared" si="560"/>
        <v>#N/A</v>
      </c>
      <c r="CE274" s="6" t="str">
        <f t="shared" si="550"/>
        <v/>
      </c>
      <c r="CF274" s="27" t="e">
        <f>IF(AND(CI274,NOT(AD274)),LOOKUP(CF$5,{0,750,1500},H274:J274),"")</f>
        <v>#N/A</v>
      </c>
      <c r="CG274" s="6" t="str">
        <f t="shared" si="551"/>
        <v/>
      </c>
      <c r="CH274" t="e">
        <f t="shared" si="561"/>
        <v>#N/A</v>
      </c>
      <c r="CI274" t="e">
        <f t="shared" si="562"/>
        <v>#N/A</v>
      </c>
      <c r="CJ274" s="6" t="e">
        <f t="shared" si="563"/>
        <v>#N/A</v>
      </c>
      <c r="CK274" s="6">
        <f t="shared" si="564"/>
        <v>1</v>
      </c>
      <c r="CL274" s="6">
        <f t="shared" si="26"/>
        <v>1</v>
      </c>
      <c r="CM274" s="6">
        <f t="shared" si="565"/>
        <v>1</v>
      </c>
      <c r="CN274" s="6">
        <f t="shared" si="566"/>
        <v>0</v>
      </c>
      <c r="CO274" s="6">
        <f t="shared" si="567"/>
        <v>1</v>
      </c>
      <c r="CP274" s="6">
        <f t="shared" si="568"/>
        <v>1</v>
      </c>
      <c r="CQ274" s="6">
        <f t="shared" si="569"/>
        <v>1</v>
      </c>
      <c r="CR274" s="81" t="str">
        <f t="shared" si="570"/>
        <v/>
      </c>
      <c r="CS274">
        <f t="shared" si="571"/>
        <v>5.9999999999999982</v>
      </c>
      <c r="CT274">
        <f t="shared" si="19"/>
        <v>20</v>
      </c>
      <c r="CU274" t="str">
        <f t="shared" si="29"/>
        <v>rm</v>
      </c>
      <c r="CV274" s="81">
        <f t="shared" si="572"/>
        <v>180</v>
      </c>
      <c r="CW274" s="81">
        <f>(CV274/25)^1.5*(Calculator!$BU$4/10000)*CW$5</f>
        <v>49.885325635190988</v>
      </c>
      <c r="CX274" t="str">
        <f t="shared" si="573"/>
        <v>$20/rm</v>
      </c>
    </row>
    <row r="275" spans="2:102" x14ac:dyDescent="0.25">
      <c r="B275" s="115" t="s">
        <v>233</v>
      </c>
      <c r="C275" s="13">
        <v>46256.21597222222</v>
      </c>
      <c r="D275">
        <v>37668</v>
      </c>
      <c r="E275" s="54" t="s">
        <v>237</v>
      </c>
      <c r="F275" s="54" t="s">
        <v>630</v>
      </c>
      <c r="G275" s="54" t="s">
        <v>2360</v>
      </c>
      <c r="H275" s="55">
        <v>10.7</v>
      </c>
      <c r="I275" s="55">
        <v>10.7</v>
      </c>
      <c r="J275" s="55">
        <v>10.8</v>
      </c>
      <c r="K275" s="54"/>
      <c r="L275" s="56" t="b">
        <v>0</v>
      </c>
      <c r="M275" s="56" t="b">
        <v>0</v>
      </c>
      <c r="N275" s="54">
        <v>1</v>
      </c>
      <c r="O275" s="54" t="s">
        <v>228</v>
      </c>
      <c r="P275" s="54">
        <v>100</v>
      </c>
      <c r="Q275" s="54">
        <v>9</v>
      </c>
      <c r="R275" s="54" t="s">
        <v>485</v>
      </c>
      <c r="S275" s="54" t="s">
        <v>1655</v>
      </c>
      <c r="T275" s="54" t="s">
        <v>2361</v>
      </c>
      <c r="U275" s="54" t="s">
        <v>633</v>
      </c>
      <c r="V275" s="54" t="s">
        <v>634</v>
      </c>
      <c r="W275" s="54" t="b">
        <v>0</v>
      </c>
      <c r="X275" s="54"/>
      <c r="Y275" s="57" t="s">
        <v>2364</v>
      </c>
      <c r="Z275" s="54" t="s">
        <v>2365</v>
      </c>
      <c r="AA275" s="54"/>
      <c r="AB275" s="54" t="s">
        <v>636</v>
      </c>
      <c r="AC275" s="56" t="b">
        <v>0</v>
      </c>
      <c r="AD275" s="56" t="b">
        <v>0</v>
      </c>
      <c r="AE275" s="54" t="s">
        <v>302</v>
      </c>
      <c r="AF275" s="58">
        <v>46255</v>
      </c>
      <c r="AG275" s="62" t="s">
        <v>293</v>
      </c>
      <c r="AH275" s="54">
        <v>0</v>
      </c>
      <c r="AI275" s="54"/>
      <c r="AJ275" s="54"/>
      <c r="AK275" s="54"/>
      <c r="AL275" s="54"/>
      <c r="AM275" s="54">
        <v>-5</v>
      </c>
      <c r="AN275" s="54"/>
      <c r="AO275" s="54"/>
      <c r="AP275" s="54"/>
      <c r="AQ275" s="54"/>
      <c r="AR275" s="54"/>
      <c r="AS275" s="54"/>
      <c r="AT275" s="54"/>
      <c r="AU275" s="54"/>
      <c r="AV275" s="54"/>
      <c r="AW275" s="54"/>
      <c r="AX275" s="59"/>
      <c r="AY275" s="59"/>
      <c r="AZ275" s="59"/>
      <c r="BA275" s="59"/>
      <c r="BB275" s="59">
        <v>4.8140000000000002E-2</v>
      </c>
      <c r="BC275" s="60">
        <v>4.0599999999999996</v>
      </c>
      <c r="BD275" s="61">
        <v>6.0295000000000001E-2</v>
      </c>
      <c r="BE275" s="62" t="s">
        <v>293</v>
      </c>
      <c r="BF275" s="35">
        <f t="shared" si="552"/>
        <v>4.0600000000000005</v>
      </c>
      <c r="BG275" s="35">
        <f t="shared" si="552"/>
        <v>6.0295000000000001E-2</v>
      </c>
      <c r="BH275" s="35" t="str">
        <f t="shared" si="553"/>
        <v>Low</v>
      </c>
      <c r="BI275" s="110">
        <f t="shared" si="554"/>
        <v>0</v>
      </c>
      <c r="BJ275" s="83">
        <f>VLOOKUP($F275,REP_Info!$D$6:$H$250,5,FALSE)</f>
        <v>1.5649999999999999</v>
      </c>
      <c r="BK275" s="30">
        <f t="shared" si="555"/>
        <v>10.6555</v>
      </c>
      <c r="BL275" s="30">
        <f t="shared" si="555"/>
        <v>10.749499999999999</v>
      </c>
      <c r="BM275" s="30">
        <f t="shared" si="555"/>
        <v>10.7965</v>
      </c>
      <c r="BN275" s="29">
        <f t="shared" si="555"/>
        <v>10.812166666666666</v>
      </c>
      <c r="BO275" s="85" t="str">
        <f t="shared" si="556"/>
        <v>$$$</v>
      </c>
      <c r="BP275" s="88" t="str">
        <f t="shared" si="557"/>
        <v>$$$</v>
      </c>
      <c r="BQ275" s="88" t="str">
        <f t="shared" si="558"/>
        <v>$$$</v>
      </c>
      <c r="BR275" s="88" t="str">
        <f t="shared" si="559"/>
        <v>$$$</v>
      </c>
      <c r="BS275" s="29" t="e">
        <f t="shared" si="560"/>
        <v>#N/A</v>
      </c>
      <c r="BT275" s="29" t="e">
        <f t="shared" si="560"/>
        <v>#N/A</v>
      </c>
      <c r="BU275" s="29" t="e">
        <f t="shared" si="560"/>
        <v>#N/A</v>
      </c>
      <c r="BV275" s="29" t="e">
        <f t="shared" si="560"/>
        <v>#N/A</v>
      </c>
      <c r="BW275" s="29" t="e">
        <f t="shared" si="560"/>
        <v>#N/A</v>
      </c>
      <c r="BX275" s="29" t="e">
        <f t="shared" si="560"/>
        <v>#N/A</v>
      </c>
      <c r="BY275" s="29" t="e">
        <f t="shared" si="560"/>
        <v>#N/A</v>
      </c>
      <c r="BZ275" s="29" t="e">
        <f t="shared" si="560"/>
        <v>#N/A</v>
      </c>
      <c r="CA275" s="29" t="e">
        <f t="shared" si="560"/>
        <v>#N/A</v>
      </c>
      <c r="CB275" s="29" t="e">
        <f t="shared" si="560"/>
        <v>#N/A</v>
      </c>
      <c r="CC275" s="29" t="e">
        <f t="shared" si="560"/>
        <v>#N/A</v>
      </c>
      <c r="CD275" s="29" t="e">
        <f t="shared" si="560"/>
        <v>#N/A</v>
      </c>
      <c r="CE275" s="6" t="str">
        <f t="shared" si="550"/>
        <v/>
      </c>
      <c r="CF275" s="27" t="e">
        <f>IF(AND(CI275,NOT(AD275)),LOOKUP(CF$5,{0,750,1500},H275:J275),"")</f>
        <v>#N/A</v>
      </c>
      <c r="CG275" s="6" t="str">
        <f t="shared" si="551"/>
        <v/>
      </c>
      <c r="CH275" t="e">
        <f t="shared" si="561"/>
        <v>#N/A</v>
      </c>
      <c r="CI275" t="e">
        <f t="shared" si="562"/>
        <v>#N/A</v>
      </c>
      <c r="CJ275" s="6" t="e">
        <f t="shared" si="563"/>
        <v>#N/A</v>
      </c>
      <c r="CK275" s="6">
        <f t="shared" si="564"/>
        <v>1</v>
      </c>
      <c r="CL275" s="6">
        <f t="shared" si="26"/>
        <v>1</v>
      </c>
      <c r="CM275" s="6">
        <f t="shared" si="565"/>
        <v>1</v>
      </c>
      <c r="CN275" s="6">
        <f t="shared" si="566"/>
        <v>0</v>
      </c>
      <c r="CO275" s="6">
        <f t="shared" si="567"/>
        <v>1</v>
      </c>
      <c r="CP275" s="6">
        <f t="shared" si="568"/>
        <v>1</v>
      </c>
      <c r="CQ275" s="6">
        <f t="shared" si="569"/>
        <v>1</v>
      </c>
      <c r="CR275" s="81" t="str">
        <f t="shared" si="570"/>
        <v/>
      </c>
      <c r="CS275">
        <f t="shared" si="571"/>
        <v>5.9999999999999982</v>
      </c>
      <c r="CT275">
        <f t="shared" si="19"/>
        <v>20</v>
      </c>
      <c r="CU275" t="str">
        <f t="shared" si="29"/>
        <v>rm</v>
      </c>
      <c r="CV275" s="81">
        <f t="shared" si="572"/>
        <v>180</v>
      </c>
      <c r="CW275" s="81">
        <f>(CV275/25)^1.5*(Calculator!$BU$4/10000)*CW$5</f>
        <v>49.885325635190988</v>
      </c>
      <c r="CX275" t="str">
        <f t="shared" si="573"/>
        <v>$20/rm</v>
      </c>
    </row>
    <row r="276" spans="2:102" x14ac:dyDescent="0.25">
      <c r="B276" s="115" t="s">
        <v>233</v>
      </c>
      <c r="C276" s="13">
        <v>46238.55972222222</v>
      </c>
      <c r="D276">
        <v>35166</v>
      </c>
      <c r="E276" s="54" t="s">
        <v>237</v>
      </c>
      <c r="F276" s="54" t="s">
        <v>644</v>
      </c>
      <c r="G276" s="54" t="s">
        <v>1807</v>
      </c>
      <c r="H276" s="55">
        <v>12.1</v>
      </c>
      <c r="I276" s="55">
        <v>11.700000000000001</v>
      </c>
      <c r="J276" s="55">
        <v>11.5</v>
      </c>
      <c r="K276" s="54"/>
      <c r="L276" s="56" t="b">
        <v>0</v>
      </c>
      <c r="M276" s="56" t="b">
        <v>0</v>
      </c>
      <c r="N276" s="54">
        <v>1</v>
      </c>
      <c r="O276" s="54" t="s">
        <v>228</v>
      </c>
      <c r="P276" s="54">
        <v>23</v>
      </c>
      <c r="Q276" s="54">
        <v>5</v>
      </c>
      <c r="R276" s="54">
        <v>175</v>
      </c>
      <c r="S276" s="54" t="s">
        <v>646</v>
      </c>
      <c r="T276" s="54" t="s">
        <v>647</v>
      </c>
      <c r="U276" s="54" t="s">
        <v>648</v>
      </c>
      <c r="V276" s="54" t="s">
        <v>1630</v>
      </c>
      <c r="W276" s="54" t="b">
        <v>0</v>
      </c>
      <c r="X276" s="54"/>
      <c r="Y276" s="57" t="s">
        <v>1877</v>
      </c>
      <c r="Z276" s="54" t="s">
        <v>646</v>
      </c>
      <c r="AA276" s="54"/>
      <c r="AB276" s="54" t="s">
        <v>649</v>
      </c>
      <c r="AC276" s="56" t="b">
        <v>1</v>
      </c>
      <c r="AD276" s="56" t="b">
        <v>0</v>
      </c>
      <c r="AE276" s="54" t="s">
        <v>302</v>
      </c>
      <c r="AF276" s="58">
        <v>46238</v>
      </c>
      <c r="AG276" s="62" t="s">
        <v>293</v>
      </c>
      <c r="AH276" s="54">
        <v>0</v>
      </c>
      <c r="AI276" s="54"/>
      <c r="AJ276" s="54"/>
      <c r="AK276" s="54"/>
      <c r="AL276" s="54"/>
      <c r="AM276" s="54">
        <v>0</v>
      </c>
      <c r="AN276" s="54"/>
      <c r="AO276" s="54"/>
      <c r="AP276" s="54"/>
      <c r="AQ276" s="54"/>
      <c r="AR276" s="54"/>
      <c r="AS276" s="54"/>
      <c r="AT276" s="54"/>
      <c r="AU276" s="54"/>
      <c r="AV276" s="54"/>
      <c r="AW276" s="54"/>
      <c r="AX276" s="59"/>
      <c r="AY276" s="59"/>
      <c r="AZ276" s="59"/>
      <c r="BA276" s="59"/>
      <c r="BB276" s="59">
        <v>5.2699999999999997E-2</v>
      </c>
      <c r="BC276" s="60"/>
      <c r="BD276" s="61"/>
      <c r="BE276" s="62" t="s">
        <v>293</v>
      </c>
      <c r="BF276" s="35">
        <f t="shared" ref="BF276:BG277" si="574">IF($E276=$E$4,BF$4,IF($E276=$E$5,BF$5,""))</f>
        <v>4.0600000000000005</v>
      </c>
      <c r="BG276" s="35">
        <f t="shared" si="574"/>
        <v>6.0295000000000001E-2</v>
      </c>
      <c r="BH276" s="35" t="str">
        <f t="shared" ref="BH276:BH277" si="575">IF(ISTEXT(BE276),IF(AND(AV276=0,SUM(AN276:AQ276)=0),IF(AM276&lt;=0,IF(BE276="Y","Low","Flat"),"Med"),"High"),"?")</f>
        <v>Low</v>
      </c>
      <c r="BI276" s="110">
        <f t="shared" ref="BI276:BI277" si="576">IF(ISNUMBER(AH276),0*BI$5*SIN((EDATE($A$3,$Q276)-DATE(YEAR(EDATE($A$3,$Q276)),1,0)-BI$4)*2*PI()/365),"")</f>
        <v>0</v>
      </c>
      <c r="BJ276" s="83" t="str">
        <f>VLOOKUP($F276,REP_Info!$D$6:$H$250,5,FALSE)</f>
        <v/>
      </c>
      <c r="BK276" s="30">
        <f t="shared" ref="BK276:BN277" si="577">IF(BK$7&gt;0,(LOOKUP(BK$7,$AH276:$AL276,$AM276:$AQ276)+IF($AG276="Y",SUMPRODUCT($AX276:$BB276-$AW276:$BA276,BK$7-$AR276:$AV276,N(BK$7&gt;$AR276:$AV276)),BK$7*LOOKUP(BK$7,$AR276:$AV276,$AX276:$BB276))+IF($BE276="Y",$BF276,$BC276)+BK$7*IF($BE276="Y",$BG276,$BD276))*100/BK$7,"")</f>
        <v>12.111499999999999</v>
      </c>
      <c r="BL276" s="30">
        <f t="shared" si="577"/>
        <v>11.705500000000001</v>
      </c>
      <c r="BM276" s="30">
        <f t="shared" si="577"/>
        <v>11.5025</v>
      </c>
      <c r="BN276" s="29">
        <f t="shared" si="577"/>
        <v>11.43483333333333</v>
      </c>
      <c r="BO276" s="85" t="str">
        <f t="shared" si="2"/>
        <v>$$$</v>
      </c>
      <c r="BP276" s="88" t="str">
        <f t="shared" ref="BP276:BP277" si="578">IFERROR(BO276*100/BO$5,"$$$")</f>
        <v>$$$</v>
      </c>
      <c r="BQ276" s="88" t="str">
        <f t="shared" si="4"/>
        <v>$$$</v>
      </c>
      <c r="BR276" s="88" t="str">
        <f t="shared" si="5"/>
        <v>$$$</v>
      </c>
      <c r="BS276" s="29" t="e">
        <f t="shared" ref="BS276:CD277" si="579">IF($CI276,IF(BS$7&gt;0,IF(BS$4&gt;$Q276,$BF276+BS$7*(BS$5+$BG276+$BI276),LOOKUP(BS$7,$AH276:$AL276,$AM276:$AQ276)+IF($AG276="Y",SUMPRODUCT($AX276:$BB276-$AW276:$BA276,BS$7-$AR276:$AV276,N(BS$7&gt;$AR276:$AV276)),BS$7*LOOKUP(BS$7,$AR276:$AV276,$AX276:$BB276))+IF($BE276="Y",$BF276,$BC276)+BS$7*IF($BE276="Y",$BG276,$BD276))*100/BS$7,""),NA())</f>
        <v>#N/A</v>
      </c>
      <c r="BT276" s="29" t="e">
        <f t="shared" si="579"/>
        <v>#N/A</v>
      </c>
      <c r="BU276" s="29" t="e">
        <f t="shared" si="579"/>
        <v>#N/A</v>
      </c>
      <c r="BV276" s="29" t="e">
        <f t="shared" si="579"/>
        <v>#N/A</v>
      </c>
      <c r="BW276" s="29" t="e">
        <f t="shared" si="579"/>
        <v>#N/A</v>
      </c>
      <c r="BX276" s="29" t="e">
        <f t="shared" si="579"/>
        <v>#N/A</v>
      </c>
      <c r="BY276" s="29" t="e">
        <f t="shared" si="579"/>
        <v>#N/A</v>
      </c>
      <c r="BZ276" s="29" t="e">
        <f t="shared" si="579"/>
        <v>#N/A</v>
      </c>
      <c r="CA276" s="29" t="e">
        <f t="shared" si="579"/>
        <v>#N/A</v>
      </c>
      <c r="CB276" s="29" t="e">
        <f t="shared" si="579"/>
        <v>#N/A</v>
      </c>
      <c r="CC276" s="29" t="e">
        <f t="shared" si="579"/>
        <v>#N/A</v>
      </c>
      <c r="CD276" s="29" t="e">
        <f t="shared" si="579"/>
        <v>#N/A</v>
      </c>
      <c r="CE276" s="6" t="str">
        <f t="shared" si="550"/>
        <v/>
      </c>
      <c r="CF276" s="27" t="e">
        <f>IF(AND(CI276,NOT(AD276)),LOOKUP(CF$5,{0,750,1500},H276:J276),"")</f>
        <v>#N/A</v>
      </c>
      <c r="CG276" s="6" t="str">
        <f t="shared" si="551"/>
        <v/>
      </c>
      <c r="CH276" t="e">
        <f t="shared" ref="CH276:CH277" si="580">IF(CI276,IF(ISNUMBER(BO276),BO276,100000)+CV276/10000+IF(ISNUMBER(BJ276),BJ276,2)/10000-P276/100000+ROW()/10000000,"")</f>
        <v>#N/A</v>
      </c>
      <c r="CI276" t="e">
        <f t="shared" ref="CI276:CI277" si="581">PRODUCT(CJ276:CQ276)</f>
        <v>#N/A</v>
      </c>
      <c r="CJ276" s="6" t="e">
        <f t="shared" si="11"/>
        <v>#N/A</v>
      </c>
      <c r="CK276" s="6">
        <f t="shared" si="12"/>
        <v>1</v>
      </c>
      <c r="CL276" s="6">
        <f t="shared" si="26"/>
        <v>1</v>
      </c>
      <c r="CM276" s="6">
        <f t="shared" si="13"/>
        <v>1</v>
      </c>
      <c r="CN276" s="6">
        <f t="shared" si="14"/>
        <v>0</v>
      </c>
      <c r="CO276" s="6">
        <f t="shared" si="15"/>
        <v>1</v>
      </c>
      <c r="CP276" s="6">
        <f t="shared" si="16"/>
        <v>1</v>
      </c>
      <c r="CQ276" s="6">
        <f t="shared" ref="CQ276:CQ277" si="582">IF(CQ$5="Any",1,IF(AND(CQ$5="Med",AV276=0,SUM(AN276:AQ276)=0),1,IF(AND(CQ$5="Low",AV276=0,SUM(AN276:AQ276)=0,AM276=0),1,IF(AND(CQ$5="Flat",AV276=0,SUM(AN276:AQ276)=0,AM276=0,IFERROR(NOT(BE276="Y"),0)),1,0))))</f>
        <v>1</v>
      </c>
      <c r="CR276" s="81" t="str">
        <f t="shared" si="17"/>
        <v/>
      </c>
      <c r="CS276">
        <f t="shared" ref="CS276:CS277" si="583">CS$5*(12/(MIN(12,Q276))-1)</f>
        <v>25.2</v>
      </c>
      <c r="CT276">
        <f t="shared" si="19"/>
        <v>175</v>
      </c>
      <c r="CU276" t="str">
        <f t="shared" si="29"/>
        <v/>
      </c>
      <c r="CV276" s="81">
        <f t="shared" ref="CV276:CV277" si="584">CT276*IF(CU276="",1,Q276)</f>
        <v>175</v>
      </c>
      <c r="CW276" s="81">
        <f>(CV276/25)^1.5*(Calculator!$BU$4/10000)*CW$5</f>
        <v>47.821272343654172</v>
      </c>
      <c r="CX276" t="str">
        <f t="shared" ref="CX276:CX277" si="585">"$"&amp;IF(LEFT(CU276,1)="r",CT276&amp;"/"&amp;CU276,CV276)</f>
        <v>$175</v>
      </c>
    </row>
    <row r="277" spans="2:102" x14ac:dyDescent="0.25">
      <c r="B277" s="115" t="s">
        <v>233</v>
      </c>
      <c r="C277" s="13">
        <v>46238.55972222222</v>
      </c>
      <c r="D277">
        <v>35168</v>
      </c>
      <c r="E277" s="54" t="s">
        <v>237</v>
      </c>
      <c r="F277" s="54" t="s">
        <v>644</v>
      </c>
      <c r="G277" s="54" t="s">
        <v>1808</v>
      </c>
      <c r="H277" s="55">
        <v>12.3</v>
      </c>
      <c r="I277" s="55">
        <v>11.899999999999999</v>
      </c>
      <c r="J277" s="55">
        <v>11.700000000000001</v>
      </c>
      <c r="K277" s="54"/>
      <c r="L277" s="56" t="b">
        <v>0</v>
      </c>
      <c r="M277" s="56" t="b">
        <v>0</v>
      </c>
      <c r="N277" s="54">
        <v>1</v>
      </c>
      <c r="O277" s="54" t="s">
        <v>228</v>
      </c>
      <c r="P277" s="54">
        <v>23</v>
      </c>
      <c r="Q277" s="54">
        <v>10</v>
      </c>
      <c r="R277" s="54">
        <v>175</v>
      </c>
      <c r="S277" s="54" t="s">
        <v>646</v>
      </c>
      <c r="T277" s="54" t="s">
        <v>647</v>
      </c>
      <c r="U277" s="54" t="s">
        <v>648</v>
      </c>
      <c r="V277" s="54" t="s">
        <v>1630</v>
      </c>
      <c r="W277" s="54" t="b">
        <v>0</v>
      </c>
      <c r="X277" s="54"/>
      <c r="Y277" s="57" t="s">
        <v>1878</v>
      </c>
      <c r="Z277" s="54" t="s">
        <v>646</v>
      </c>
      <c r="AA277" s="54"/>
      <c r="AB277" s="54" t="s">
        <v>649</v>
      </c>
      <c r="AC277" s="56" t="b">
        <v>1</v>
      </c>
      <c r="AD277" s="56" t="b">
        <v>0</v>
      </c>
      <c r="AE277" s="54" t="s">
        <v>302</v>
      </c>
      <c r="AF277" s="58">
        <v>46238</v>
      </c>
      <c r="AG277" s="62" t="s">
        <v>293</v>
      </c>
      <c r="AH277" s="54">
        <v>0</v>
      </c>
      <c r="AI277" s="54"/>
      <c r="AJ277" s="54"/>
      <c r="AK277" s="54"/>
      <c r="AL277" s="54"/>
      <c r="AM277" s="54">
        <v>0</v>
      </c>
      <c r="AN277" s="54"/>
      <c r="AO277" s="54"/>
      <c r="AP277" s="54"/>
      <c r="AQ277" s="54"/>
      <c r="AR277" s="54"/>
      <c r="AS277" s="54"/>
      <c r="AT277" s="54"/>
      <c r="AU277" s="54"/>
      <c r="AV277" s="54"/>
      <c r="AW277" s="54"/>
      <c r="AX277" s="59"/>
      <c r="AY277" s="59"/>
      <c r="AZ277" s="59"/>
      <c r="BA277" s="59"/>
      <c r="BB277" s="59">
        <v>5.4699999999999999E-2</v>
      </c>
      <c r="BC277" s="60"/>
      <c r="BD277" s="61"/>
      <c r="BE277" s="62" t="s">
        <v>293</v>
      </c>
      <c r="BF277" s="35">
        <f t="shared" si="574"/>
        <v>4.0600000000000005</v>
      </c>
      <c r="BG277" s="35">
        <f t="shared" si="574"/>
        <v>6.0295000000000001E-2</v>
      </c>
      <c r="BH277" s="35" t="str">
        <f t="shared" si="575"/>
        <v>Low</v>
      </c>
      <c r="BI277" s="110">
        <f t="shared" si="576"/>
        <v>0</v>
      </c>
      <c r="BJ277" s="83" t="str">
        <f>VLOOKUP($F277,REP_Info!$D$6:$H$250,5,FALSE)</f>
        <v/>
      </c>
      <c r="BK277" s="30">
        <f t="shared" si="577"/>
        <v>12.311500000000001</v>
      </c>
      <c r="BL277" s="30">
        <f t="shared" si="577"/>
        <v>11.9055</v>
      </c>
      <c r="BM277" s="30">
        <f t="shared" si="577"/>
        <v>11.702500000000001</v>
      </c>
      <c r="BN277" s="29">
        <f t="shared" si="577"/>
        <v>11.634833333333331</v>
      </c>
      <c r="BO277" s="85" t="str">
        <f t="shared" ref="BO277" si="586">IFERROR(SUMPRODUCT($BS$7:$CD$7,$BS277:$CD277)/100,"$$$")</f>
        <v>$$$</v>
      </c>
      <c r="BP277" s="88" t="str">
        <f t="shared" si="578"/>
        <v>$$$</v>
      </c>
      <c r="BQ277" s="88" t="str">
        <f t="shared" ref="BQ277" si="587">IFERROR(SUMPRODUCT($BS$7:$CD$7,$BS277:$CD277,--($BS$4:$CD$4&lt;=$Q277))/SUMPRODUCT(--($BS$4:$CD$4&lt;=$Q277),$BS$7:$CD$7),"$$$")</f>
        <v>$$$</v>
      </c>
      <c r="BR277" s="88" t="str">
        <f t="shared" ref="BR277" si="588">IFERROR($BQ277-$BF277*100*SUMPRODUCT(--($BS$4:$CD$4&lt;=$Q277))/SUMPRODUCT(--($BS$4:$CD$4&lt;=$Q277),$BS$7:$CD$7)-$BG277*100,"$$$")</f>
        <v>$$$</v>
      </c>
      <c r="BS277" s="29" t="e">
        <f t="shared" si="579"/>
        <v>#N/A</v>
      </c>
      <c r="BT277" s="29" t="e">
        <f t="shared" si="579"/>
        <v>#N/A</v>
      </c>
      <c r="BU277" s="29" t="e">
        <f t="shared" si="579"/>
        <v>#N/A</v>
      </c>
      <c r="BV277" s="29" t="e">
        <f t="shared" si="579"/>
        <v>#N/A</v>
      </c>
      <c r="BW277" s="29" t="e">
        <f t="shared" si="579"/>
        <v>#N/A</v>
      </c>
      <c r="BX277" s="29" t="e">
        <f t="shared" si="579"/>
        <v>#N/A</v>
      </c>
      <c r="BY277" s="29" t="e">
        <f t="shared" si="579"/>
        <v>#N/A</v>
      </c>
      <c r="BZ277" s="29" t="e">
        <f t="shared" si="579"/>
        <v>#N/A</v>
      </c>
      <c r="CA277" s="29" t="e">
        <f t="shared" si="579"/>
        <v>#N/A</v>
      </c>
      <c r="CB277" s="29" t="e">
        <f t="shared" si="579"/>
        <v>#N/A</v>
      </c>
      <c r="CC277" s="29" t="e">
        <f t="shared" si="579"/>
        <v>#N/A</v>
      </c>
      <c r="CD277" s="29" t="e">
        <f t="shared" si="579"/>
        <v>#N/A</v>
      </c>
      <c r="CE277" s="6" t="str">
        <f t="shared" si="550"/>
        <v/>
      </c>
      <c r="CF277" s="27" t="e">
        <f>IF(AND(CI277,NOT(AD277)),LOOKUP(CF$5,{0,750,1500},H277:J277),"")</f>
        <v>#N/A</v>
      </c>
      <c r="CG277" s="6" t="str">
        <f t="shared" si="551"/>
        <v/>
      </c>
      <c r="CH277" t="e">
        <f t="shared" si="580"/>
        <v>#N/A</v>
      </c>
      <c r="CI277" t="e">
        <f t="shared" si="581"/>
        <v>#N/A</v>
      </c>
      <c r="CJ277" s="6" t="e">
        <f t="shared" ref="CJ277" si="589">IF($E277=CJ$5,1,0)</f>
        <v>#N/A</v>
      </c>
      <c r="CK277" s="6">
        <f t="shared" ref="CK277" si="590">IF(CK$5="[Any]",1,IF($F277=CK$5,1,0))</f>
        <v>1</v>
      </c>
      <c r="CL277" s="6">
        <f t="shared" si="26"/>
        <v>1</v>
      </c>
      <c r="CM277" s="6">
        <f t="shared" ref="CM277" si="591">IF($O277="Fixed",1,0)</f>
        <v>1</v>
      </c>
      <c r="CN277" s="6">
        <f t="shared" ref="CN277" si="592">IF($Q277&gt;=CN$5,1,0)</f>
        <v>0</v>
      </c>
      <c r="CO277" s="6">
        <f t="shared" ref="CO277" si="593">IF($Q277&lt;=CO$5,1,0)</f>
        <v>1</v>
      </c>
      <c r="CP277" s="6">
        <f t="shared" ref="CP277" si="594">IF($P277&gt;=CP$5,1,0)</f>
        <v>1</v>
      </c>
      <c r="CQ277" s="6">
        <f t="shared" si="582"/>
        <v>1</v>
      </c>
      <c r="CR277" s="81" t="str">
        <f t="shared" ref="CR277" si="595">IF(ISNUMBER($CH277),$CH277+$CS277+$CW277,"")</f>
        <v/>
      </c>
      <c r="CS277">
        <f t="shared" si="583"/>
        <v>3.5999999999999992</v>
      </c>
      <c r="CT277">
        <f t="shared" si="19"/>
        <v>175</v>
      </c>
      <c r="CU277" t="str">
        <f t="shared" si="29"/>
        <v/>
      </c>
      <c r="CV277" s="81">
        <f t="shared" si="584"/>
        <v>175</v>
      </c>
      <c r="CW277" s="81">
        <f>(CV277/25)^1.5*(Calculator!$BU$4/10000)*CW$5</f>
        <v>47.821272343654172</v>
      </c>
      <c r="CX277" t="str">
        <f t="shared" si="585"/>
        <v>$175</v>
      </c>
    </row>
    <row r="278" spans="2:102" x14ac:dyDescent="0.25">
      <c r="B278" s="115" t="s">
        <v>233</v>
      </c>
      <c r="C278" s="13">
        <v>46251.443749999999</v>
      </c>
      <c r="D278">
        <v>35185</v>
      </c>
      <c r="E278" s="54" t="s">
        <v>235</v>
      </c>
      <c r="F278" s="54" t="s">
        <v>644</v>
      </c>
      <c r="G278" s="54" t="s">
        <v>1807</v>
      </c>
      <c r="H278" s="55">
        <v>11</v>
      </c>
      <c r="I278" s="55">
        <v>10.5</v>
      </c>
      <c r="J278" s="55">
        <v>10.299999999999999</v>
      </c>
      <c r="K278" s="54"/>
      <c r="L278" s="56" t="b">
        <v>0</v>
      </c>
      <c r="M278" s="56" t="b">
        <v>0</v>
      </c>
      <c r="N278" s="54">
        <v>1</v>
      </c>
      <c r="O278" s="54" t="s">
        <v>228</v>
      </c>
      <c r="P278" s="54">
        <v>23</v>
      </c>
      <c r="Q278" s="54">
        <v>5</v>
      </c>
      <c r="R278" s="54">
        <v>175</v>
      </c>
      <c r="S278" s="54" t="s">
        <v>646</v>
      </c>
      <c r="T278" s="54" t="s">
        <v>647</v>
      </c>
      <c r="U278" s="54" t="s">
        <v>648</v>
      </c>
      <c r="V278" s="54" t="s">
        <v>1630</v>
      </c>
      <c r="W278" s="54" t="b">
        <v>0</v>
      </c>
      <c r="X278" s="54"/>
      <c r="Y278" s="57" t="s">
        <v>2123</v>
      </c>
      <c r="Z278" s="54" t="s">
        <v>646</v>
      </c>
      <c r="AA278" s="54"/>
      <c r="AB278" s="54" t="s">
        <v>649</v>
      </c>
      <c r="AC278" s="56" t="b">
        <v>1</v>
      </c>
      <c r="AD278" s="56" t="b">
        <v>0</v>
      </c>
      <c r="AE278" s="54" t="s">
        <v>302</v>
      </c>
      <c r="AF278" s="58">
        <v>46249</v>
      </c>
      <c r="AG278" s="62" t="s">
        <v>293</v>
      </c>
      <c r="AH278" s="54">
        <v>0</v>
      </c>
      <c r="AI278" s="54"/>
      <c r="AJ278" s="54"/>
      <c r="AK278" s="54"/>
      <c r="AL278" s="54"/>
      <c r="AM278" s="54">
        <v>0</v>
      </c>
      <c r="AN278" s="54"/>
      <c r="AO278" s="54"/>
      <c r="AP278" s="54"/>
      <c r="AQ278" s="54"/>
      <c r="AR278" s="54"/>
      <c r="AS278" s="54"/>
      <c r="AT278" s="54"/>
      <c r="AU278" s="54"/>
      <c r="AV278" s="54"/>
      <c r="AW278" s="54"/>
      <c r="AX278" s="59"/>
      <c r="AY278" s="59"/>
      <c r="AZ278" s="59"/>
      <c r="BA278" s="59"/>
      <c r="BB278" s="59">
        <v>5.0700000000000002E-2</v>
      </c>
      <c r="BC278" s="60"/>
      <c r="BD278" s="61"/>
      <c r="BE278" s="62" t="s">
        <v>293</v>
      </c>
      <c r="BF278" s="35">
        <f t="shared" ref="BF278:BG279" si="596">IF($E278=$E$4,BF$4,IF($E278=$E$5,BF$5,""))</f>
        <v>4.9000000000000004</v>
      </c>
      <c r="BG278" s="35">
        <f t="shared" si="596"/>
        <v>4.9811000000000001E-2</v>
      </c>
      <c r="BH278" s="35" t="str">
        <f t="shared" ref="BH278:BH279" si="597">IF(ISTEXT(BE278),IF(AND(AV278=0,SUM(AN278:AQ278)=0),IF(AM278&lt;=0,IF(BE278="Y","Low","Flat"),"Med"),"High"),"?")</f>
        <v>Low</v>
      </c>
      <c r="BI278" s="110">
        <f t="shared" ref="BI278:BI279" si="598">IF(ISNUMBER(AH278),0*BI$5*SIN((EDATE($A$3,$Q278)-DATE(YEAR(EDATE($A$3,$Q278)),1,0)-BI$4)*2*PI()/365),"")</f>
        <v>0</v>
      </c>
      <c r="BJ278" s="83" t="str">
        <f>VLOOKUP($F278,REP_Info!$D$6:$H$250,5,FALSE)</f>
        <v/>
      </c>
      <c r="BK278" s="30">
        <f t="shared" ref="BK278:BN279" si="599">IF(BK$7&gt;0,(LOOKUP(BK$7,$AH278:$AL278,$AM278:$AQ278)+IF($AG278="Y",SUMPRODUCT($AX278:$BB278-$AW278:$BA278,BK$7-$AR278:$AV278,N(BK$7&gt;$AR278:$AV278)),BK$7*LOOKUP(BK$7,$AR278:$AV278,$AX278:$BB278))+IF($BE278="Y",$BF278,$BC278)+BK$7*IF($BE278="Y",$BG278,$BD278))*100/BK$7,"")</f>
        <v>11.0311</v>
      </c>
      <c r="BL278" s="30">
        <f t="shared" si="599"/>
        <v>10.5411</v>
      </c>
      <c r="BM278" s="30">
        <f t="shared" si="599"/>
        <v>10.296100000000003</v>
      </c>
      <c r="BN278" s="29">
        <f t="shared" si="599"/>
        <v>10.214433333333334</v>
      </c>
      <c r="BO278" s="85" t="str">
        <f t="shared" si="2"/>
        <v>$$$</v>
      </c>
      <c r="BP278" s="88" t="str">
        <f t="shared" ref="BP278:BP279" si="600">IFERROR(BO278*100/BO$5,"$$$")</f>
        <v>$$$</v>
      </c>
      <c r="BQ278" s="88" t="str">
        <f t="shared" si="4"/>
        <v>$$$</v>
      </c>
      <c r="BR278" s="88" t="str">
        <f t="shared" si="5"/>
        <v>$$$</v>
      </c>
      <c r="BS278" s="29" t="e">
        <f t="shared" ref="BS278:CD279" si="601">IF($CI278,IF(BS$7&gt;0,IF(BS$4&gt;$Q278,$BF278+BS$7*(BS$5+$BG278+$BI278),LOOKUP(BS$7,$AH278:$AL278,$AM278:$AQ278)+IF($AG278="Y",SUMPRODUCT($AX278:$BB278-$AW278:$BA278,BS$7-$AR278:$AV278,N(BS$7&gt;$AR278:$AV278)),BS$7*LOOKUP(BS$7,$AR278:$AV278,$AX278:$BB278))+IF($BE278="Y",$BF278,$BC278)+BS$7*IF($BE278="Y",$BG278,$BD278))*100/BS$7,""),NA())</f>
        <v>#N/A</v>
      </c>
      <c r="BT278" s="29" t="e">
        <f t="shared" si="601"/>
        <v>#N/A</v>
      </c>
      <c r="BU278" s="29" t="e">
        <f t="shared" si="601"/>
        <v>#N/A</v>
      </c>
      <c r="BV278" s="29" t="e">
        <f t="shared" si="601"/>
        <v>#N/A</v>
      </c>
      <c r="BW278" s="29" t="e">
        <f t="shared" si="601"/>
        <v>#N/A</v>
      </c>
      <c r="BX278" s="29" t="e">
        <f t="shared" si="601"/>
        <v>#N/A</v>
      </c>
      <c r="BY278" s="29" t="e">
        <f t="shared" si="601"/>
        <v>#N/A</v>
      </c>
      <c r="BZ278" s="29" t="e">
        <f t="shared" si="601"/>
        <v>#N/A</v>
      </c>
      <c r="CA278" s="29" t="e">
        <f t="shared" si="601"/>
        <v>#N/A</v>
      </c>
      <c r="CB278" s="29" t="e">
        <f t="shared" si="601"/>
        <v>#N/A</v>
      </c>
      <c r="CC278" s="29" t="e">
        <f t="shared" si="601"/>
        <v>#N/A</v>
      </c>
      <c r="CD278" s="29" t="e">
        <f t="shared" si="601"/>
        <v>#N/A</v>
      </c>
      <c r="CE278" s="6" t="str">
        <f t="shared" si="550"/>
        <v/>
      </c>
      <c r="CF278" s="27" t="e">
        <f>IF(AND(CI278,NOT(AD278)),LOOKUP(CF$5,{0,750,1500},H278:J278),"")</f>
        <v>#N/A</v>
      </c>
      <c r="CG278" s="6" t="str">
        <f t="shared" si="551"/>
        <v/>
      </c>
      <c r="CH278" t="e">
        <f t="shared" ref="CH278:CH279" si="602">IF(CI278,IF(ISNUMBER(BO278),BO278,100000)+CV278/10000+IF(ISNUMBER(BJ278),BJ278,2)/10000-P278/100000+ROW()/10000000,"")</f>
        <v>#N/A</v>
      </c>
      <c r="CI278" t="e">
        <f t="shared" ref="CI278:CI279" si="603">PRODUCT(CJ278:CQ278)</f>
        <v>#N/A</v>
      </c>
      <c r="CJ278" s="6" t="e">
        <f t="shared" si="11"/>
        <v>#N/A</v>
      </c>
      <c r="CK278" s="6">
        <f t="shared" si="12"/>
        <v>1</v>
      </c>
      <c r="CL278" s="6">
        <f t="shared" si="26"/>
        <v>1</v>
      </c>
      <c r="CM278" s="6">
        <f t="shared" si="13"/>
        <v>1</v>
      </c>
      <c r="CN278" s="6">
        <f t="shared" si="14"/>
        <v>0</v>
      </c>
      <c r="CO278" s="6">
        <f t="shared" si="15"/>
        <v>1</v>
      </c>
      <c r="CP278" s="6">
        <f t="shared" si="16"/>
        <v>1</v>
      </c>
      <c r="CQ278" s="6">
        <f t="shared" ref="CQ278:CQ279" si="604">IF(CQ$5="Any",1,IF(AND(CQ$5="Med",AV278=0,SUM(AN278:AQ278)=0),1,IF(AND(CQ$5="Low",AV278=0,SUM(AN278:AQ278)=0,AM278=0),1,IF(AND(CQ$5="Flat",AV278=0,SUM(AN278:AQ278)=0,AM278=0,IFERROR(NOT(BE278="Y"),0)),1,0))))</f>
        <v>1</v>
      </c>
      <c r="CR278" s="81" t="str">
        <f t="shared" si="17"/>
        <v/>
      </c>
      <c r="CS278">
        <f t="shared" ref="CS278:CS279" si="605">CS$5*(12/(MIN(12,Q278))-1)</f>
        <v>25.2</v>
      </c>
      <c r="CT278">
        <f t="shared" si="19"/>
        <v>175</v>
      </c>
      <c r="CU278" t="str">
        <f t="shared" si="29"/>
        <v/>
      </c>
      <c r="CV278" s="81">
        <f t="shared" ref="CV278:CV279" si="606">CT278*IF(CU278="",1,Q278)</f>
        <v>175</v>
      </c>
      <c r="CW278" s="81">
        <f>(CV278/25)^1.5*(Calculator!$BU$4/10000)*CW$5</f>
        <v>47.821272343654172</v>
      </c>
      <c r="CX278" t="str">
        <f t="shared" ref="CX278:CX279" si="607">"$"&amp;IF(LEFT(CU278,1)="r",CT278&amp;"/"&amp;CU278,CV278)</f>
        <v>$175</v>
      </c>
    </row>
    <row r="279" spans="2:102" x14ac:dyDescent="0.25">
      <c r="B279" s="115" t="s">
        <v>233</v>
      </c>
      <c r="C279" s="13">
        <v>46251.443749999999</v>
      </c>
      <c r="D279">
        <v>35186</v>
      </c>
      <c r="E279" s="54" t="s">
        <v>235</v>
      </c>
      <c r="F279" s="54" t="s">
        <v>644</v>
      </c>
      <c r="G279" s="54" t="s">
        <v>1808</v>
      </c>
      <c r="H279" s="55">
        <v>11.4</v>
      </c>
      <c r="I279" s="55">
        <v>10.9</v>
      </c>
      <c r="J279" s="55">
        <v>10.7</v>
      </c>
      <c r="K279" s="54"/>
      <c r="L279" s="56" t="b">
        <v>0</v>
      </c>
      <c r="M279" s="56" t="b">
        <v>0</v>
      </c>
      <c r="N279" s="54">
        <v>1</v>
      </c>
      <c r="O279" s="54" t="s">
        <v>228</v>
      </c>
      <c r="P279" s="54">
        <v>23</v>
      </c>
      <c r="Q279" s="54">
        <v>10</v>
      </c>
      <c r="R279" s="54">
        <v>175</v>
      </c>
      <c r="S279" s="54" t="s">
        <v>646</v>
      </c>
      <c r="T279" s="54" t="s">
        <v>647</v>
      </c>
      <c r="U279" s="54" t="s">
        <v>648</v>
      </c>
      <c r="V279" s="54" t="s">
        <v>1630</v>
      </c>
      <c r="W279" s="54" t="b">
        <v>0</v>
      </c>
      <c r="X279" s="54"/>
      <c r="Y279" s="57" t="s">
        <v>2124</v>
      </c>
      <c r="Z279" s="54" t="s">
        <v>646</v>
      </c>
      <c r="AA279" s="54"/>
      <c r="AB279" s="54" t="s">
        <v>649</v>
      </c>
      <c r="AC279" s="56" t="b">
        <v>1</v>
      </c>
      <c r="AD279" s="56" t="b">
        <v>0</v>
      </c>
      <c r="AE279" s="54" t="s">
        <v>302</v>
      </c>
      <c r="AF279" s="58">
        <v>46249</v>
      </c>
      <c r="AG279" s="62" t="s">
        <v>293</v>
      </c>
      <c r="AH279" s="54">
        <v>0</v>
      </c>
      <c r="AI279" s="54"/>
      <c r="AJ279" s="54"/>
      <c r="AK279" s="54"/>
      <c r="AL279" s="54"/>
      <c r="AM279" s="54">
        <v>0</v>
      </c>
      <c r="AN279" s="54"/>
      <c r="AO279" s="54"/>
      <c r="AP279" s="54"/>
      <c r="AQ279" s="54"/>
      <c r="AR279" s="54"/>
      <c r="AS279" s="54"/>
      <c r="AT279" s="54"/>
      <c r="AU279" s="54"/>
      <c r="AV279" s="54"/>
      <c r="AW279" s="54"/>
      <c r="AX279" s="59"/>
      <c r="AY279" s="59"/>
      <c r="AZ279" s="59"/>
      <c r="BA279" s="59"/>
      <c r="BB279" s="59">
        <v>5.4699999999999999E-2</v>
      </c>
      <c r="BC279" s="60"/>
      <c r="BD279" s="61"/>
      <c r="BE279" s="62" t="s">
        <v>293</v>
      </c>
      <c r="BF279" s="35">
        <f t="shared" si="596"/>
        <v>4.9000000000000004</v>
      </c>
      <c r="BG279" s="35">
        <f t="shared" si="596"/>
        <v>4.9811000000000001E-2</v>
      </c>
      <c r="BH279" s="35" t="str">
        <f t="shared" si="597"/>
        <v>Low</v>
      </c>
      <c r="BI279" s="110">
        <f t="shared" si="598"/>
        <v>0</v>
      </c>
      <c r="BJ279" s="83" t="str">
        <f>VLOOKUP($F279,REP_Info!$D$6:$H$250,5,FALSE)</f>
        <v/>
      </c>
      <c r="BK279" s="30">
        <f t="shared" si="599"/>
        <v>11.431100000000001</v>
      </c>
      <c r="BL279" s="30">
        <f t="shared" si="599"/>
        <v>10.9411</v>
      </c>
      <c r="BM279" s="30">
        <f t="shared" si="599"/>
        <v>10.696099999999999</v>
      </c>
      <c r="BN279" s="29">
        <f t="shared" si="599"/>
        <v>10.614433333333332</v>
      </c>
      <c r="BO279" s="85" t="str">
        <f t="shared" si="2"/>
        <v>$$$</v>
      </c>
      <c r="BP279" s="88" t="str">
        <f t="shared" si="600"/>
        <v>$$$</v>
      </c>
      <c r="BQ279" s="88" t="str">
        <f t="shared" si="4"/>
        <v>$$$</v>
      </c>
      <c r="BR279" s="88" t="str">
        <f t="shared" si="5"/>
        <v>$$$</v>
      </c>
      <c r="BS279" s="29" t="e">
        <f t="shared" si="601"/>
        <v>#N/A</v>
      </c>
      <c r="BT279" s="29" t="e">
        <f t="shared" si="601"/>
        <v>#N/A</v>
      </c>
      <c r="BU279" s="29" t="e">
        <f t="shared" si="601"/>
        <v>#N/A</v>
      </c>
      <c r="BV279" s="29" t="e">
        <f t="shared" si="601"/>
        <v>#N/A</v>
      </c>
      <c r="BW279" s="29" t="e">
        <f t="shared" si="601"/>
        <v>#N/A</v>
      </c>
      <c r="BX279" s="29" t="e">
        <f t="shared" si="601"/>
        <v>#N/A</v>
      </c>
      <c r="BY279" s="29" t="e">
        <f t="shared" si="601"/>
        <v>#N/A</v>
      </c>
      <c r="BZ279" s="29" t="e">
        <f t="shared" si="601"/>
        <v>#N/A</v>
      </c>
      <c r="CA279" s="29" t="e">
        <f t="shared" si="601"/>
        <v>#N/A</v>
      </c>
      <c r="CB279" s="29" t="e">
        <f t="shared" si="601"/>
        <v>#N/A</v>
      </c>
      <c r="CC279" s="29" t="e">
        <f t="shared" si="601"/>
        <v>#N/A</v>
      </c>
      <c r="CD279" s="29" t="e">
        <f t="shared" si="601"/>
        <v>#N/A</v>
      </c>
      <c r="CE279" s="6" t="str">
        <f t="shared" si="550"/>
        <v/>
      </c>
      <c r="CF279" s="27" t="e">
        <f>IF(AND(CI279,NOT(AD279)),LOOKUP(CF$5,{0,750,1500},H279:J279),"")</f>
        <v>#N/A</v>
      </c>
      <c r="CG279" s="6" t="str">
        <f t="shared" si="551"/>
        <v/>
      </c>
      <c r="CH279" t="e">
        <f t="shared" si="602"/>
        <v>#N/A</v>
      </c>
      <c r="CI279" t="e">
        <f t="shared" si="603"/>
        <v>#N/A</v>
      </c>
      <c r="CJ279" s="6" t="e">
        <f t="shared" si="11"/>
        <v>#N/A</v>
      </c>
      <c r="CK279" s="6">
        <f t="shared" si="12"/>
        <v>1</v>
      </c>
      <c r="CL279" s="6">
        <f t="shared" si="26"/>
        <v>1</v>
      </c>
      <c r="CM279" s="6">
        <f t="shared" si="13"/>
        <v>1</v>
      </c>
      <c r="CN279" s="6">
        <f t="shared" si="14"/>
        <v>0</v>
      </c>
      <c r="CO279" s="6">
        <f t="shared" si="15"/>
        <v>1</v>
      </c>
      <c r="CP279" s="6">
        <f t="shared" si="16"/>
        <v>1</v>
      </c>
      <c r="CQ279" s="6">
        <f t="shared" si="604"/>
        <v>1</v>
      </c>
      <c r="CR279" s="81" t="str">
        <f t="shared" si="17"/>
        <v/>
      </c>
      <c r="CS279">
        <f t="shared" si="605"/>
        <v>3.5999999999999992</v>
      </c>
      <c r="CT279">
        <f t="shared" si="19"/>
        <v>175</v>
      </c>
      <c r="CU279" t="str">
        <f t="shared" si="29"/>
        <v/>
      </c>
      <c r="CV279" s="81">
        <f t="shared" si="606"/>
        <v>175</v>
      </c>
      <c r="CW279" s="81">
        <f>(CV279/25)^1.5*(Calculator!$BU$4/10000)*CW$5</f>
        <v>47.821272343654172</v>
      </c>
      <c r="CX279" t="str">
        <f t="shared" si="607"/>
        <v>$175</v>
      </c>
    </row>
    <row r="280" spans="2:102" x14ac:dyDescent="0.25">
      <c r="B280" s="115" t="s">
        <v>233</v>
      </c>
      <c r="C280" s="13">
        <v>46251.443749999999</v>
      </c>
      <c r="D280">
        <v>36284</v>
      </c>
      <c r="E280" s="54" t="s">
        <v>235</v>
      </c>
      <c r="F280" s="54" t="s">
        <v>644</v>
      </c>
      <c r="G280" s="54" t="s">
        <v>645</v>
      </c>
      <c r="H280" s="55">
        <v>11.700000000000001</v>
      </c>
      <c r="I280" s="55">
        <v>11.200000000000001</v>
      </c>
      <c r="J280" s="55">
        <v>11</v>
      </c>
      <c r="K280" s="54"/>
      <c r="L280" s="56" t="b">
        <v>0</v>
      </c>
      <c r="M280" s="56" t="b">
        <v>0</v>
      </c>
      <c r="N280" s="54">
        <v>1</v>
      </c>
      <c r="O280" s="54" t="s">
        <v>228</v>
      </c>
      <c r="P280" s="54">
        <v>23</v>
      </c>
      <c r="Q280" s="54">
        <v>12</v>
      </c>
      <c r="R280" s="54">
        <v>175</v>
      </c>
      <c r="S280" s="54" t="s">
        <v>646</v>
      </c>
      <c r="T280" s="54" t="s">
        <v>647</v>
      </c>
      <c r="U280" s="54" t="s">
        <v>648</v>
      </c>
      <c r="V280" s="54" t="s">
        <v>1630</v>
      </c>
      <c r="W280" s="54" t="b">
        <v>0</v>
      </c>
      <c r="X280" s="54"/>
      <c r="Y280" s="57" t="s">
        <v>2125</v>
      </c>
      <c r="Z280" s="54" t="s">
        <v>646</v>
      </c>
      <c r="AA280" s="54"/>
      <c r="AB280" s="54" t="s">
        <v>649</v>
      </c>
      <c r="AC280" s="56" t="b">
        <v>1</v>
      </c>
      <c r="AD280" s="56" t="b">
        <v>0</v>
      </c>
      <c r="AE280" s="54" t="s">
        <v>302</v>
      </c>
      <c r="AF280" s="58">
        <v>46251</v>
      </c>
      <c r="AG280" s="62" t="s">
        <v>293</v>
      </c>
      <c r="AH280" s="54">
        <v>0</v>
      </c>
      <c r="AI280" s="54"/>
      <c r="AJ280" s="54"/>
      <c r="AK280" s="54"/>
      <c r="AL280" s="54"/>
      <c r="AM280" s="54">
        <v>0</v>
      </c>
      <c r="AN280" s="54"/>
      <c r="AO280" s="54"/>
      <c r="AP280" s="54"/>
      <c r="AQ280" s="54"/>
      <c r="AR280" s="54"/>
      <c r="AS280" s="54"/>
      <c r="AT280" s="54"/>
      <c r="AU280" s="54"/>
      <c r="AV280" s="54"/>
      <c r="AW280" s="54"/>
      <c r="AX280" s="59"/>
      <c r="AY280" s="59"/>
      <c r="AZ280" s="59"/>
      <c r="BA280" s="59"/>
      <c r="BB280" s="59">
        <v>5.7700000000000001E-2</v>
      </c>
      <c r="BC280" s="60"/>
      <c r="BD280" s="61"/>
      <c r="BE280" s="62" t="s">
        <v>293</v>
      </c>
      <c r="BF280" s="35">
        <f t="shared" ref="BF280:BG287" si="608">IF($E280=$E$4,BF$4,IF($E280=$E$5,BF$5,""))</f>
        <v>4.9000000000000004</v>
      </c>
      <c r="BG280" s="35">
        <f t="shared" si="608"/>
        <v>4.9811000000000001E-2</v>
      </c>
      <c r="BH280" s="35" t="str">
        <f t="shared" ref="BH280:BH287" si="609">IF(ISTEXT(BE280),IF(AND(AV280=0,SUM(AN280:AQ280)=0),IF(AM280&lt;=0,IF(BE280="Y","Low","Flat"),"Med"),"High"),"?")</f>
        <v>Low</v>
      </c>
      <c r="BI280" s="110">
        <f t="shared" ref="BI280:BI287" si="610">IF(ISNUMBER(AH280),0*BI$5*SIN((EDATE($A$3,$Q280)-DATE(YEAR(EDATE($A$3,$Q280)),1,0)-BI$4)*2*PI()/365),"")</f>
        <v>0</v>
      </c>
      <c r="BJ280" s="83" t="str">
        <f>VLOOKUP($F280,REP_Info!$D$6:$H$250,5,FALSE)</f>
        <v/>
      </c>
      <c r="BK280" s="30">
        <f t="shared" ref="BK280:BN287" si="611">IF(BK$7&gt;0,(LOOKUP(BK$7,$AH280:$AL280,$AM280:$AQ280)+IF($AG280="Y",SUMPRODUCT($AX280:$BB280-$AW280:$BA280,BK$7-$AR280:$AV280,N(BK$7&gt;$AR280:$AV280)),BK$7*LOOKUP(BK$7,$AR280:$AV280,$AX280:$BB280))+IF($BE280="Y",$BF280,$BC280)+BK$7*IF($BE280="Y",$BG280,$BD280))*100/BK$7,"")</f>
        <v>11.7311</v>
      </c>
      <c r="BL280" s="30">
        <f t="shared" si="611"/>
        <v>11.241100000000001</v>
      </c>
      <c r="BM280" s="30">
        <f t="shared" si="611"/>
        <v>10.996100000000002</v>
      </c>
      <c r="BN280" s="29">
        <f t="shared" si="611"/>
        <v>10.914433333333333</v>
      </c>
      <c r="BO280" s="85" t="str">
        <f t="shared" si="2"/>
        <v>$$$</v>
      </c>
      <c r="BP280" s="88" t="str">
        <f t="shared" ref="BP280:BP287" si="612">IFERROR(BO280*100/BO$5,"$$$")</f>
        <v>$$$</v>
      </c>
      <c r="BQ280" s="88" t="str">
        <f t="shared" si="4"/>
        <v>$$$</v>
      </c>
      <c r="BR280" s="88" t="str">
        <f t="shared" si="5"/>
        <v>$$$</v>
      </c>
      <c r="BS280" s="29" t="e">
        <f t="shared" ref="BS280:CD287" si="613">IF($CI280,IF(BS$7&gt;0,IF(BS$4&gt;$Q280,$BF280+BS$7*(BS$5+$BG280+$BI280),LOOKUP(BS$7,$AH280:$AL280,$AM280:$AQ280)+IF($AG280="Y",SUMPRODUCT($AX280:$BB280-$AW280:$BA280,BS$7-$AR280:$AV280,N(BS$7&gt;$AR280:$AV280)),BS$7*LOOKUP(BS$7,$AR280:$AV280,$AX280:$BB280))+IF($BE280="Y",$BF280,$BC280)+BS$7*IF($BE280="Y",$BG280,$BD280))*100/BS$7,""),NA())</f>
        <v>#N/A</v>
      </c>
      <c r="BT280" s="29" t="e">
        <f t="shared" si="613"/>
        <v>#N/A</v>
      </c>
      <c r="BU280" s="29" t="e">
        <f t="shared" si="613"/>
        <v>#N/A</v>
      </c>
      <c r="BV280" s="29" t="e">
        <f t="shared" si="613"/>
        <v>#N/A</v>
      </c>
      <c r="BW280" s="29" t="e">
        <f t="shared" si="613"/>
        <v>#N/A</v>
      </c>
      <c r="BX280" s="29" t="e">
        <f t="shared" si="613"/>
        <v>#N/A</v>
      </c>
      <c r="BY280" s="29" t="e">
        <f t="shared" si="613"/>
        <v>#N/A</v>
      </c>
      <c r="BZ280" s="29" t="e">
        <f t="shared" si="613"/>
        <v>#N/A</v>
      </c>
      <c r="CA280" s="29" t="e">
        <f t="shared" si="613"/>
        <v>#N/A</v>
      </c>
      <c r="CB280" s="29" t="e">
        <f t="shared" si="613"/>
        <v>#N/A</v>
      </c>
      <c r="CC280" s="29" t="e">
        <f t="shared" si="613"/>
        <v>#N/A</v>
      </c>
      <c r="CD280" s="29" t="e">
        <f t="shared" si="613"/>
        <v>#N/A</v>
      </c>
      <c r="CE280" s="6" t="str">
        <f t="shared" si="550"/>
        <v/>
      </c>
      <c r="CF280" s="27" t="e">
        <f>IF(AND(CI280,NOT(AD280)),LOOKUP(CF$5,{0,750,1500},H280:J280),"")</f>
        <v>#N/A</v>
      </c>
      <c r="CG280" s="6" t="str">
        <f t="shared" si="551"/>
        <v/>
      </c>
      <c r="CH280" t="e">
        <f t="shared" ref="CH280:CH287" si="614">IF(CI280,IF(ISNUMBER(BO280),BO280,100000)+CV280/10000+IF(ISNUMBER(BJ280),BJ280,2)/10000-P280/100000+ROW()/10000000,"")</f>
        <v>#N/A</v>
      </c>
      <c r="CI280" t="e">
        <f t="shared" ref="CI280:CI287" si="615">PRODUCT(CJ280:CQ280)</f>
        <v>#N/A</v>
      </c>
      <c r="CJ280" s="6" t="e">
        <f t="shared" si="11"/>
        <v>#N/A</v>
      </c>
      <c r="CK280" s="6">
        <f t="shared" si="12"/>
        <v>1</v>
      </c>
      <c r="CL280" s="6">
        <f t="shared" si="26"/>
        <v>1</v>
      </c>
      <c r="CM280" s="6">
        <f t="shared" si="13"/>
        <v>1</v>
      </c>
      <c r="CN280" s="6">
        <f t="shared" si="14"/>
        <v>1</v>
      </c>
      <c r="CO280" s="6">
        <f t="shared" si="15"/>
        <v>1</v>
      </c>
      <c r="CP280" s="6">
        <f t="shared" si="16"/>
        <v>1</v>
      </c>
      <c r="CQ280" s="6">
        <f t="shared" ref="CQ280:CQ287" si="616">IF(CQ$5="Any",1,IF(AND(CQ$5="Med",AV280=0,SUM(AN280:AQ280)=0),1,IF(AND(CQ$5="Low",AV280=0,SUM(AN280:AQ280)=0,AM280=0),1,IF(AND(CQ$5="Flat",AV280=0,SUM(AN280:AQ280)=0,AM280=0,IFERROR(NOT(BE280="Y"),0)),1,0))))</f>
        <v>1</v>
      </c>
      <c r="CR280" s="81" t="str">
        <f t="shared" si="17"/>
        <v/>
      </c>
      <c r="CS280">
        <f t="shared" ref="CS280:CS287" si="617">CS$5*(12/(MIN(12,Q280))-1)</f>
        <v>0</v>
      </c>
      <c r="CT280">
        <f t="shared" si="19"/>
        <v>175</v>
      </c>
      <c r="CU280" t="str">
        <f t="shared" si="29"/>
        <v/>
      </c>
      <c r="CV280" s="81">
        <f t="shared" ref="CV280:CV287" si="618">CT280*IF(CU280="",1,Q280)</f>
        <v>175</v>
      </c>
      <c r="CW280" s="81">
        <f>(CV280/25)^1.5*(Calculator!$BU$4/10000)*CW$5</f>
        <v>47.821272343654172</v>
      </c>
      <c r="CX280" t="str">
        <f t="shared" ref="CX280:CX287" si="619">"$"&amp;IF(LEFT(CU280,1)="r",CT280&amp;"/"&amp;CU280,CV280)</f>
        <v>$175</v>
      </c>
    </row>
    <row r="281" spans="2:102" x14ac:dyDescent="0.25">
      <c r="B281" s="115" t="s">
        <v>233</v>
      </c>
      <c r="C281" s="13">
        <v>46238.55972222222</v>
      </c>
      <c r="D281">
        <v>36285</v>
      </c>
      <c r="E281" s="54" t="s">
        <v>237</v>
      </c>
      <c r="F281" s="54" t="s">
        <v>644</v>
      </c>
      <c r="G281" s="54" t="s">
        <v>645</v>
      </c>
      <c r="H281" s="55">
        <v>12.7</v>
      </c>
      <c r="I281" s="55">
        <v>12.3</v>
      </c>
      <c r="J281" s="55">
        <v>12.1</v>
      </c>
      <c r="K281" s="54"/>
      <c r="L281" s="56" t="b">
        <v>0</v>
      </c>
      <c r="M281" s="56" t="b">
        <v>0</v>
      </c>
      <c r="N281" s="54">
        <v>1</v>
      </c>
      <c r="O281" s="54" t="s">
        <v>228</v>
      </c>
      <c r="P281" s="54">
        <v>23</v>
      </c>
      <c r="Q281" s="54">
        <v>12</v>
      </c>
      <c r="R281" s="54">
        <v>175</v>
      </c>
      <c r="S281" s="54" t="s">
        <v>646</v>
      </c>
      <c r="T281" s="54" t="s">
        <v>647</v>
      </c>
      <c r="U281" s="54" t="s">
        <v>648</v>
      </c>
      <c r="V281" s="54" t="s">
        <v>1630</v>
      </c>
      <c r="W281" s="54" t="b">
        <v>0</v>
      </c>
      <c r="X281" s="54"/>
      <c r="Y281" s="57" t="s">
        <v>1879</v>
      </c>
      <c r="Z281" s="54" t="s">
        <v>646</v>
      </c>
      <c r="AA281" s="54"/>
      <c r="AB281" s="54" t="s">
        <v>649</v>
      </c>
      <c r="AC281" s="56" t="b">
        <v>1</v>
      </c>
      <c r="AD281" s="56" t="b">
        <v>0</v>
      </c>
      <c r="AE281" s="54" t="s">
        <v>302</v>
      </c>
      <c r="AF281" s="58">
        <v>46238</v>
      </c>
      <c r="AG281" s="62" t="s">
        <v>293</v>
      </c>
      <c r="AH281" s="54">
        <v>0</v>
      </c>
      <c r="AI281" s="54"/>
      <c r="AJ281" s="54"/>
      <c r="AK281" s="54"/>
      <c r="AL281" s="54"/>
      <c r="AM281" s="54">
        <v>0</v>
      </c>
      <c r="AN281" s="54"/>
      <c r="AO281" s="54"/>
      <c r="AP281" s="54"/>
      <c r="AQ281" s="54"/>
      <c r="AR281" s="54"/>
      <c r="AS281" s="54"/>
      <c r="AT281" s="54"/>
      <c r="AU281" s="54"/>
      <c r="AV281" s="54"/>
      <c r="AW281" s="54"/>
      <c r="AX281" s="59"/>
      <c r="AY281" s="59"/>
      <c r="AZ281" s="59"/>
      <c r="BA281" s="59"/>
      <c r="BB281" s="59">
        <v>5.8700000000000002E-2</v>
      </c>
      <c r="BC281" s="60"/>
      <c r="BD281" s="61"/>
      <c r="BE281" s="62" t="s">
        <v>293</v>
      </c>
      <c r="BF281" s="35">
        <f t="shared" si="608"/>
        <v>4.0600000000000005</v>
      </c>
      <c r="BG281" s="35">
        <f t="shared" si="608"/>
        <v>6.0295000000000001E-2</v>
      </c>
      <c r="BH281" s="35" t="str">
        <f t="shared" si="609"/>
        <v>Low</v>
      </c>
      <c r="BI281" s="110">
        <f t="shared" si="610"/>
        <v>0</v>
      </c>
      <c r="BJ281" s="83" t="str">
        <f>VLOOKUP($F281,REP_Info!$D$6:$H$250,5,FALSE)</f>
        <v/>
      </c>
      <c r="BK281" s="30">
        <f t="shared" si="611"/>
        <v>12.711499999999999</v>
      </c>
      <c r="BL281" s="30">
        <f t="shared" si="611"/>
        <v>12.3055</v>
      </c>
      <c r="BM281" s="30">
        <f t="shared" si="611"/>
        <v>12.102499999999999</v>
      </c>
      <c r="BN281" s="29">
        <f t="shared" si="611"/>
        <v>12.034833333333331</v>
      </c>
      <c r="BO281" s="85" t="str">
        <f t="shared" si="2"/>
        <v>$$$</v>
      </c>
      <c r="BP281" s="88" t="str">
        <f t="shared" si="612"/>
        <v>$$$</v>
      </c>
      <c r="BQ281" s="88" t="str">
        <f t="shared" si="4"/>
        <v>$$$</v>
      </c>
      <c r="BR281" s="88" t="str">
        <f t="shared" si="5"/>
        <v>$$$</v>
      </c>
      <c r="BS281" s="29" t="e">
        <f t="shared" si="613"/>
        <v>#N/A</v>
      </c>
      <c r="BT281" s="29" t="e">
        <f t="shared" si="613"/>
        <v>#N/A</v>
      </c>
      <c r="BU281" s="29" t="e">
        <f t="shared" si="613"/>
        <v>#N/A</v>
      </c>
      <c r="BV281" s="29" t="e">
        <f t="shared" si="613"/>
        <v>#N/A</v>
      </c>
      <c r="BW281" s="29" t="e">
        <f t="shared" si="613"/>
        <v>#N/A</v>
      </c>
      <c r="BX281" s="29" t="e">
        <f t="shared" si="613"/>
        <v>#N/A</v>
      </c>
      <c r="BY281" s="29" t="e">
        <f t="shared" si="613"/>
        <v>#N/A</v>
      </c>
      <c r="BZ281" s="29" t="e">
        <f t="shared" si="613"/>
        <v>#N/A</v>
      </c>
      <c r="CA281" s="29" t="e">
        <f t="shared" si="613"/>
        <v>#N/A</v>
      </c>
      <c r="CB281" s="29" t="e">
        <f t="shared" si="613"/>
        <v>#N/A</v>
      </c>
      <c r="CC281" s="29" t="e">
        <f t="shared" si="613"/>
        <v>#N/A</v>
      </c>
      <c r="CD281" s="29" t="e">
        <f t="shared" si="613"/>
        <v>#N/A</v>
      </c>
      <c r="CE281" s="6" t="str">
        <f t="shared" si="550"/>
        <v/>
      </c>
      <c r="CF281" s="27" t="e">
        <f>IF(AND(CI281,NOT(AD281)),LOOKUP(CF$5,{0,750,1500},H281:J281),"")</f>
        <v>#N/A</v>
      </c>
      <c r="CG281" s="6" t="str">
        <f t="shared" si="551"/>
        <v/>
      </c>
      <c r="CH281" t="e">
        <f t="shared" si="614"/>
        <v>#N/A</v>
      </c>
      <c r="CI281" t="e">
        <f t="shared" si="615"/>
        <v>#N/A</v>
      </c>
      <c r="CJ281" s="6" t="e">
        <f t="shared" si="11"/>
        <v>#N/A</v>
      </c>
      <c r="CK281" s="6">
        <f t="shared" si="12"/>
        <v>1</v>
      </c>
      <c r="CL281" s="6">
        <f t="shared" si="26"/>
        <v>1</v>
      </c>
      <c r="CM281" s="6">
        <f t="shared" si="13"/>
        <v>1</v>
      </c>
      <c r="CN281" s="6">
        <f t="shared" si="14"/>
        <v>1</v>
      </c>
      <c r="CO281" s="6">
        <f t="shared" si="15"/>
        <v>1</v>
      </c>
      <c r="CP281" s="6">
        <f t="shared" si="16"/>
        <v>1</v>
      </c>
      <c r="CQ281" s="6">
        <f t="shared" si="616"/>
        <v>1</v>
      </c>
      <c r="CR281" s="81" t="str">
        <f t="shared" si="17"/>
        <v/>
      </c>
      <c r="CS281">
        <f t="shared" si="617"/>
        <v>0</v>
      </c>
      <c r="CT281">
        <f t="shared" si="19"/>
        <v>175</v>
      </c>
      <c r="CU281" t="str">
        <f t="shared" si="29"/>
        <v/>
      </c>
      <c r="CV281" s="81">
        <f t="shared" si="618"/>
        <v>175</v>
      </c>
      <c r="CW281" s="81">
        <f>(CV281/25)^1.5*(Calculator!$BU$4/10000)*CW$5</f>
        <v>47.821272343654172</v>
      </c>
      <c r="CX281" t="str">
        <f t="shared" si="619"/>
        <v>$175</v>
      </c>
    </row>
    <row r="282" spans="2:102" x14ac:dyDescent="0.25">
      <c r="B282" s="115" t="s">
        <v>233</v>
      </c>
      <c r="C282" s="13">
        <v>46238.55972222222</v>
      </c>
      <c r="D282">
        <v>37174</v>
      </c>
      <c r="E282" s="54" t="s">
        <v>237</v>
      </c>
      <c r="F282" s="54" t="s">
        <v>644</v>
      </c>
      <c r="G282" s="54" t="s">
        <v>1809</v>
      </c>
      <c r="H282" s="55">
        <v>13</v>
      </c>
      <c r="I282" s="55">
        <v>12.6</v>
      </c>
      <c r="J282" s="55">
        <v>12.4</v>
      </c>
      <c r="K282" s="54"/>
      <c r="L282" s="56" t="b">
        <v>0</v>
      </c>
      <c r="M282" s="56" t="b">
        <v>0</v>
      </c>
      <c r="N282" s="54">
        <v>1</v>
      </c>
      <c r="O282" s="54" t="s">
        <v>228</v>
      </c>
      <c r="P282" s="54">
        <v>23</v>
      </c>
      <c r="Q282" s="54">
        <v>23</v>
      </c>
      <c r="R282" s="54">
        <v>175</v>
      </c>
      <c r="S282" s="54" t="s">
        <v>646</v>
      </c>
      <c r="T282" s="54" t="s">
        <v>647</v>
      </c>
      <c r="U282" s="54" t="s">
        <v>648</v>
      </c>
      <c r="V282" s="54" t="s">
        <v>1630</v>
      </c>
      <c r="W282" s="54" t="b">
        <v>0</v>
      </c>
      <c r="X282" s="54"/>
      <c r="Y282" s="57" t="s">
        <v>1880</v>
      </c>
      <c r="Z282" s="54" t="s">
        <v>646</v>
      </c>
      <c r="AA282" s="54"/>
      <c r="AB282" s="54" t="s">
        <v>649</v>
      </c>
      <c r="AC282" s="56" t="b">
        <v>1</v>
      </c>
      <c r="AD282" s="56" t="b">
        <v>0</v>
      </c>
      <c r="AE282" s="54" t="s">
        <v>302</v>
      </c>
      <c r="AF282" s="58">
        <v>46238</v>
      </c>
      <c r="AG282" s="62" t="s">
        <v>293</v>
      </c>
      <c r="AH282" s="54">
        <v>0</v>
      </c>
      <c r="AI282" s="54"/>
      <c r="AJ282" s="54"/>
      <c r="AK282" s="54"/>
      <c r="AL282" s="54"/>
      <c r="AM282" s="54">
        <v>0</v>
      </c>
      <c r="AN282" s="54"/>
      <c r="AO282" s="54"/>
      <c r="AP282" s="54"/>
      <c r="AQ282" s="54"/>
      <c r="AR282" s="54"/>
      <c r="AS282" s="54"/>
      <c r="AT282" s="54"/>
      <c r="AU282" s="54"/>
      <c r="AV282" s="54"/>
      <c r="AW282" s="54"/>
      <c r="AX282" s="59"/>
      <c r="AY282" s="59"/>
      <c r="AZ282" s="59"/>
      <c r="BA282" s="59"/>
      <c r="BB282" s="59">
        <v>6.1899999999999997E-2</v>
      </c>
      <c r="BC282" s="60"/>
      <c r="BD282" s="61"/>
      <c r="BE282" s="62" t="s">
        <v>293</v>
      </c>
      <c r="BF282" s="35">
        <f t="shared" si="608"/>
        <v>4.0600000000000005</v>
      </c>
      <c r="BG282" s="35">
        <f t="shared" si="608"/>
        <v>6.0295000000000001E-2</v>
      </c>
      <c r="BH282" s="35" t="str">
        <f t="shared" si="609"/>
        <v>Low</v>
      </c>
      <c r="BI282" s="110">
        <f t="shared" si="610"/>
        <v>0</v>
      </c>
      <c r="BJ282" s="83" t="str">
        <f>VLOOKUP($F282,REP_Info!$D$6:$H$250,5,FALSE)</f>
        <v/>
      </c>
      <c r="BK282" s="30">
        <f t="shared" si="611"/>
        <v>13.031499999999999</v>
      </c>
      <c r="BL282" s="30">
        <f t="shared" si="611"/>
        <v>12.625500000000001</v>
      </c>
      <c r="BM282" s="30">
        <f t="shared" si="611"/>
        <v>12.422499999999999</v>
      </c>
      <c r="BN282" s="29">
        <f t="shared" si="611"/>
        <v>12.354833333333334</v>
      </c>
      <c r="BO282" s="85" t="str">
        <f t="shared" si="2"/>
        <v>$$$</v>
      </c>
      <c r="BP282" s="88" t="str">
        <f t="shared" si="612"/>
        <v>$$$</v>
      </c>
      <c r="BQ282" s="88" t="str">
        <f t="shared" si="4"/>
        <v>$$$</v>
      </c>
      <c r="BR282" s="88" t="str">
        <f t="shared" si="5"/>
        <v>$$$</v>
      </c>
      <c r="BS282" s="29" t="e">
        <f t="shared" si="613"/>
        <v>#N/A</v>
      </c>
      <c r="BT282" s="29" t="e">
        <f t="shared" si="613"/>
        <v>#N/A</v>
      </c>
      <c r="BU282" s="29" t="e">
        <f t="shared" si="613"/>
        <v>#N/A</v>
      </c>
      <c r="BV282" s="29" t="e">
        <f t="shared" si="613"/>
        <v>#N/A</v>
      </c>
      <c r="BW282" s="29" t="e">
        <f t="shared" si="613"/>
        <v>#N/A</v>
      </c>
      <c r="BX282" s="29" t="e">
        <f t="shared" si="613"/>
        <v>#N/A</v>
      </c>
      <c r="BY282" s="29" t="e">
        <f t="shared" si="613"/>
        <v>#N/A</v>
      </c>
      <c r="BZ282" s="29" t="e">
        <f t="shared" si="613"/>
        <v>#N/A</v>
      </c>
      <c r="CA282" s="29" t="e">
        <f t="shared" si="613"/>
        <v>#N/A</v>
      </c>
      <c r="CB282" s="29" t="e">
        <f t="shared" si="613"/>
        <v>#N/A</v>
      </c>
      <c r="CC282" s="29" t="e">
        <f t="shared" si="613"/>
        <v>#N/A</v>
      </c>
      <c r="CD282" s="29" t="e">
        <f t="shared" si="613"/>
        <v>#N/A</v>
      </c>
      <c r="CE282" s="6" t="str">
        <f t="shared" si="550"/>
        <v/>
      </c>
      <c r="CF282" s="27" t="e">
        <f>IF(AND(CI282,NOT(AD282)),LOOKUP(CF$5,{0,750,1500},H282:J282),"")</f>
        <v>#N/A</v>
      </c>
      <c r="CG282" s="6" t="str">
        <f t="shared" si="551"/>
        <v/>
      </c>
      <c r="CH282" t="e">
        <f t="shared" si="614"/>
        <v>#N/A</v>
      </c>
      <c r="CI282" t="e">
        <f t="shared" si="615"/>
        <v>#N/A</v>
      </c>
      <c r="CJ282" s="6" t="e">
        <f t="shared" si="11"/>
        <v>#N/A</v>
      </c>
      <c r="CK282" s="6">
        <f t="shared" si="12"/>
        <v>1</v>
      </c>
      <c r="CL282" s="6">
        <f t="shared" si="26"/>
        <v>1</v>
      </c>
      <c r="CM282" s="6">
        <f t="shared" si="13"/>
        <v>1</v>
      </c>
      <c r="CN282" s="6">
        <f t="shared" si="14"/>
        <v>1</v>
      </c>
      <c r="CO282" s="6">
        <f t="shared" si="15"/>
        <v>0</v>
      </c>
      <c r="CP282" s="6">
        <f t="shared" si="16"/>
        <v>1</v>
      </c>
      <c r="CQ282" s="6">
        <f t="shared" si="616"/>
        <v>1</v>
      </c>
      <c r="CR282" s="81" t="str">
        <f t="shared" si="17"/>
        <v/>
      </c>
      <c r="CS282">
        <f t="shared" si="617"/>
        <v>0</v>
      </c>
      <c r="CT282">
        <f t="shared" si="19"/>
        <v>175</v>
      </c>
      <c r="CU282" t="str">
        <f t="shared" si="29"/>
        <v/>
      </c>
      <c r="CV282" s="81">
        <f t="shared" si="618"/>
        <v>175</v>
      </c>
      <c r="CW282" s="81">
        <f>(CV282/25)^1.5*(Calculator!$BU$4/10000)*CW$5</f>
        <v>47.821272343654172</v>
      </c>
      <c r="CX282" t="str">
        <f t="shared" si="619"/>
        <v>$175</v>
      </c>
    </row>
    <row r="283" spans="2:102" x14ac:dyDescent="0.25">
      <c r="B283" s="115" t="s">
        <v>233</v>
      </c>
      <c r="C283" s="13">
        <v>46251.443749999999</v>
      </c>
      <c r="D283">
        <v>37177</v>
      </c>
      <c r="E283" s="54" t="s">
        <v>235</v>
      </c>
      <c r="F283" s="54" t="s">
        <v>644</v>
      </c>
      <c r="G283" s="54" t="s">
        <v>1809</v>
      </c>
      <c r="H283" s="55">
        <v>12</v>
      </c>
      <c r="I283" s="55">
        <v>11.5</v>
      </c>
      <c r="J283" s="55">
        <v>11.3</v>
      </c>
      <c r="K283" s="54"/>
      <c r="L283" s="56" t="b">
        <v>0</v>
      </c>
      <c r="M283" s="56" t="b">
        <v>0</v>
      </c>
      <c r="N283" s="54">
        <v>1</v>
      </c>
      <c r="O283" s="54" t="s">
        <v>228</v>
      </c>
      <c r="P283" s="54">
        <v>23</v>
      </c>
      <c r="Q283" s="54">
        <v>23</v>
      </c>
      <c r="R283" s="54">
        <v>175</v>
      </c>
      <c r="S283" s="54" t="s">
        <v>646</v>
      </c>
      <c r="T283" s="54" t="s">
        <v>647</v>
      </c>
      <c r="U283" s="54" t="s">
        <v>648</v>
      </c>
      <c r="V283" s="54" t="s">
        <v>1630</v>
      </c>
      <c r="W283" s="54" t="b">
        <v>0</v>
      </c>
      <c r="X283" s="54"/>
      <c r="Y283" s="57" t="s">
        <v>2126</v>
      </c>
      <c r="Z283" s="54" t="s">
        <v>646</v>
      </c>
      <c r="AA283" s="54"/>
      <c r="AB283" s="54" t="s">
        <v>649</v>
      </c>
      <c r="AC283" s="56" t="b">
        <v>1</v>
      </c>
      <c r="AD283" s="56" t="b">
        <v>0</v>
      </c>
      <c r="AE283" s="54" t="s">
        <v>302</v>
      </c>
      <c r="AF283" s="58">
        <v>46249</v>
      </c>
      <c r="AG283" s="62" t="s">
        <v>293</v>
      </c>
      <c r="AH283" s="54">
        <v>0</v>
      </c>
      <c r="AI283" s="54"/>
      <c r="AJ283" s="54"/>
      <c r="AK283" s="54"/>
      <c r="AL283" s="54"/>
      <c r="AM283" s="54">
        <v>0</v>
      </c>
      <c r="AN283" s="54"/>
      <c r="AO283" s="54"/>
      <c r="AP283" s="54"/>
      <c r="AQ283" s="54"/>
      <c r="AR283" s="54"/>
      <c r="AS283" s="54"/>
      <c r="AT283" s="54"/>
      <c r="AU283" s="54"/>
      <c r="AV283" s="54"/>
      <c r="AW283" s="54"/>
      <c r="AX283" s="59"/>
      <c r="AY283" s="59"/>
      <c r="AZ283" s="59"/>
      <c r="BA283" s="59"/>
      <c r="BB283" s="59">
        <v>6.0699999999999997E-2</v>
      </c>
      <c r="BC283" s="60"/>
      <c r="BD283" s="61"/>
      <c r="BE283" s="62" t="s">
        <v>293</v>
      </c>
      <c r="BF283" s="35">
        <f t="shared" si="608"/>
        <v>4.9000000000000004</v>
      </c>
      <c r="BG283" s="35">
        <f t="shared" si="608"/>
        <v>4.9811000000000001E-2</v>
      </c>
      <c r="BH283" s="35" t="str">
        <f t="shared" si="609"/>
        <v>Low</v>
      </c>
      <c r="BI283" s="110">
        <f t="shared" si="610"/>
        <v>0</v>
      </c>
      <c r="BJ283" s="83" t="str">
        <f>VLOOKUP($F283,REP_Info!$D$6:$H$250,5,FALSE)</f>
        <v/>
      </c>
      <c r="BK283" s="30">
        <f t="shared" si="611"/>
        <v>12.0311</v>
      </c>
      <c r="BL283" s="30">
        <f t="shared" si="611"/>
        <v>11.5411</v>
      </c>
      <c r="BM283" s="30">
        <f t="shared" si="611"/>
        <v>11.296100000000001</v>
      </c>
      <c r="BN283" s="29">
        <f t="shared" si="611"/>
        <v>11.214433333333334</v>
      </c>
      <c r="BO283" s="85" t="str">
        <f t="shared" si="2"/>
        <v>$$$</v>
      </c>
      <c r="BP283" s="88" t="str">
        <f t="shared" si="612"/>
        <v>$$$</v>
      </c>
      <c r="BQ283" s="88" t="str">
        <f t="shared" si="4"/>
        <v>$$$</v>
      </c>
      <c r="BR283" s="88" t="str">
        <f t="shared" si="5"/>
        <v>$$$</v>
      </c>
      <c r="BS283" s="29" t="e">
        <f t="shared" si="613"/>
        <v>#N/A</v>
      </c>
      <c r="BT283" s="29" t="e">
        <f t="shared" si="613"/>
        <v>#N/A</v>
      </c>
      <c r="BU283" s="29" t="e">
        <f t="shared" si="613"/>
        <v>#N/A</v>
      </c>
      <c r="BV283" s="29" t="e">
        <f t="shared" si="613"/>
        <v>#N/A</v>
      </c>
      <c r="BW283" s="29" t="e">
        <f t="shared" si="613"/>
        <v>#N/A</v>
      </c>
      <c r="BX283" s="29" t="e">
        <f t="shared" si="613"/>
        <v>#N/A</v>
      </c>
      <c r="BY283" s="29" t="e">
        <f t="shared" si="613"/>
        <v>#N/A</v>
      </c>
      <c r="BZ283" s="29" t="e">
        <f t="shared" si="613"/>
        <v>#N/A</v>
      </c>
      <c r="CA283" s="29" t="e">
        <f t="shared" si="613"/>
        <v>#N/A</v>
      </c>
      <c r="CB283" s="29" t="e">
        <f t="shared" si="613"/>
        <v>#N/A</v>
      </c>
      <c r="CC283" s="29" t="e">
        <f t="shared" si="613"/>
        <v>#N/A</v>
      </c>
      <c r="CD283" s="29" t="e">
        <f t="shared" si="613"/>
        <v>#N/A</v>
      </c>
      <c r="CE283" s="6" t="str">
        <f t="shared" si="550"/>
        <v/>
      </c>
      <c r="CF283" s="27" t="e">
        <f>IF(AND(CI283,NOT(AD283)),LOOKUP(CF$5,{0,750,1500},H283:J283),"")</f>
        <v>#N/A</v>
      </c>
      <c r="CG283" s="6" t="str">
        <f t="shared" si="551"/>
        <v/>
      </c>
      <c r="CH283" t="e">
        <f t="shared" si="614"/>
        <v>#N/A</v>
      </c>
      <c r="CI283" t="e">
        <f t="shared" si="615"/>
        <v>#N/A</v>
      </c>
      <c r="CJ283" s="6" t="e">
        <f t="shared" si="11"/>
        <v>#N/A</v>
      </c>
      <c r="CK283" s="6">
        <f t="shared" si="12"/>
        <v>1</v>
      </c>
      <c r="CL283" s="6">
        <f t="shared" si="26"/>
        <v>1</v>
      </c>
      <c r="CM283" s="6">
        <f t="shared" si="13"/>
        <v>1</v>
      </c>
      <c r="CN283" s="6">
        <f t="shared" si="14"/>
        <v>1</v>
      </c>
      <c r="CO283" s="6">
        <f t="shared" si="15"/>
        <v>0</v>
      </c>
      <c r="CP283" s="6">
        <f t="shared" si="16"/>
        <v>1</v>
      </c>
      <c r="CQ283" s="6">
        <f t="shared" si="616"/>
        <v>1</v>
      </c>
      <c r="CR283" s="81" t="str">
        <f t="shared" si="17"/>
        <v/>
      </c>
      <c r="CS283">
        <f t="shared" si="617"/>
        <v>0</v>
      </c>
      <c r="CT283">
        <f t="shared" si="19"/>
        <v>175</v>
      </c>
      <c r="CU283" t="str">
        <f t="shared" si="29"/>
        <v/>
      </c>
      <c r="CV283" s="81">
        <f t="shared" si="618"/>
        <v>175</v>
      </c>
      <c r="CW283" s="81">
        <f>(CV283/25)^1.5*(Calculator!$BU$4/10000)*CW$5</f>
        <v>47.821272343654172</v>
      </c>
      <c r="CX283" t="str">
        <f t="shared" si="619"/>
        <v>$175</v>
      </c>
    </row>
    <row r="284" spans="2:102" x14ac:dyDescent="0.25">
      <c r="B284" s="115" t="s">
        <v>233</v>
      </c>
      <c r="C284" s="13">
        <v>46242.178472222222</v>
      </c>
      <c r="D284">
        <v>36340</v>
      </c>
      <c r="E284" s="54" t="s">
        <v>235</v>
      </c>
      <c r="F284" s="54" t="s">
        <v>1238</v>
      </c>
      <c r="G284" s="54" t="s">
        <v>1597</v>
      </c>
      <c r="H284" s="55">
        <v>12.8</v>
      </c>
      <c r="I284" s="55">
        <v>11.799999999999999</v>
      </c>
      <c r="J284" s="55">
        <v>11.3</v>
      </c>
      <c r="K284" s="54"/>
      <c r="L284" s="56" t="b">
        <v>0</v>
      </c>
      <c r="M284" s="56" t="b">
        <v>0</v>
      </c>
      <c r="N284" s="54">
        <v>1</v>
      </c>
      <c r="O284" s="54" t="s">
        <v>228</v>
      </c>
      <c r="P284" s="54">
        <v>100</v>
      </c>
      <c r="Q284" s="54">
        <v>9</v>
      </c>
      <c r="R284" s="54" t="s">
        <v>1598</v>
      </c>
      <c r="S284" s="54" t="s">
        <v>1599</v>
      </c>
      <c r="T284" s="54" t="s">
        <v>1600</v>
      </c>
      <c r="U284" s="54" t="s">
        <v>1595</v>
      </c>
      <c r="V284" s="54" t="s">
        <v>1601</v>
      </c>
      <c r="W284" s="54" t="b">
        <v>0</v>
      </c>
      <c r="X284" s="54"/>
      <c r="Y284" s="57" t="s">
        <v>1936</v>
      </c>
      <c r="Z284" s="54" t="s">
        <v>1602</v>
      </c>
      <c r="AA284" s="54"/>
      <c r="AB284" s="54" t="s">
        <v>1603</v>
      </c>
      <c r="AC284" s="56" t="b">
        <v>1</v>
      </c>
      <c r="AD284" s="56" t="b">
        <v>0</v>
      </c>
      <c r="AE284" s="54" t="s">
        <v>302</v>
      </c>
      <c r="AF284" s="58">
        <v>46240</v>
      </c>
      <c r="AG284" s="62" t="s">
        <v>293</v>
      </c>
      <c r="AH284" s="54">
        <v>0</v>
      </c>
      <c r="AI284" s="54"/>
      <c r="AJ284" s="54"/>
      <c r="AK284" s="54"/>
      <c r="AL284" s="54"/>
      <c r="AM284" s="54">
        <v>4.95</v>
      </c>
      <c r="AN284" s="54"/>
      <c r="AO284" s="54"/>
      <c r="AP284" s="54"/>
      <c r="AQ284" s="54"/>
      <c r="AR284" s="54"/>
      <c r="AS284" s="54"/>
      <c r="AT284" s="54"/>
      <c r="AU284" s="54"/>
      <c r="AV284" s="54"/>
      <c r="AW284" s="54"/>
      <c r="AX284" s="59"/>
      <c r="AY284" s="59"/>
      <c r="AZ284" s="59"/>
      <c r="BA284" s="59"/>
      <c r="BB284" s="59">
        <v>5.7000000000000002E-2</v>
      </c>
      <c r="BC284" s="60">
        <v>4.9000000000000004</v>
      </c>
      <c r="BD284" s="61">
        <v>5.1461E-2</v>
      </c>
      <c r="BE284" s="62" t="s">
        <v>293</v>
      </c>
      <c r="BF284" s="35">
        <f t="shared" si="608"/>
        <v>4.9000000000000004</v>
      </c>
      <c r="BG284" s="35">
        <f t="shared" si="608"/>
        <v>4.9811000000000001E-2</v>
      </c>
      <c r="BH284" s="35" t="str">
        <f t="shared" si="609"/>
        <v>Med</v>
      </c>
      <c r="BI284" s="110">
        <f t="shared" si="610"/>
        <v>0</v>
      </c>
      <c r="BJ284" s="83" t="str">
        <f>VLOOKUP($F284,REP_Info!$D$6:$H$250,5,FALSE)</f>
        <v/>
      </c>
      <c r="BK284" s="30">
        <f t="shared" si="611"/>
        <v>12.6511</v>
      </c>
      <c r="BL284" s="30">
        <f t="shared" si="611"/>
        <v>11.6661</v>
      </c>
      <c r="BM284" s="30">
        <f t="shared" si="611"/>
        <v>11.1736</v>
      </c>
      <c r="BN284" s="29">
        <f t="shared" si="611"/>
        <v>11.009433333333334</v>
      </c>
      <c r="BO284" s="85" t="str">
        <f t="shared" ref="BO284:BO287" si="620">IFERROR(SUMPRODUCT($BS$7:$CD$7,$BS284:$CD284)/100,"$$$")</f>
        <v>$$$</v>
      </c>
      <c r="BP284" s="88" t="str">
        <f t="shared" si="612"/>
        <v>$$$</v>
      </c>
      <c r="BQ284" s="88" t="str">
        <f t="shared" ref="BQ284:BQ287" si="621">IFERROR(SUMPRODUCT($BS$7:$CD$7,$BS284:$CD284,--($BS$4:$CD$4&lt;=$Q284))/SUMPRODUCT(--($BS$4:$CD$4&lt;=$Q284),$BS$7:$CD$7),"$$$")</f>
        <v>$$$</v>
      </c>
      <c r="BR284" s="88" t="str">
        <f t="shared" ref="BR284:BR287" si="622">IFERROR($BQ284-$BF284*100*SUMPRODUCT(--($BS$4:$CD$4&lt;=$Q284))/SUMPRODUCT(--($BS$4:$CD$4&lt;=$Q284),$BS$7:$CD$7)-$BG284*100,"$$$")</f>
        <v>$$$</v>
      </c>
      <c r="BS284" s="29" t="e">
        <f t="shared" si="613"/>
        <v>#N/A</v>
      </c>
      <c r="BT284" s="29" t="e">
        <f t="shared" si="613"/>
        <v>#N/A</v>
      </c>
      <c r="BU284" s="29" t="e">
        <f t="shared" si="613"/>
        <v>#N/A</v>
      </c>
      <c r="BV284" s="29" t="e">
        <f t="shared" si="613"/>
        <v>#N/A</v>
      </c>
      <c r="BW284" s="29" t="e">
        <f t="shared" si="613"/>
        <v>#N/A</v>
      </c>
      <c r="BX284" s="29" t="e">
        <f t="shared" si="613"/>
        <v>#N/A</v>
      </c>
      <c r="BY284" s="29" t="e">
        <f t="shared" si="613"/>
        <v>#N/A</v>
      </c>
      <c r="BZ284" s="29" t="e">
        <f t="shared" si="613"/>
        <v>#N/A</v>
      </c>
      <c r="CA284" s="29" t="e">
        <f t="shared" si="613"/>
        <v>#N/A</v>
      </c>
      <c r="CB284" s="29" t="e">
        <f t="shared" si="613"/>
        <v>#N/A</v>
      </c>
      <c r="CC284" s="29" t="e">
        <f t="shared" si="613"/>
        <v>#N/A</v>
      </c>
      <c r="CD284" s="29" t="e">
        <f t="shared" si="613"/>
        <v>#N/A</v>
      </c>
      <c r="CE284" s="6" t="str">
        <f t="shared" si="550"/>
        <v/>
      </c>
      <c r="CF284" s="27" t="e">
        <f>IF(AND(CI284,NOT(AD284)),LOOKUP(CF$5,{0,750,1500},H284:J284),"")</f>
        <v>#N/A</v>
      </c>
      <c r="CG284" s="6" t="str">
        <f t="shared" si="551"/>
        <v/>
      </c>
      <c r="CH284" t="e">
        <f t="shared" si="614"/>
        <v>#N/A</v>
      </c>
      <c r="CI284" t="e">
        <f t="shared" si="615"/>
        <v>#N/A</v>
      </c>
      <c r="CJ284" s="6" t="e">
        <f t="shared" ref="CJ284:CJ287" si="623">IF($E284=CJ$5,1,0)</f>
        <v>#N/A</v>
      </c>
      <c r="CK284" s="6">
        <f t="shared" ref="CK284:CK287" si="624">IF(CK$5="[Any]",1,IF($F284=CK$5,1,0))</f>
        <v>1</v>
      </c>
      <c r="CL284" s="6">
        <f t="shared" si="26"/>
        <v>1</v>
      </c>
      <c r="CM284" s="6">
        <f t="shared" ref="CM284:CM287" si="625">IF($O284="Fixed",1,0)</f>
        <v>1</v>
      </c>
      <c r="CN284" s="6">
        <f t="shared" ref="CN284:CN287" si="626">IF($Q284&gt;=CN$5,1,0)</f>
        <v>0</v>
      </c>
      <c r="CO284" s="6">
        <f t="shared" ref="CO284:CO287" si="627">IF($Q284&lt;=CO$5,1,0)</f>
        <v>1</v>
      </c>
      <c r="CP284" s="6">
        <f t="shared" ref="CP284:CP287" si="628">IF($P284&gt;=CP$5,1,0)</f>
        <v>1</v>
      </c>
      <c r="CQ284" s="6">
        <f t="shared" si="616"/>
        <v>1</v>
      </c>
      <c r="CR284" s="81" t="str">
        <f t="shared" ref="CR284:CR287" si="629">IF(ISNUMBER($CH284),$CH284+$CS284+$CW284,"")</f>
        <v/>
      </c>
      <c r="CS284">
        <f t="shared" si="617"/>
        <v>5.9999999999999982</v>
      </c>
      <c r="CT284">
        <f t="shared" si="19"/>
        <v>20</v>
      </c>
      <c r="CU284" t="str">
        <f t="shared" si="29"/>
        <v>rm</v>
      </c>
      <c r="CV284" s="81">
        <f t="shared" si="618"/>
        <v>180</v>
      </c>
      <c r="CW284" s="81">
        <f>(CV284/25)^1.5*(Calculator!$BU$4/10000)*CW$5</f>
        <v>49.885325635190988</v>
      </c>
      <c r="CX284" t="str">
        <f t="shared" si="619"/>
        <v>$20/rm</v>
      </c>
    </row>
    <row r="285" spans="2:102" x14ac:dyDescent="0.25">
      <c r="B285" s="115" t="s">
        <v>233</v>
      </c>
      <c r="C285" s="13">
        <v>46242.178472222222</v>
      </c>
      <c r="D285">
        <v>36341</v>
      </c>
      <c r="E285" s="54" t="s">
        <v>235</v>
      </c>
      <c r="F285" s="54" t="s">
        <v>1238</v>
      </c>
      <c r="G285" s="54" t="s">
        <v>1604</v>
      </c>
      <c r="H285" s="55">
        <v>13.3</v>
      </c>
      <c r="I285" s="55">
        <v>12.3</v>
      </c>
      <c r="J285" s="55">
        <v>11.799999999999999</v>
      </c>
      <c r="K285" s="54"/>
      <c r="L285" s="56" t="b">
        <v>0</v>
      </c>
      <c r="M285" s="56" t="b">
        <v>0</v>
      </c>
      <c r="N285" s="54">
        <v>1</v>
      </c>
      <c r="O285" s="54" t="s">
        <v>228</v>
      </c>
      <c r="P285" s="54">
        <v>100</v>
      </c>
      <c r="Q285" s="54">
        <v>12</v>
      </c>
      <c r="R285" s="54" t="s">
        <v>1598</v>
      </c>
      <c r="S285" s="54" t="s">
        <v>1599</v>
      </c>
      <c r="T285" s="54" t="s">
        <v>1605</v>
      </c>
      <c r="U285" s="54" t="s">
        <v>1595</v>
      </c>
      <c r="V285" s="54" t="s">
        <v>1601</v>
      </c>
      <c r="W285" s="54" t="b">
        <v>0</v>
      </c>
      <c r="X285" s="54"/>
      <c r="Y285" s="57" t="s">
        <v>1937</v>
      </c>
      <c r="Z285" s="54" t="s">
        <v>1602</v>
      </c>
      <c r="AA285" s="54"/>
      <c r="AB285" s="54" t="s">
        <v>1603</v>
      </c>
      <c r="AC285" s="56" t="b">
        <v>1</v>
      </c>
      <c r="AD285" s="56" t="b">
        <v>0</v>
      </c>
      <c r="AE285" s="54" t="s">
        <v>302</v>
      </c>
      <c r="AF285" s="58">
        <v>46240</v>
      </c>
      <c r="AG285" s="62" t="s">
        <v>293</v>
      </c>
      <c r="AH285" s="54">
        <v>0</v>
      </c>
      <c r="AI285" s="54"/>
      <c r="AJ285" s="54"/>
      <c r="AK285" s="54"/>
      <c r="AL285" s="54"/>
      <c r="AM285" s="54">
        <v>4.95</v>
      </c>
      <c r="AN285" s="54"/>
      <c r="AO285" s="54"/>
      <c r="AP285" s="54"/>
      <c r="AQ285" s="54"/>
      <c r="AR285" s="54"/>
      <c r="AS285" s="54"/>
      <c r="AT285" s="54"/>
      <c r="AU285" s="54"/>
      <c r="AV285" s="54"/>
      <c r="AW285" s="54"/>
      <c r="AX285" s="59"/>
      <c r="AY285" s="59"/>
      <c r="AZ285" s="59"/>
      <c r="BA285" s="59"/>
      <c r="BB285" s="59">
        <v>6.2E-2</v>
      </c>
      <c r="BC285" s="60">
        <v>4.9000000000000004</v>
      </c>
      <c r="BD285" s="61">
        <v>5.1461E-2</v>
      </c>
      <c r="BE285" s="62" t="s">
        <v>293</v>
      </c>
      <c r="BF285" s="35">
        <f t="shared" si="608"/>
        <v>4.9000000000000004</v>
      </c>
      <c r="BG285" s="35">
        <f t="shared" si="608"/>
        <v>4.9811000000000001E-2</v>
      </c>
      <c r="BH285" s="35" t="str">
        <f t="shared" si="609"/>
        <v>Med</v>
      </c>
      <c r="BI285" s="110">
        <f t="shared" si="610"/>
        <v>0</v>
      </c>
      <c r="BJ285" s="83" t="str">
        <f>VLOOKUP($F285,REP_Info!$D$6:$H$250,5,FALSE)</f>
        <v/>
      </c>
      <c r="BK285" s="30">
        <f t="shared" si="611"/>
        <v>13.1511</v>
      </c>
      <c r="BL285" s="30">
        <f t="shared" si="611"/>
        <v>12.1661</v>
      </c>
      <c r="BM285" s="30">
        <f t="shared" si="611"/>
        <v>11.673599999999999</v>
      </c>
      <c r="BN285" s="29">
        <f t="shared" si="611"/>
        <v>11.509433333333334</v>
      </c>
      <c r="BO285" s="85" t="str">
        <f t="shared" si="620"/>
        <v>$$$</v>
      </c>
      <c r="BP285" s="88" t="str">
        <f t="shared" si="612"/>
        <v>$$$</v>
      </c>
      <c r="BQ285" s="88" t="str">
        <f t="shared" si="621"/>
        <v>$$$</v>
      </c>
      <c r="BR285" s="88" t="str">
        <f t="shared" si="622"/>
        <v>$$$</v>
      </c>
      <c r="BS285" s="29" t="e">
        <f t="shared" si="613"/>
        <v>#N/A</v>
      </c>
      <c r="BT285" s="29" t="e">
        <f t="shared" si="613"/>
        <v>#N/A</v>
      </c>
      <c r="BU285" s="29" t="e">
        <f t="shared" si="613"/>
        <v>#N/A</v>
      </c>
      <c r="BV285" s="29" t="e">
        <f t="shared" si="613"/>
        <v>#N/A</v>
      </c>
      <c r="BW285" s="29" t="e">
        <f t="shared" si="613"/>
        <v>#N/A</v>
      </c>
      <c r="BX285" s="29" t="e">
        <f t="shared" si="613"/>
        <v>#N/A</v>
      </c>
      <c r="BY285" s="29" t="e">
        <f t="shared" si="613"/>
        <v>#N/A</v>
      </c>
      <c r="BZ285" s="29" t="e">
        <f t="shared" si="613"/>
        <v>#N/A</v>
      </c>
      <c r="CA285" s="29" t="e">
        <f t="shared" si="613"/>
        <v>#N/A</v>
      </c>
      <c r="CB285" s="29" t="e">
        <f t="shared" si="613"/>
        <v>#N/A</v>
      </c>
      <c r="CC285" s="29" t="e">
        <f t="shared" si="613"/>
        <v>#N/A</v>
      </c>
      <c r="CD285" s="29" t="e">
        <f t="shared" si="613"/>
        <v>#N/A</v>
      </c>
      <c r="CE285" s="6" t="str">
        <f t="shared" si="550"/>
        <v/>
      </c>
      <c r="CF285" s="27" t="e">
        <f>IF(AND(CI285,NOT(AD285)),LOOKUP(CF$5,{0,750,1500},H285:J285),"")</f>
        <v>#N/A</v>
      </c>
      <c r="CG285" s="6" t="str">
        <f t="shared" si="551"/>
        <v/>
      </c>
      <c r="CH285" t="e">
        <f t="shared" si="614"/>
        <v>#N/A</v>
      </c>
      <c r="CI285" t="e">
        <f t="shared" si="615"/>
        <v>#N/A</v>
      </c>
      <c r="CJ285" s="6" t="e">
        <f t="shared" si="623"/>
        <v>#N/A</v>
      </c>
      <c r="CK285" s="6">
        <f t="shared" si="624"/>
        <v>1</v>
      </c>
      <c r="CL285" s="6">
        <f t="shared" si="26"/>
        <v>1</v>
      </c>
      <c r="CM285" s="6">
        <f t="shared" si="625"/>
        <v>1</v>
      </c>
      <c r="CN285" s="6">
        <f t="shared" si="626"/>
        <v>1</v>
      </c>
      <c r="CO285" s="6">
        <f t="shared" si="627"/>
        <v>1</v>
      </c>
      <c r="CP285" s="6">
        <f t="shared" si="628"/>
        <v>1</v>
      </c>
      <c r="CQ285" s="6">
        <f t="shared" si="616"/>
        <v>1</v>
      </c>
      <c r="CR285" s="81" t="str">
        <f t="shared" si="629"/>
        <v/>
      </c>
      <c r="CS285">
        <f t="shared" si="617"/>
        <v>0</v>
      </c>
      <c r="CT285">
        <f t="shared" si="19"/>
        <v>20</v>
      </c>
      <c r="CU285" t="str">
        <f t="shared" si="29"/>
        <v>rm</v>
      </c>
      <c r="CV285" s="81">
        <f t="shared" si="618"/>
        <v>240</v>
      </c>
      <c r="CW285" s="81">
        <f>(CV285/25)^1.5*(Calculator!$BU$4/10000)*CW$5</f>
        <v>76.803483157572401</v>
      </c>
      <c r="CX285" t="str">
        <f t="shared" si="619"/>
        <v>$20/rm</v>
      </c>
    </row>
    <row r="286" spans="2:102" x14ac:dyDescent="0.25">
      <c r="B286" s="115" t="s">
        <v>233</v>
      </c>
      <c r="C286" s="13">
        <v>46242.178472222222</v>
      </c>
      <c r="D286">
        <v>36342</v>
      </c>
      <c r="E286" s="54" t="s">
        <v>235</v>
      </c>
      <c r="F286" s="54" t="s">
        <v>1238</v>
      </c>
      <c r="G286" s="54" t="s">
        <v>1606</v>
      </c>
      <c r="H286" s="55">
        <v>14.2</v>
      </c>
      <c r="I286" s="55">
        <v>13.200000000000001</v>
      </c>
      <c r="J286" s="55">
        <v>12.7</v>
      </c>
      <c r="K286" s="54"/>
      <c r="L286" s="56" t="b">
        <v>0</v>
      </c>
      <c r="M286" s="56" t="b">
        <v>0</v>
      </c>
      <c r="N286" s="54">
        <v>1</v>
      </c>
      <c r="O286" s="54" t="s">
        <v>228</v>
      </c>
      <c r="P286" s="54">
        <v>100</v>
      </c>
      <c r="Q286" s="54">
        <v>24</v>
      </c>
      <c r="R286" s="54" t="s">
        <v>1598</v>
      </c>
      <c r="S286" s="54" t="s">
        <v>1599</v>
      </c>
      <c r="T286" s="54" t="s">
        <v>1607</v>
      </c>
      <c r="U286" s="54" t="s">
        <v>1595</v>
      </c>
      <c r="V286" s="54" t="s">
        <v>1601</v>
      </c>
      <c r="W286" s="54" t="b">
        <v>0</v>
      </c>
      <c r="X286" s="54"/>
      <c r="Y286" s="57" t="s">
        <v>1938</v>
      </c>
      <c r="Z286" s="54" t="s">
        <v>1602</v>
      </c>
      <c r="AA286" s="54"/>
      <c r="AB286" s="54" t="s">
        <v>1603</v>
      </c>
      <c r="AC286" s="56" t="b">
        <v>1</v>
      </c>
      <c r="AD286" s="56" t="b">
        <v>0</v>
      </c>
      <c r="AE286" s="54" t="s">
        <v>302</v>
      </c>
      <c r="AF286" s="58">
        <v>46240</v>
      </c>
      <c r="AG286" s="62" t="s">
        <v>293</v>
      </c>
      <c r="AH286" s="54">
        <v>0</v>
      </c>
      <c r="AI286" s="54"/>
      <c r="AJ286" s="54"/>
      <c r="AK286" s="54"/>
      <c r="AL286" s="54"/>
      <c r="AM286" s="54">
        <v>4.95</v>
      </c>
      <c r="AN286" s="54"/>
      <c r="AO286" s="54"/>
      <c r="AP286" s="54"/>
      <c r="AQ286" s="54"/>
      <c r="AR286" s="54"/>
      <c r="AS286" s="54"/>
      <c r="AT286" s="54"/>
      <c r="AU286" s="54"/>
      <c r="AV286" s="54"/>
      <c r="AW286" s="54"/>
      <c r="AX286" s="59"/>
      <c r="AY286" s="59"/>
      <c r="AZ286" s="59"/>
      <c r="BA286" s="59"/>
      <c r="BB286" s="59">
        <v>7.0999999999999994E-2</v>
      </c>
      <c r="BC286" s="60">
        <v>4.9000000000000004</v>
      </c>
      <c r="BD286" s="61">
        <v>5.1461E-2</v>
      </c>
      <c r="BE286" s="62" t="s">
        <v>293</v>
      </c>
      <c r="BF286" s="35">
        <f t="shared" si="608"/>
        <v>4.9000000000000004</v>
      </c>
      <c r="BG286" s="35">
        <f t="shared" si="608"/>
        <v>4.9811000000000001E-2</v>
      </c>
      <c r="BH286" s="35" t="str">
        <f t="shared" si="609"/>
        <v>Med</v>
      </c>
      <c r="BI286" s="110">
        <f t="shared" si="610"/>
        <v>0</v>
      </c>
      <c r="BJ286" s="83" t="str">
        <f>VLOOKUP($F286,REP_Info!$D$6:$H$250,5,FALSE)</f>
        <v/>
      </c>
      <c r="BK286" s="30">
        <f t="shared" si="611"/>
        <v>14.0511</v>
      </c>
      <c r="BL286" s="30">
        <f t="shared" si="611"/>
        <v>13.0661</v>
      </c>
      <c r="BM286" s="30">
        <f t="shared" si="611"/>
        <v>12.573599999999999</v>
      </c>
      <c r="BN286" s="29">
        <f t="shared" si="611"/>
        <v>12.409433333333332</v>
      </c>
      <c r="BO286" s="85" t="str">
        <f t="shared" si="620"/>
        <v>$$$</v>
      </c>
      <c r="BP286" s="88" t="str">
        <f t="shared" si="612"/>
        <v>$$$</v>
      </c>
      <c r="BQ286" s="88" t="str">
        <f t="shared" si="621"/>
        <v>$$$</v>
      </c>
      <c r="BR286" s="88" t="str">
        <f t="shared" si="622"/>
        <v>$$$</v>
      </c>
      <c r="BS286" s="29" t="e">
        <f t="shared" si="613"/>
        <v>#N/A</v>
      </c>
      <c r="BT286" s="29" t="e">
        <f t="shared" si="613"/>
        <v>#N/A</v>
      </c>
      <c r="BU286" s="29" t="e">
        <f t="shared" si="613"/>
        <v>#N/A</v>
      </c>
      <c r="BV286" s="29" t="e">
        <f t="shared" si="613"/>
        <v>#N/A</v>
      </c>
      <c r="BW286" s="29" t="e">
        <f t="shared" si="613"/>
        <v>#N/A</v>
      </c>
      <c r="BX286" s="29" t="e">
        <f t="shared" si="613"/>
        <v>#N/A</v>
      </c>
      <c r="BY286" s="29" t="e">
        <f t="shared" si="613"/>
        <v>#N/A</v>
      </c>
      <c r="BZ286" s="29" t="e">
        <f t="shared" si="613"/>
        <v>#N/A</v>
      </c>
      <c r="CA286" s="29" t="e">
        <f t="shared" si="613"/>
        <v>#N/A</v>
      </c>
      <c r="CB286" s="29" t="e">
        <f t="shared" si="613"/>
        <v>#N/A</v>
      </c>
      <c r="CC286" s="29" t="e">
        <f t="shared" si="613"/>
        <v>#N/A</v>
      </c>
      <c r="CD286" s="29" t="e">
        <f t="shared" si="613"/>
        <v>#N/A</v>
      </c>
      <c r="CE286" s="6" t="str">
        <f t="shared" si="550"/>
        <v/>
      </c>
      <c r="CF286" s="27" t="e">
        <f>IF(AND(CI286,NOT(AD286)),LOOKUP(CF$5,{0,750,1500},H286:J286),"")</f>
        <v>#N/A</v>
      </c>
      <c r="CG286" s="6" t="str">
        <f t="shared" si="551"/>
        <v/>
      </c>
      <c r="CH286" t="e">
        <f t="shared" si="614"/>
        <v>#N/A</v>
      </c>
      <c r="CI286" t="e">
        <f t="shared" si="615"/>
        <v>#N/A</v>
      </c>
      <c r="CJ286" s="6" t="e">
        <f t="shared" si="623"/>
        <v>#N/A</v>
      </c>
      <c r="CK286" s="6">
        <f t="shared" si="624"/>
        <v>1</v>
      </c>
      <c r="CL286" s="6">
        <f t="shared" si="26"/>
        <v>1</v>
      </c>
      <c r="CM286" s="6">
        <f t="shared" si="625"/>
        <v>1</v>
      </c>
      <c r="CN286" s="6">
        <f t="shared" si="626"/>
        <v>1</v>
      </c>
      <c r="CO286" s="6">
        <f t="shared" si="627"/>
        <v>0</v>
      </c>
      <c r="CP286" s="6">
        <f t="shared" si="628"/>
        <v>1</v>
      </c>
      <c r="CQ286" s="6">
        <f t="shared" si="616"/>
        <v>1</v>
      </c>
      <c r="CR286" s="81" t="str">
        <f t="shared" si="629"/>
        <v/>
      </c>
      <c r="CS286">
        <f t="shared" si="617"/>
        <v>0</v>
      </c>
      <c r="CT286">
        <f t="shared" si="19"/>
        <v>20</v>
      </c>
      <c r="CU286" t="str">
        <f t="shared" si="29"/>
        <v>rm</v>
      </c>
      <c r="CV286" s="81">
        <f t="shared" si="618"/>
        <v>480</v>
      </c>
      <c r="CW286" s="81">
        <f>(CV286/25)^1.5*(Calculator!$BU$4/10000)*CW$5</f>
        <v>217.23305503786497</v>
      </c>
      <c r="CX286" t="str">
        <f t="shared" si="619"/>
        <v>$20/rm</v>
      </c>
    </row>
    <row r="287" spans="2:102" x14ac:dyDescent="0.25">
      <c r="B287" s="115" t="s">
        <v>233</v>
      </c>
      <c r="C287" s="13">
        <v>46242.178472222222</v>
      </c>
      <c r="D287">
        <v>36343</v>
      </c>
      <c r="E287" s="54" t="s">
        <v>237</v>
      </c>
      <c r="F287" s="54" t="s">
        <v>1238</v>
      </c>
      <c r="G287" s="54" t="s">
        <v>1597</v>
      </c>
      <c r="H287" s="55">
        <v>13.700000000000001</v>
      </c>
      <c r="I287" s="55">
        <v>12.8</v>
      </c>
      <c r="J287" s="55">
        <v>12.4</v>
      </c>
      <c r="K287" s="54"/>
      <c r="L287" s="56" t="b">
        <v>0</v>
      </c>
      <c r="M287" s="56" t="b">
        <v>0</v>
      </c>
      <c r="N287" s="54">
        <v>1</v>
      </c>
      <c r="O287" s="54" t="s">
        <v>228</v>
      </c>
      <c r="P287" s="54">
        <v>100</v>
      </c>
      <c r="Q287" s="54">
        <v>9</v>
      </c>
      <c r="R287" s="54" t="s">
        <v>1598</v>
      </c>
      <c r="S287" s="54" t="s">
        <v>1599</v>
      </c>
      <c r="T287" s="54" t="s">
        <v>1600</v>
      </c>
      <c r="U287" s="54" t="s">
        <v>1595</v>
      </c>
      <c r="V287" s="54" t="s">
        <v>1601</v>
      </c>
      <c r="W287" s="54" t="b">
        <v>0</v>
      </c>
      <c r="X287" s="54"/>
      <c r="Y287" s="57" t="s">
        <v>1939</v>
      </c>
      <c r="Z287" s="54" t="s">
        <v>1608</v>
      </c>
      <c r="AA287" s="54"/>
      <c r="AB287" s="54" t="s">
        <v>1603</v>
      </c>
      <c r="AC287" s="56" t="b">
        <v>1</v>
      </c>
      <c r="AD287" s="56" t="b">
        <v>0</v>
      </c>
      <c r="AE287" s="54" t="s">
        <v>302</v>
      </c>
      <c r="AF287" s="58">
        <v>46240</v>
      </c>
      <c r="AG287" s="62" t="s">
        <v>293</v>
      </c>
      <c r="AH287" s="54">
        <v>0</v>
      </c>
      <c r="AI287" s="54"/>
      <c r="AJ287" s="54"/>
      <c r="AK287" s="54"/>
      <c r="AL287" s="54"/>
      <c r="AM287" s="54">
        <v>4.95</v>
      </c>
      <c r="AN287" s="54"/>
      <c r="AO287" s="54"/>
      <c r="AP287" s="54"/>
      <c r="AQ287" s="54"/>
      <c r="AR287" s="54"/>
      <c r="AS287" s="54"/>
      <c r="AT287" s="54"/>
      <c r="AU287" s="54"/>
      <c r="AV287" s="54"/>
      <c r="AW287" s="54"/>
      <c r="AX287" s="59"/>
      <c r="AY287" s="59"/>
      <c r="AZ287" s="59"/>
      <c r="BA287" s="59"/>
      <c r="BB287" s="59">
        <v>5.8999999999999997E-2</v>
      </c>
      <c r="BC287" s="60">
        <v>4.0599999999999996</v>
      </c>
      <c r="BD287" s="61">
        <v>6.0295000000000001E-2</v>
      </c>
      <c r="BE287" s="62" t="s">
        <v>293</v>
      </c>
      <c r="BF287" s="35">
        <f t="shared" si="608"/>
        <v>4.0600000000000005</v>
      </c>
      <c r="BG287" s="35">
        <f t="shared" si="608"/>
        <v>6.0295000000000001E-2</v>
      </c>
      <c r="BH287" s="35" t="str">
        <f t="shared" si="609"/>
        <v>Med</v>
      </c>
      <c r="BI287" s="110">
        <f t="shared" si="610"/>
        <v>0</v>
      </c>
      <c r="BJ287" s="83" t="str">
        <f>VLOOKUP($F287,REP_Info!$D$6:$H$250,5,FALSE)</f>
        <v/>
      </c>
      <c r="BK287" s="30">
        <f t="shared" si="611"/>
        <v>13.7315</v>
      </c>
      <c r="BL287" s="30">
        <f t="shared" si="611"/>
        <v>12.830500000000001</v>
      </c>
      <c r="BM287" s="30">
        <f t="shared" si="611"/>
        <v>12.380000000000003</v>
      </c>
      <c r="BN287" s="29">
        <f t="shared" si="611"/>
        <v>12.229833333333334</v>
      </c>
      <c r="BO287" s="85" t="str">
        <f t="shared" si="620"/>
        <v>$$$</v>
      </c>
      <c r="BP287" s="88" t="str">
        <f t="shared" si="612"/>
        <v>$$$</v>
      </c>
      <c r="BQ287" s="88" t="str">
        <f t="shared" si="621"/>
        <v>$$$</v>
      </c>
      <c r="BR287" s="88" t="str">
        <f t="shared" si="622"/>
        <v>$$$</v>
      </c>
      <c r="BS287" s="29" t="e">
        <f t="shared" si="613"/>
        <v>#N/A</v>
      </c>
      <c r="BT287" s="29" t="e">
        <f t="shared" si="613"/>
        <v>#N/A</v>
      </c>
      <c r="BU287" s="29" t="e">
        <f t="shared" si="613"/>
        <v>#N/A</v>
      </c>
      <c r="BV287" s="29" t="e">
        <f t="shared" si="613"/>
        <v>#N/A</v>
      </c>
      <c r="BW287" s="29" t="e">
        <f t="shared" si="613"/>
        <v>#N/A</v>
      </c>
      <c r="BX287" s="29" t="e">
        <f t="shared" si="613"/>
        <v>#N/A</v>
      </c>
      <c r="BY287" s="29" t="e">
        <f t="shared" si="613"/>
        <v>#N/A</v>
      </c>
      <c r="BZ287" s="29" t="e">
        <f t="shared" si="613"/>
        <v>#N/A</v>
      </c>
      <c r="CA287" s="29" t="e">
        <f t="shared" si="613"/>
        <v>#N/A</v>
      </c>
      <c r="CB287" s="29" t="e">
        <f t="shared" si="613"/>
        <v>#N/A</v>
      </c>
      <c r="CC287" s="29" t="e">
        <f t="shared" si="613"/>
        <v>#N/A</v>
      </c>
      <c r="CD287" s="29" t="e">
        <f t="shared" si="613"/>
        <v>#N/A</v>
      </c>
      <c r="CE287" s="6" t="str">
        <f t="shared" si="550"/>
        <v/>
      </c>
      <c r="CF287" s="27" t="e">
        <f>IF(AND(CI287,NOT(AD287)),LOOKUP(CF$5,{0,750,1500},H287:J287),"")</f>
        <v>#N/A</v>
      </c>
      <c r="CG287" s="6" t="str">
        <f t="shared" si="551"/>
        <v/>
      </c>
      <c r="CH287" t="e">
        <f t="shared" si="614"/>
        <v>#N/A</v>
      </c>
      <c r="CI287" t="e">
        <f t="shared" si="615"/>
        <v>#N/A</v>
      </c>
      <c r="CJ287" s="6" t="e">
        <f t="shared" si="623"/>
        <v>#N/A</v>
      </c>
      <c r="CK287" s="6">
        <f t="shared" si="624"/>
        <v>1</v>
      </c>
      <c r="CL287" s="6">
        <f t="shared" si="26"/>
        <v>1</v>
      </c>
      <c r="CM287" s="6">
        <f t="shared" si="625"/>
        <v>1</v>
      </c>
      <c r="CN287" s="6">
        <f t="shared" si="626"/>
        <v>0</v>
      </c>
      <c r="CO287" s="6">
        <f t="shared" si="627"/>
        <v>1</v>
      </c>
      <c r="CP287" s="6">
        <f t="shared" si="628"/>
        <v>1</v>
      </c>
      <c r="CQ287" s="6">
        <f t="shared" si="616"/>
        <v>1</v>
      </c>
      <c r="CR287" s="81" t="str">
        <f t="shared" si="629"/>
        <v/>
      </c>
      <c r="CS287">
        <f t="shared" si="617"/>
        <v>5.9999999999999982</v>
      </c>
      <c r="CT287">
        <f t="shared" si="19"/>
        <v>20</v>
      </c>
      <c r="CU287" t="str">
        <f t="shared" si="29"/>
        <v>rm</v>
      </c>
      <c r="CV287" s="81">
        <f t="shared" si="618"/>
        <v>180</v>
      </c>
      <c r="CW287" s="81">
        <f>(CV287/25)^1.5*(Calculator!$BU$4/10000)*CW$5</f>
        <v>49.885325635190988</v>
      </c>
      <c r="CX287" t="str">
        <f t="shared" si="619"/>
        <v>$20/rm</v>
      </c>
    </row>
    <row r="288" spans="2:102" x14ac:dyDescent="0.25">
      <c r="B288" s="115" t="s">
        <v>233</v>
      </c>
      <c r="C288" s="13">
        <v>46242.178472222222</v>
      </c>
      <c r="D288">
        <v>36344</v>
      </c>
      <c r="E288" s="54" t="s">
        <v>237</v>
      </c>
      <c r="F288" s="54" t="s">
        <v>1238</v>
      </c>
      <c r="G288" s="54" t="s">
        <v>1604</v>
      </c>
      <c r="H288" s="55">
        <v>14.099999999999998</v>
      </c>
      <c r="I288" s="55">
        <v>13.200000000000001</v>
      </c>
      <c r="J288" s="55">
        <v>12.8</v>
      </c>
      <c r="K288" s="54"/>
      <c r="L288" s="56" t="b">
        <v>0</v>
      </c>
      <c r="M288" s="56" t="b">
        <v>0</v>
      </c>
      <c r="N288" s="54">
        <v>1</v>
      </c>
      <c r="O288" s="54" t="s">
        <v>228</v>
      </c>
      <c r="P288" s="54">
        <v>100</v>
      </c>
      <c r="Q288" s="54">
        <v>12</v>
      </c>
      <c r="R288" s="54" t="s">
        <v>1598</v>
      </c>
      <c r="S288" s="54" t="s">
        <v>1599</v>
      </c>
      <c r="T288" s="54" t="s">
        <v>1605</v>
      </c>
      <c r="U288" s="54" t="s">
        <v>1595</v>
      </c>
      <c r="V288" s="54" t="s">
        <v>1601</v>
      </c>
      <c r="W288" s="54" t="b">
        <v>0</v>
      </c>
      <c r="X288" s="54"/>
      <c r="Y288" s="57" t="s">
        <v>1940</v>
      </c>
      <c r="Z288" s="54" t="s">
        <v>1608</v>
      </c>
      <c r="AA288" s="54"/>
      <c r="AB288" s="54" t="s">
        <v>1603</v>
      </c>
      <c r="AC288" s="56" t="b">
        <v>1</v>
      </c>
      <c r="AD288" s="56" t="b">
        <v>0</v>
      </c>
      <c r="AE288" s="54" t="s">
        <v>302</v>
      </c>
      <c r="AF288" s="58">
        <v>46240</v>
      </c>
      <c r="AG288" s="62" t="s">
        <v>293</v>
      </c>
      <c r="AH288" s="54">
        <v>0</v>
      </c>
      <c r="AI288" s="54"/>
      <c r="AJ288" s="54"/>
      <c r="AK288" s="54"/>
      <c r="AL288" s="54"/>
      <c r="AM288" s="54">
        <v>4.95</v>
      </c>
      <c r="AN288" s="54"/>
      <c r="AO288" s="54"/>
      <c r="AP288" s="54"/>
      <c r="AQ288" s="54"/>
      <c r="AR288" s="54"/>
      <c r="AS288" s="54"/>
      <c r="AT288" s="54"/>
      <c r="AU288" s="54"/>
      <c r="AV288" s="54"/>
      <c r="AW288" s="54"/>
      <c r="AX288" s="59"/>
      <c r="AY288" s="59"/>
      <c r="AZ288" s="59"/>
      <c r="BA288" s="59"/>
      <c r="BB288" s="59">
        <v>6.3E-2</v>
      </c>
      <c r="BC288" s="60">
        <v>4.0599999999999996</v>
      </c>
      <c r="BD288" s="61">
        <v>6.0295000000000001E-2</v>
      </c>
      <c r="BE288" s="62" t="s">
        <v>293</v>
      </c>
      <c r="BF288" s="35">
        <f t="shared" ref="BF288:BG293" si="630">IF($E288=$E$4,BF$4,IF($E288=$E$5,BF$5,""))</f>
        <v>4.0600000000000005</v>
      </c>
      <c r="BG288" s="35">
        <f t="shared" si="630"/>
        <v>6.0295000000000001E-2</v>
      </c>
      <c r="BH288" s="35" t="str">
        <f t="shared" ref="BH288:BH293" si="631">IF(ISTEXT(BE288),IF(AND(AV288=0,SUM(AN288:AQ288)=0),IF(AM288&lt;=0,IF(BE288="Y","Low","Flat"),"Med"),"High"),"?")</f>
        <v>Med</v>
      </c>
      <c r="BI288" s="110">
        <f t="shared" ref="BI288:BI293" si="632">IF(ISNUMBER(AH288),0*BI$5*SIN((EDATE($A$3,$Q288)-DATE(YEAR(EDATE($A$3,$Q288)),1,0)-BI$4)*2*PI()/365),"")</f>
        <v>0</v>
      </c>
      <c r="BJ288" s="83" t="str">
        <f>VLOOKUP($F288,REP_Info!$D$6:$H$250,5,FALSE)</f>
        <v/>
      </c>
      <c r="BK288" s="30">
        <f t="shared" ref="BK288:BN293" si="633">IF(BK$7&gt;0,(LOOKUP(BK$7,$AH288:$AL288,$AM288:$AQ288)+IF($AG288="Y",SUMPRODUCT($AX288:$BB288-$AW288:$BA288,BK$7-$AR288:$AV288,N(BK$7&gt;$AR288:$AV288)),BK$7*LOOKUP(BK$7,$AR288:$AV288,$AX288:$BB288))+IF($BE288="Y",$BF288,$BC288)+BK$7*IF($BE288="Y",$BG288,$BD288))*100/BK$7,"")</f>
        <v>14.131500000000001</v>
      </c>
      <c r="BL288" s="30">
        <f t="shared" si="633"/>
        <v>13.230499999999999</v>
      </c>
      <c r="BM288" s="30">
        <f t="shared" si="633"/>
        <v>12.78</v>
      </c>
      <c r="BN288" s="29">
        <f t="shared" si="633"/>
        <v>12.629833333333334</v>
      </c>
      <c r="BO288" s="85" t="str">
        <f t="shared" si="2"/>
        <v>$$$</v>
      </c>
      <c r="BP288" s="88" t="str">
        <f t="shared" ref="BP288:BP293" si="634">IFERROR(BO288*100/BO$5,"$$$")</f>
        <v>$$$</v>
      </c>
      <c r="BQ288" s="88" t="str">
        <f t="shared" si="4"/>
        <v>$$$</v>
      </c>
      <c r="BR288" s="88" t="str">
        <f t="shared" si="5"/>
        <v>$$$</v>
      </c>
      <c r="BS288" s="29" t="e">
        <f t="shared" ref="BS288:CD293" si="635">IF($CI288,IF(BS$7&gt;0,IF(BS$4&gt;$Q288,$BF288+BS$7*(BS$5+$BG288+$BI288),LOOKUP(BS$7,$AH288:$AL288,$AM288:$AQ288)+IF($AG288="Y",SUMPRODUCT($AX288:$BB288-$AW288:$BA288,BS$7-$AR288:$AV288,N(BS$7&gt;$AR288:$AV288)),BS$7*LOOKUP(BS$7,$AR288:$AV288,$AX288:$BB288))+IF($BE288="Y",$BF288,$BC288)+BS$7*IF($BE288="Y",$BG288,$BD288))*100/BS$7,""),NA())</f>
        <v>#N/A</v>
      </c>
      <c r="BT288" s="29" t="e">
        <f t="shared" si="635"/>
        <v>#N/A</v>
      </c>
      <c r="BU288" s="29" t="e">
        <f t="shared" si="635"/>
        <v>#N/A</v>
      </c>
      <c r="BV288" s="29" t="e">
        <f t="shared" si="635"/>
        <v>#N/A</v>
      </c>
      <c r="BW288" s="29" t="e">
        <f t="shared" si="635"/>
        <v>#N/A</v>
      </c>
      <c r="BX288" s="29" t="e">
        <f t="shared" si="635"/>
        <v>#N/A</v>
      </c>
      <c r="BY288" s="29" t="e">
        <f t="shared" si="635"/>
        <v>#N/A</v>
      </c>
      <c r="BZ288" s="29" t="e">
        <f t="shared" si="635"/>
        <v>#N/A</v>
      </c>
      <c r="CA288" s="29" t="e">
        <f t="shared" si="635"/>
        <v>#N/A</v>
      </c>
      <c r="CB288" s="29" t="e">
        <f t="shared" si="635"/>
        <v>#N/A</v>
      </c>
      <c r="CC288" s="29" t="e">
        <f t="shared" si="635"/>
        <v>#N/A</v>
      </c>
      <c r="CD288" s="29" t="e">
        <f t="shared" si="635"/>
        <v>#N/A</v>
      </c>
      <c r="CE288" s="6" t="str">
        <f t="shared" si="550"/>
        <v/>
      </c>
      <c r="CF288" s="27" t="e">
        <f>IF(AND(CI288,NOT(AD288)),LOOKUP(CF$5,{0,750,1500},H288:J288),"")</f>
        <v>#N/A</v>
      </c>
      <c r="CG288" s="6" t="str">
        <f t="shared" si="551"/>
        <v/>
      </c>
      <c r="CH288" t="e">
        <f t="shared" ref="CH288:CH293" si="636">IF(CI288,IF(ISNUMBER(BO288),BO288,100000)+CV288/10000+IF(ISNUMBER(BJ288),BJ288,2)/10000-P288/100000+ROW()/10000000,"")</f>
        <v>#N/A</v>
      </c>
      <c r="CI288" t="e">
        <f t="shared" ref="CI288:CI293" si="637">PRODUCT(CJ288:CQ288)</f>
        <v>#N/A</v>
      </c>
      <c r="CJ288" s="6" t="e">
        <f t="shared" si="11"/>
        <v>#N/A</v>
      </c>
      <c r="CK288" s="6">
        <f t="shared" si="12"/>
        <v>1</v>
      </c>
      <c r="CL288" s="6">
        <f t="shared" si="26"/>
        <v>1</v>
      </c>
      <c r="CM288" s="6">
        <f t="shared" si="13"/>
        <v>1</v>
      </c>
      <c r="CN288" s="6">
        <f t="shared" si="14"/>
        <v>1</v>
      </c>
      <c r="CO288" s="6">
        <f t="shared" si="15"/>
        <v>1</v>
      </c>
      <c r="CP288" s="6">
        <f t="shared" si="16"/>
        <v>1</v>
      </c>
      <c r="CQ288" s="6">
        <f t="shared" ref="CQ288:CQ293" si="638">IF(CQ$5="Any",1,IF(AND(CQ$5="Med",AV288=0,SUM(AN288:AQ288)=0),1,IF(AND(CQ$5="Low",AV288=0,SUM(AN288:AQ288)=0,AM288=0),1,IF(AND(CQ$5="Flat",AV288=0,SUM(AN288:AQ288)=0,AM288=0,IFERROR(NOT(BE288="Y"),0)),1,0))))</f>
        <v>1</v>
      </c>
      <c r="CR288" s="81" t="str">
        <f t="shared" si="17"/>
        <v/>
      </c>
      <c r="CS288">
        <f t="shared" ref="CS288:CS293" si="639">CS$5*(12/(MIN(12,Q288))-1)</f>
        <v>0</v>
      </c>
      <c r="CT288">
        <f t="shared" si="19"/>
        <v>20</v>
      </c>
      <c r="CU288" t="str">
        <f t="shared" si="29"/>
        <v>rm</v>
      </c>
      <c r="CV288" s="81">
        <f t="shared" ref="CV288:CV293" si="640">CT288*IF(CU288="",1,Q288)</f>
        <v>240</v>
      </c>
      <c r="CW288" s="81">
        <f>(CV288/25)^1.5*(Calculator!$BU$4/10000)*CW$5</f>
        <v>76.803483157572401</v>
      </c>
      <c r="CX288" t="str">
        <f t="shared" ref="CX288:CX293" si="641">"$"&amp;IF(LEFT(CU288,1)="r",CT288&amp;"/"&amp;CU288,CV288)</f>
        <v>$20/rm</v>
      </c>
    </row>
    <row r="289" spans="2:102" x14ac:dyDescent="0.25">
      <c r="B289" s="115" t="s">
        <v>233</v>
      </c>
      <c r="C289" s="13">
        <v>46242.178472222222</v>
      </c>
      <c r="D289">
        <v>36345</v>
      </c>
      <c r="E289" s="54" t="s">
        <v>237</v>
      </c>
      <c r="F289" s="54" t="s">
        <v>1238</v>
      </c>
      <c r="G289" s="54" t="s">
        <v>1606</v>
      </c>
      <c r="H289" s="55">
        <v>15.299999999999999</v>
      </c>
      <c r="I289" s="55">
        <v>14.399999999999999</v>
      </c>
      <c r="J289" s="55">
        <v>14.000000000000002</v>
      </c>
      <c r="K289" s="54"/>
      <c r="L289" s="56" t="b">
        <v>0</v>
      </c>
      <c r="M289" s="56" t="b">
        <v>0</v>
      </c>
      <c r="N289" s="54">
        <v>1</v>
      </c>
      <c r="O289" s="54" t="s">
        <v>228</v>
      </c>
      <c r="P289" s="54">
        <v>100</v>
      </c>
      <c r="Q289" s="54">
        <v>24</v>
      </c>
      <c r="R289" s="54" t="s">
        <v>1598</v>
      </c>
      <c r="S289" s="54" t="s">
        <v>1599</v>
      </c>
      <c r="T289" s="54" t="s">
        <v>1607</v>
      </c>
      <c r="U289" s="54" t="s">
        <v>1595</v>
      </c>
      <c r="V289" s="54" t="s">
        <v>1601</v>
      </c>
      <c r="W289" s="54" t="b">
        <v>0</v>
      </c>
      <c r="X289" s="54"/>
      <c r="Y289" s="57" t="s">
        <v>1941</v>
      </c>
      <c r="Z289" s="54" t="s">
        <v>1608</v>
      </c>
      <c r="AA289" s="54"/>
      <c r="AB289" s="54" t="s">
        <v>1603</v>
      </c>
      <c r="AC289" s="56" t="b">
        <v>1</v>
      </c>
      <c r="AD289" s="56" t="b">
        <v>0</v>
      </c>
      <c r="AE289" s="54" t="s">
        <v>302</v>
      </c>
      <c r="AF289" s="58">
        <v>46240</v>
      </c>
      <c r="AG289" s="62" t="s">
        <v>293</v>
      </c>
      <c r="AH289" s="54">
        <v>0</v>
      </c>
      <c r="AI289" s="54"/>
      <c r="AJ289" s="54"/>
      <c r="AK289" s="54"/>
      <c r="AL289" s="54"/>
      <c r="AM289" s="54">
        <v>4.95</v>
      </c>
      <c r="AN289" s="54"/>
      <c r="AO289" s="54"/>
      <c r="AP289" s="54"/>
      <c r="AQ289" s="54"/>
      <c r="AR289" s="54"/>
      <c r="AS289" s="54"/>
      <c r="AT289" s="54"/>
      <c r="AU289" s="54"/>
      <c r="AV289" s="54"/>
      <c r="AW289" s="54"/>
      <c r="AX289" s="59"/>
      <c r="AY289" s="59"/>
      <c r="AZ289" s="59"/>
      <c r="BA289" s="59"/>
      <c r="BB289" s="59">
        <v>7.4999999999999997E-2</v>
      </c>
      <c r="BC289" s="60">
        <v>4.0599999999999996</v>
      </c>
      <c r="BD289" s="61">
        <v>6.0295000000000001E-2</v>
      </c>
      <c r="BE289" s="62" t="s">
        <v>293</v>
      </c>
      <c r="BF289" s="35">
        <f t="shared" si="630"/>
        <v>4.0600000000000005</v>
      </c>
      <c r="BG289" s="35">
        <f t="shared" si="630"/>
        <v>6.0295000000000001E-2</v>
      </c>
      <c r="BH289" s="35" t="str">
        <f t="shared" si="631"/>
        <v>Med</v>
      </c>
      <c r="BI289" s="110">
        <f t="shared" si="632"/>
        <v>0</v>
      </c>
      <c r="BJ289" s="83" t="str">
        <f>VLOOKUP($F289,REP_Info!$D$6:$H$250,5,FALSE)</f>
        <v/>
      </c>
      <c r="BK289" s="30">
        <f t="shared" si="633"/>
        <v>15.3315</v>
      </c>
      <c r="BL289" s="30">
        <f t="shared" si="633"/>
        <v>14.4305</v>
      </c>
      <c r="BM289" s="30">
        <f t="shared" si="633"/>
        <v>13.980000000000002</v>
      </c>
      <c r="BN289" s="29">
        <f t="shared" si="633"/>
        <v>13.829833333333333</v>
      </c>
      <c r="BO289" s="85" t="str">
        <f t="shared" si="2"/>
        <v>$$$</v>
      </c>
      <c r="BP289" s="88" t="str">
        <f t="shared" si="634"/>
        <v>$$$</v>
      </c>
      <c r="BQ289" s="88" t="str">
        <f t="shared" si="4"/>
        <v>$$$</v>
      </c>
      <c r="BR289" s="88" t="str">
        <f t="shared" si="5"/>
        <v>$$$</v>
      </c>
      <c r="BS289" s="29" t="e">
        <f t="shared" si="635"/>
        <v>#N/A</v>
      </c>
      <c r="BT289" s="29" t="e">
        <f t="shared" si="635"/>
        <v>#N/A</v>
      </c>
      <c r="BU289" s="29" t="e">
        <f t="shared" si="635"/>
        <v>#N/A</v>
      </c>
      <c r="BV289" s="29" t="e">
        <f t="shared" si="635"/>
        <v>#N/A</v>
      </c>
      <c r="BW289" s="29" t="e">
        <f t="shared" si="635"/>
        <v>#N/A</v>
      </c>
      <c r="BX289" s="29" t="e">
        <f t="shared" si="635"/>
        <v>#N/A</v>
      </c>
      <c r="BY289" s="29" t="e">
        <f t="shared" si="635"/>
        <v>#N/A</v>
      </c>
      <c r="BZ289" s="29" t="e">
        <f t="shared" si="635"/>
        <v>#N/A</v>
      </c>
      <c r="CA289" s="29" t="e">
        <f t="shared" si="635"/>
        <v>#N/A</v>
      </c>
      <c r="CB289" s="29" t="e">
        <f t="shared" si="635"/>
        <v>#N/A</v>
      </c>
      <c r="CC289" s="29" t="e">
        <f t="shared" si="635"/>
        <v>#N/A</v>
      </c>
      <c r="CD289" s="29" t="e">
        <f t="shared" si="635"/>
        <v>#N/A</v>
      </c>
      <c r="CE289" s="6" t="str">
        <f t="shared" si="550"/>
        <v/>
      </c>
      <c r="CF289" s="27" t="e">
        <f>IF(AND(CI289,NOT(AD289)),LOOKUP(CF$5,{0,750,1500},H289:J289),"")</f>
        <v>#N/A</v>
      </c>
      <c r="CG289" s="6" t="str">
        <f t="shared" si="551"/>
        <v/>
      </c>
      <c r="CH289" t="e">
        <f t="shared" si="636"/>
        <v>#N/A</v>
      </c>
      <c r="CI289" t="e">
        <f t="shared" si="637"/>
        <v>#N/A</v>
      </c>
      <c r="CJ289" s="6" t="e">
        <f t="shared" si="11"/>
        <v>#N/A</v>
      </c>
      <c r="CK289" s="6">
        <f t="shared" si="12"/>
        <v>1</v>
      </c>
      <c r="CL289" s="6">
        <f t="shared" si="26"/>
        <v>1</v>
      </c>
      <c r="CM289" s="6">
        <f t="shared" si="13"/>
        <v>1</v>
      </c>
      <c r="CN289" s="6">
        <f t="shared" si="14"/>
        <v>1</v>
      </c>
      <c r="CO289" s="6">
        <f t="shared" si="15"/>
        <v>0</v>
      </c>
      <c r="CP289" s="6">
        <f t="shared" si="16"/>
        <v>1</v>
      </c>
      <c r="CQ289" s="6">
        <f t="shared" si="638"/>
        <v>1</v>
      </c>
      <c r="CR289" s="81" t="str">
        <f t="shared" si="17"/>
        <v/>
      </c>
      <c r="CS289">
        <f t="shared" si="639"/>
        <v>0</v>
      </c>
      <c r="CT289">
        <f t="shared" si="19"/>
        <v>20</v>
      </c>
      <c r="CU289" t="str">
        <f t="shared" si="29"/>
        <v>rm</v>
      </c>
      <c r="CV289" s="81">
        <f t="shared" si="640"/>
        <v>480</v>
      </c>
      <c r="CW289" s="81">
        <f>(CV289/25)^1.5*(Calculator!$BU$4/10000)*CW$5</f>
        <v>217.23305503786497</v>
      </c>
      <c r="CX289" t="str">
        <f t="shared" si="641"/>
        <v>$20/rm</v>
      </c>
    </row>
    <row r="290" spans="2:102" x14ac:dyDescent="0.25">
      <c r="B290" s="115" t="s">
        <v>233</v>
      </c>
      <c r="C290" s="13">
        <v>46254.637499999997</v>
      </c>
      <c r="D290">
        <v>29295</v>
      </c>
      <c r="E290" s="54" t="s">
        <v>237</v>
      </c>
      <c r="F290" s="54" t="s">
        <v>650</v>
      </c>
      <c r="G290" s="54" t="s">
        <v>1810</v>
      </c>
      <c r="H290" s="55">
        <v>12.7</v>
      </c>
      <c r="I290" s="55">
        <v>12.2</v>
      </c>
      <c r="J290" s="55">
        <v>12</v>
      </c>
      <c r="K290" s="54"/>
      <c r="L290" s="56" t="b">
        <v>0</v>
      </c>
      <c r="M290" s="56" t="b">
        <v>0</v>
      </c>
      <c r="N290" s="54">
        <v>1</v>
      </c>
      <c r="O290" s="54" t="s">
        <v>228</v>
      </c>
      <c r="P290" s="54">
        <v>6</v>
      </c>
      <c r="Q290" s="54">
        <v>12</v>
      </c>
      <c r="R290" s="54">
        <v>99</v>
      </c>
      <c r="S290" s="54" t="s">
        <v>1625</v>
      </c>
      <c r="T290" s="54" t="s">
        <v>1811</v>
      </c>
      <c r="U290" s="54" t="s">
        <v>1617</v>
      </c>
      <c r="V290" s="54" t="s">
        <v>1626</v>
      </c>
      <c r="W290" s="54" t="b">
        <v>0</v>
      </c>
      <c r="X290" s="54"/>
      <c r="Y290" s="57" t="s">
        <v>2289</v>
      </c>
      <c r="Z290" s="54" t="s">
        <v>1627</v>
      </c>
      <c r="AA290" s="54"/>
      <c r="AB290" s="54" t="s">
        <v>1628</v>
      </c>
      <c r="AC290" s="56" t="b">
        <v>0</v>
      </c>
      <c r="AD290" s="56" t="b">
        <v>0</v>
      </c>
      <c r="AE290" s="54" t="s">
        <v>302</v>
      </c>
      <c r="AF290" s="58">
        <v>46254</v>
      </c>
      <c r="AG290" s="62" t="s">
        <v>293</v>
      </c>
      <c r="AH290" s="54">
        <v>0</v>
      </c>
      <c r="AI290" s="54"/>
      <c r="AJ290" s="54"/>
      <c r="AK290" s="54"/>
      <c r="AL290" s="54"/>
      <c r="AM290" s="54">
        <v>0</v>
      </c>
      <c r="AN290" s="54"/>
      <c r="AO290" s="54"/>
      <c r="AP290" s="54"/>
      <c r="AQ290" s="54"/>
      <c r="AR290" s="54"/>
      <c r="AS290" s="54"/>
      <c r="AT290" s="54"/>
      <c r="AU290" s="54"/>
      <c r="AV290" s="54"/>
      <c r="AW290" s="54"/>
      <c r="AX290" s="59"/>
      <c r="AY290" s="59"/>
      <c r="AZ290" s="59"/>
      <c r="BA290" s="59"/>
      <c r="BB290" s="59">
        <v>5.8139999999999997E-2</v>
      </c>
      <c r="BC290" s="60"/>
      <c r="BD290" s="61"/>
      <c r="BE290" s="62" t="s">
        <v>293</v>
      </c>
      <c r="BF290" s="35">
        <f t="shared" si="630"/>
        <v>4.0600000000000005</v>
      </c>
      <c r="BG290" s="35">
        <f t="shared" si="630"/>
        <v>6.0295000000000001E-2</v>
      </c>
      <c r="BH290" s="35" t="str">
        <f t="shared" si="631"/>
        <v>Low</v>
      </c>
      <c r="BI290" s="110">
        <f t="shared" si="632"/>
        <v>0</v>
      </c>
      <c r="BJ290" s="83">
        <f>VLOOKUP($F290,REP_Info!$D$6:$H$250,5,FALSE)</f>
        <v>1.694</v>
      </c>
      <c r="BK290" s="30">
        <f t="shared" si="633"/>
        <v>12.6555</v>
      </c>
      <c r="BL290" s="30">
        <f t="shared" si="633"/>
        <v>12.249499999999999</v>
      </c>
      <c r="BM290" s="30">
        <f t="shared" si="633"/>
        <v>12.0465</v>
      </c>
      <c r="BN290" s="29">
        <f t="shared" si="633"/>
        <v>11.978833333333334</v>
      </c>
      <c r="BO290" s="85" t="str">
        <f t="shared" si="2"/>
        <v>$$$</v>
      </c>
      <c r="BP290" s="88" t="str">
        <f t="shared" si="634"/>
        <v>$$$</v>
      </c>
      <c r="BQ290" s="88" t="str">
        <f t="shared" si="4"/>
        <v>$$$</v>
      </c>
      <c r="BR290" s="88" t="str">
        <f t="shared" si="5"/>
        <v>$$$</v>
      </c>
      <c r="BS290" s="29" t="e">
        <f t="shared" si="635"/>
        <v>#N/A</v>
      </c>
      <c r="BT290" s="29" t="e">
        <f t="shared" si="635"/>
        <v>#N/A</v>
      </c>
      <c r="BU290" s="29" t="e">
        <f t="shared" si="635"/>
        <v>#N/A</v>
      </c>
      <c r="BV290" s="29" t="e">
        <f t="shared" si="635"/>
        <v>#N/A</v>
      </c>
      <c r="BW290" s="29" t="e">
        <f t="shared" si="635"/>
        <v>#N/A</v>
      </c>
      <c r="BX290" s="29" t="e">
        <f t="shared" si="635"/>
        <v>#N/A</v>
      </c>
      <c r="BY290" s="29" t="e">
        <f t="shared" si="635"/>
        <v>#N/A</v>
      </c>
      <c r="BZ290" s="29" t="e">
        <f t="shared" si="635"/>
        <v>#N/A</v>
      </c>
      <c r="CA290" s="29" t="e">
        <f t="shared" si="635"/>
        <v>#N/A</v>
      </c>
      <c r="CB290" s="29" t="e">
        <f t="shared" si="635"/>
        <v>#N/A</v>
      </c>
      <c r="CC290" s="29" t="e">
        <f t="shared" si="635"/>
        <v>#N/A</v>
      </c>
      <c r="CD290" s="29" t="e">
        <f t="shared" si="635"/>
        <v>#N/A</v>
      </c>
      <c r="CE290" s="6" t="str">
        <f t="shared" si="550"/>
        <v/>
      </c>
      <c r="CF290" s="27" t="e">
        <f>IF(AND(CI290,NOT(AD290)),LOOKUP(CF$5,{0,750,1500},H290:J290),"")</f>
        <v>#N/A</v>
      </c>
      <c r="CG290" s="6" t="str">
        <f t="shared" si="551"/>
        <v/>
      </c>
      <c r="CH290" t="e">
        <f t="shared" si="636"/>
        <v>#N/A</v>
      </c>
      <c r="CI290" t="e">
        <f t="shared" si="637"/>
        <v>#N/A</v>
      </c>
      <c r="CJ290" s="6" t="e">
        <f t="shared" si="11"/>
        <v>#N/A</v>
      </c>
      <c r="CK290" s="6">
        <f t="shared" si="12"/>
        <v>1</v>
      </c>
      <c r="CL290" s="6">
        <f t="shared" si="26"/>
        <v>1</v>
      </c>
      <c r="CM290" s="6">
        <f t="shared" si="13"/>
        <v>1</v>
      </c>
      <c r="CN290" s="6">
        <f t="shared" si="14"/>
        <v>1</v>
      </c>
      <c r="CO290" s="6">
        <f t="shared" si="15"/>
        <v>1</v>
      </c>
      <c r="CP290" s="6">
        <f t="shared" si="16"/>
        <v>1</v>
      </c>
      <c r="CQ290" s="6">
        <f t="shared" si="638"/>
        <v>1</v>
      </c>
      <c r="CR290" s="81" t="str">
        <f t="shared" si="17"/>
        <v/>
      </c>
      <c r="CS290">
        <f t="shared" si="639"/>
        <v>0</v>
      </c>
      <c r="CT290">
        <f t="shared" si="19"/>
        <v>99</v>
      </c>
      <c r="CU290" t="str">
        <f t="shared" si="29"/>
        <v/>
      </c>
      <c r="CV290" s="81">
        <f t="shared" si="640"/>
        <v>99</v>
      </c>
      <c r="CW290" s="81">
        <f>(CV290/25)^1.5*(Calculator!$BU$4/10000)*CW$5</f>
        <v>20.347771207718779</v>
      </c>
      <c r="CX290" t="str">
        <f t="shared" si="641"/>
        <v>$99</v>
      </c>
    </row>
    <row r="291" spans="2:102" x14ac:dyDescent="0.25">
      <c r="B291" s="115" t="s">
        <v>233</v>
      </c>
      <c r="C291" s="13">
        <v>46254.637499999997</v>
      </c>
      <c r="D291">
        <v>29296</v>
      </c>
      <c r="E291" s="54" t="s">
        <v>235</v>
      </c>
      <c r="F291" s="54" t="s">
        <v>650</v>
      </c>
      <c r="G291" s="54" t="s">
        <v>1810</v>
      </c>
      <c r="H291" s="55">
        <v>12</v>
      </c>
      <c r="I291" s="55">
        <v>11.5</v>
      </c>
      <c r="J291" s="55">
        <v>11.3</v>
      </c>
      <c r="K291" s="54"/>
      <c r="L291" s="56" t="b">
        <v>0</v>
      </c>
      <c r="M291" s="56" t="b">
        <v>0</v>
      </c>
      <c r="N291" s="54">
        <v>1</v>
      </c>
      <c r="O291" s="54" t="s">
        <v>228</v>
      </c>
      <c r="P291" s="54">
        <v>6</v>
      </c>
      <c r="Q291" s="54">
        <v>12</v>
      </c>
      <c r="R291" s="54">
        <v>99</v>
      </c>
      <c r="S291" s="54" t="s">
        <v>1625</v>
      </c>
      <c r="T291" s="54" t="s">
        <v>1811</v>
      </c>
      <c r="U291" s="54" t="s">
        <v>1617</v>
      </c>
      <c r="V291" s="54" t="s">
        <v>1626</v>
      </c>
      <c r="W291" s="54" t="b">
        <v>0</v>
      </c>
      <c r="X291" s="54"/>
      <c r="Y291" s="57" t="s">
        <v>2290</v>
      </c>
      <c r="Z291" s="54" t="s">
        <v>1627</v>
      </c>
      <c r="AA291" s="54"/>
      <c r="AB291" s="54" t="s">
        <v>1628</v>
      </c>
      <c r="AC291" s="56" t="b">
        <v>0</v>
      </c>
      <c r="AD291" s="56" t="b">
        <v>0</v>
      </c>
      <c r="AE291" s="54" t="s">
        <v>302</v>
      </c>
      <c r="AF291" s="58">
        <v>46254</v>
      </c>
      <c r="AG291" s="62" t="s">
        <v>293</v>
      </c>
      <c r="AH291" s="54">
        <v>0</v>
      </c>
      <c r="AI291" s="54"/>
      <c r="AJ291" s="54"/>
      <c r="AK291" s="54"/>
      <c r="AL291" s="54"/>
      <c r="AM291" s="54">
        <v>0</v>
      </c>
      <c r="AN291" s="54"/>
      <c r="AO291" s="54"/>
      <c r="AP291" s="54"/>
      <c r="AQ291" s="54"/>
      <c r="AR291" s="54"/>
      <c r="AS291" s="54"/>
      <c r="AT291" s="54"/>
      <c r="AU291" s="54"/>
      <c r="AV291" s="54"/>
      <c r="AW291" s="54"/>
      <c r="AX291" s="59"/>
      <c r="AY291" s="59"/>
      <c r="AZ291" s="59"/>
      <c r="BA291" s="59"/>
      <c r="BB291" s="59">
        <v>5.9133999999999999E-2</v>
      </c>
      <c r="BC291" s="60"/>
      <c r="BD291" s="61"/>
      <c r="BE291" s="62" t="s">
        <v>293</v>
      </c>
      <c r="BF291" s="35">
        <f t="shared" si="630"/>
        <v>4.9000000000000004</v>
      </c>
      <c r="BG291" s="35">
        <f t="shared" si="630"/>
        <v>4.9811000000000001E-2</v>
      </c>
      <c r="BH291" s="35" t="str">
        <f t="shared" si="631"/>
        <v>Low</v>
      </c>
      <c r="BI291" s="110">
        <f t="shared" si="632"/>
        <v>0</v>
      </c>
      <c r="BJ291" s="83">
        <f>VLOOKUP($F291,REP_Info!$D$6:$H$250,5,FALSE)</f>
        <v>1.694</v>
      </c>
      <c r="BK291" s="30">
        <f t="shared" si="633"/>
        <v>11.874499999999999</v>
      </c>
      <c r="BL291" s="30">
        <f t="shared" si="633"/>
        <v>11.384499999999999</v>
      </c>
      <c r="BM291" s="30">
        <f t="shared" si="633"/>
        <v>11.139500000000002</v>
      </c>
      <c r="BN291" s="29">
        <f t="shared" si="633"/>
        <v>11.057833333333333</v>
      </c>
      <c r="BO291" s="85" t="str">
        <f t="shared" si="2"/>
        <v>$$$</v>
      </c>
      <c r="BP291" s="88" t="str">
        <f t="shared" si="634"/>
        <v>$$$</v>
      </c>
      <c r="BQ291" s="88" t="str">
        <f t="shared" si="4"/>
        <v>$$$</v>
      </c>
      <c r="BR291" s="88" t="str">
        <f t="shared" si="5"/>
        <v>$$$</v>
      </c>
      <c r="BS291" s="29" t="e">
        <f t="shared" si="635"/>
        <v>#N/A</v>
      </c>
      <c r="BT291" s="29" t="e">
        <f t="shared" si="635"/>
        <v>#N/A</v>
      </c>
      <c r="BU291" s="29" t="e">
        <f t="shared" si="635"/>
        <v>#N/A</v>
      </c>
      <c r="BV291" s="29" t="e">
        <f t="shared" si="635"/>
        <v>#N/A</v>
      </c>
      <c r="BW291" s="29" t="e">
        <f t="shared" si="635"/>
        <v>#N/A</v>
      </c>
      <c r="BX291" s="29" t="e">
        <f t="shared" si="635"/>
        <v>#N/A</v>
      </c>
      <c r="BY291" s="29" t="e">
        <f t="shared" si="635"/>
        <v>#N/A</v>
      </c>
      <c r="BZ291" s="29" t="e">
        <f t="shared" si="635"/>
        <v>#N/A</v>
      </c>
      <c r="CA291" s="29" t="e">
        <f t="shared" si="635"/>
        <v>#N/A</v>
      </c>
      <c r="CB291" s="29" t="e">
        <f t="shared" si="635"/>
        <v>#N/A</v>
      </c>
      <c r="CC291" s="29" t="e">
        <f t="shared" si="635"/>
        <v>#N/A</v>
      </c>
      <c r="CD291" s="29" t="e">
        <f t="shared" si="635"/>
        <v>#N/A</v>
      </c>
      <c r="CE291" s="6" t="str">
        <f t="shared" si="550"/>
        <v/>
      </c>
      <c r="CF291" s="27" t="e">
        <f>IF(AND(CI291,NOT(AD291)),LOOKUP(CF$5,{0,750,1500},H291:J291),"")</f>
        <v>#N/A</v>
      </c>
      <c r="CG291" s="6" t="str">
        <f t="shared" si="551"/>
        <v/>
      </c>
      <c r="CH291" t="e">
        <f t="shared" si="636"/>
        <v>#N/A</v>
      </c>
      <c r="CI291" t="e">
        <f t="shared" si="637"/>
        <v>#N/A</v>
      </c>
      <c r="CJ291" s="6" t="e">
        <f t="shared" si="11"/>
        <v>#N/A</v>
      </c>
      <c r="CK291" s="6">
        <f t="shared" si="12"/>
        <v>1</v>
      </c>
      <c r="CL291" s="6">
        <f t="shared" si="26"/>
        <v>1</v>
      </c>
      <c r="CM291" s="6">
        <f t="shared" si="13"/>
        <v>1</v>
      </c>
      <c r="CN291" s="6">
        <f t="shared" si="14"/>
        <v>1</v>
      </c>
      <c r="CO291" s="6">
        <f t="shared" si="15"/>
        <v>1</v>
      </c>
      <c r="CP291" s="6">
        <f t="shared" si="16"/>
        <v>1</v>
      </c>
      <c r="CQ291" s="6">
        <f t="shared" si="638"/>
        <v>1</v>
      </c>
      <c r="CR291" s="81" t="str">
        <f t="shared" si="17"/>
        <v/>
      </c>
      <c r="CS291">
        <f t="shared" si="639"/>
        <v>0</v>
      </c>
      <c r="CT291">
        <f t="shared" si="19"/>
        <v>99</v>
      </c>
      <c r="CU291" t="str">
        <f t="shared" si="29"/>
        <v/>
      </c>
      <c r="CV291" s="81">
        <f t="shared" si="640"/>
        <v>99</v>
      </c>
      <c r="CW291" s="81">
        <f>(CV291/25)^1.5*(Calculator!$BU$4/10000)*CW$5</f>
        <v>20.347771207718779</v>
      </c>
      <c r="CX291" t="str">
        <f t="shared" si="641"/>
        <v>$99</v>
      </c>
    </row>
    <row r="292" spans="2:102" x14ac:dyDescent="0.25">
      <c r="B292" s="115" t="s">
        <v>233</v>
      </c>
      <c r="C292" s="13">
        <v>46248.413194444445</v>
      </c>
      <c r="D292">
        <v>29320</v>
      </c>
      <c r="E292" s="54" t="s">
        <v>235</v>
      </c>
      <c r="F292" s="54" t="s">
        <v>650</v>
      </c>
      <c r="G292" s="54" t="s">
        <v>2082</v>
      </c>
      <c r="H292" s="55">
        <v>10.9</v>
      </c>
      <c r="I292" s="55">
        <v>9.9</v>
      </c>
      <c r="J292" s="55">
        <v>9.5</v>
      </c>
      <c r="K292" s="54"/>
      <c r="L292" s="56" t="b">
        <v>0</v>
      </c>
      <c r="M292" s="56" t="b">
        <v>0</v>
      </c>
      <c r="N292" s="54">
        <v>1</v>
      </c>
      <c r="O292" s="54" t="s">
        <v>228</v>
      </c>
      <c r="P292" s="54">
        <v>6</v>
      </c>
      <c r="Q292" s="54">
        <v>3</v>
      </c>
      <c r="R292" s="54">
        <v>39</v>
      </c>
      <c r="S292" s="54" t="s">
        <v>1625</v>
      </c>
      <c r="T292" s="54"/>
      <c r="U292" s="54" t="s">
        <v>1617</v>
      </c>
      <c r="V292" s="54" t="s">
        <v>1626</v>
      </c>
      <c r="W292" s="54" t="b">
        <v>0</v>
      </c>
      <c r="X292" s="54"/>
      <c r="Y292" s="57" t="s">
        <v>2083</v>
      </c>
      <c r="Z292" s="54" t="s">
        <v>1627</v>
      </c>
      <c r="AA292" s="54"/>
      <c r="AB292" s="54" t="s">
        <v>1628</v>
      </c>
      <c r="AC292" s="56" t="b">
        <v>1</v>
      </c>
      <c r="AD292" s="56" t="b">
        <v>0</v>
      </c>
      <c r="AE292" s="54" t="s">
        <v>302</v>
      </c>
      <c r="AF292" s="58">
        <v>46247</v>
      </c>
      <c r="AG292" s="62" t="s">
        <v>293</v>
      </c>
      <c r="AH292" s="54">
        <v>0</v>
      </c>
      <c r="AI292" s="54"/>
      <c r="AJ292" s="54"/>
      <c r="AK292" s="54"/>
      <c r="AL292" s="54"/>
      <c r="AM292" s="54">
        <v>4.95</v>
      </c>
      <c r="AN292" s="54"/>
      <c r="AO292" s="54"/>
      <c r="AP292" s="54"/>
      <c r="AQ292" s="54"/>
      <c r="AR292" s="54"/>
      <c r="AS292" s="54"/>
      <c r="AT292" s="54"/>
      <c r="AU292" s="54"/>
      <c r="AV292" s="54"/>
      <c r="AW292" s="54"/>
      <c r="AX292" s="59"/>
      <c r="AY292" s="59"/>
      <c r="AZ292" s="59"/>
      <c r="BA292" s="59"/>
      <c r="BB292" s="59">
        <v>3.8184000000000003E-2</v>
      </c>
      <c r="BC292" s="60"/>
      <c r="BD292" s="61"/>
      <c r="BE292" s="62" t="s">
        <v>293</v>
      </c>
      <c r="BF292" s="35">
        <f t="shared" si="630"/>
        <v>4.9000000000000004</v>
      </c>
      <c r="BG292" s="35">
        <f t="shared" si="630"/>
        <v>4.9811000000000001E-2</v>
      </c>
      <c r="BH292" s="35" t="str">
        <f t="shared" si="631"/>
        <v>Med</v>
      </c>
      <c r="BI292" s="110">
        <f t="shared" si="632"/>
        <v>0</v>
      </c>
      <c r="BJ292" s="83">
        <f>VLOOKUP($F292,REP_Info!$D$6:$H$250,5,FALSE)</f>
        <v>1.694</v>
      </c>
      <c r="BK292" s="30">
        <f t="shared" si="633"/>
        <v>10.769500000000001</v>
      </c>
      <c r="BL292" s="30">
        <f t="shared" si="633"/>
        <v>9.7844999999999995</v>
      </c>
      <c r="BM292" s="30">
        <f t="shared" si="633"/>
        <v>9.2920000000000016</v>
      </c>
      <c r="BN292" s="29">
        <f t="shared" si="633"/>
        <v>9.127833333333335</v>
      </c>
      <c r="BO292" s="85" t="str">
        <f t="shared" si="2"/>
        <v>$$$</v>
      </c>
      <c r="BP292" s="88" t="str">
        <f t="shared" si="634"/>
        <v>$$$</v>
      </c>
      <c r="BQ292" s="88" t="str">
        <f t="shared" si="4"/>
        <v>$$$</v>
      </c>
      <c r="BR292" s="88" t="str">
        <f t="shared" si="5"/>
        <v>$$$</v>
      </c>
      <c r="BS292" s="29" t="e">
        <f t="shared" si="635"/>
        <v>#N/A</v>
      </c>
      <c r="BT292" s="29" t="e">
        <f t="shared" si="635"/>
        <v>#N/A</v>
      </c>
      <c r="BU292" s="29" t="e">
        <f t="shared" si="635"/>
        <v>#N/A</v>
      </c>
      <c r="BV292" s="29" t="e">
        <f t="shared" si="635"/>
        <v>#N/A</v>
      </c>
      <c r="BW292" s="29" t="e">
        <f t="shared" si="635"/>
        <v>#N/A</v>
      </c>
      <c r="BX292" s="29" t="e">
        <f t="shared" si="635"/>
        <v>#N/A</v>
      </c>
      <c r="BY292" s="29" t="e">
        <f t="shared" si="635"/>
        <v>#N/A</v>
      </c>
      <c r="BZ292" s="29" t="e">
        <f t="shared" si="635"/>
        <v>#N/A</v>
      </c>
      <c r="CA292" s="29" t="e">
        <f t="shared" si="635"/>
        <v>#N/A</v>
      </c>
      <c r="CB292" s="29" t="e">
        <f t="shared" si="635"/>
        <v>#N/A</v>
      </c>
      <c r="CC292" s="29" t="e">
        <f t="shared" si="635"/>
        <v>#N/A</v>
      </c>
      <c r="CD292" s="29" t="e">
        <f t="shared" si="635"/>
        <v>#N/A</v>
      </c>
      <c r="CE292" s="6" t="str">
        <f t="shared" si="550"/>
        <v/>
      </c>
      <c r="CF292" s="27" t="e">
        <f>IF(AND(CI292,NOT(AD292)),LOOKUP(CF$5,{0,750,1500},H292:J292),"")</f>
        <v>#N/A</v>
      </c>
      <c r="CG292" s="6" t="str">
        <f t="shared" si="551"/>
        <v/>
      </c>
      <c r="CH292" t="e">
        <f t="shared" si="636"/>
        <v>#N/A</v>
      </c>
      <c r="CI292" t="e">
        <f t="shared" si="637"/>
        <v>#N/A</v>
      </c>
      <c r="CJ292" s="6" t="e">
        <f t="shared" si="11"/>
        <v>#N/A</v>
      </c>
      <c r="CK292" s="6">
        <f t="shared" si="12"/>
        <v>1</v>
      </c>
      <c r="CL292" s="6">
        <f t="shared" si="26"/>
        <v>1</v>
      </c>
      <c r="CM292" s="6">
        <f t="shared" si="13"/>
        <v>1</v>
      </c>
      <c r="CN292" s="6">
        <f t="shared" si="14"/>
        <v>0</v>
      </c>
      <c r="CO292" s="6">
        <f t="shared" si="15"/>
        <v>1</v>
      </c>
      <c r="CP292" s="6">
        <f t="shared" si="16"/>
        <v>1</v>
      </c>
      <c r="CQ292" s="6">
        <f t="shared" si="638"/>
        <v>1</v>
      </c>
      <c r="CR292" s="81" t="str">
        <f t="shared" si="17"/>
        <v/>
      </c>
      <c r="CS292">
        <f t="shared" si="639"/>
        <v>54</v>
      </c>
      <c r="CT292">
        <f t="shared" si="19"/>
        <v>39</v>
      </c>
      <c r="CU292" t="str">
        <f t="shared" si="29"/>
        <v/>
      </c>
      <c r="CV292" s="81">
        <f t="shared" si="640"/>
        <v>39</v>
      </c>
      <c r="CW292" s="81">
        <f>(CV292/25)^1.5*(Calculator!$BU$4/10000)*CW$5</f>
        <v>5.0310770021155751</v>
      </c>
      <c r="CX292" t="str">
        <f t="shared" si="641"/>
        <v>$39</v>
      </c>
    </row>
    <row r="293" spans="2:102" x14ac:dyDescent="0.25">
      <c r="B293" s="115" t="s">
        <v>233</v>
      </c>
      <c r="C293" s="13">
        <v>46248.413194444445</v>
      </c>
      <c r="D293">
        <v>29322</v>
      </c>
      <c r="E293" s="54" t="s">
        <v>237</v>
      </c>
      <c r="F293" s="54" t="s">
        <v>650</v>
      </c>
      <c r="G293" s="54" t="s">
        <v>2082</v>
      </c>
      <c r="H293" s="55">
        <v>11.700000000000001</v>
      </c>
      <c r="I293" s="55">
        <v>10.7</v>
      </c>
      <c r="J293" s="55">
        <v>10.299999999999999</v>
      </c>
      <c r="K293" s="54"/>
      <c r="L293" s="56" t="b">
        <v>0</v>
      </c>
      <c r="M293" s="56" t="b">
        <v>0</v>
      </c>
      <c r="N293" s="54">
        <v>1</v>
      </c>
      <c r="O293" s="54" t="s">
        <v>228</v>
      </c>
      <c r="P293" s="54">
        <v>6</v>
      </c>
      <c r="Q293" s="54">
        <v>3</v>
      </c>
      <c r="R293" s="54">
        <v>39</v>
      </c>
      <c r="S293" s="54" t="s">
        <v>1625</v>
      </c>
      <c r="T293" s="54"/>
      <c r="U293" s="54" t="s">
        <v>1617</v>
      </c>
      <c r="V293" s="54" t="s">
        <v>1626</v>
      </c>
      <c r="W293" s="54" t="b">
        <v>0</v>
      </c>
      <c r="X293" s="54"/>
      <c r="Y293" s="57" t="s">
        <v>2084</v>
      </c>
      <c r="Z293" s="54" t="s">
        <v>1627</v>
      </c>
      <c r="AA293" s="54"/>
      <c r="AB293" s="54" t="s">
        <v>1628</v>
      </c>
      <c r="AC293" s="56" t="b">
        <v>0</v>
      </c>
      <c r="AD293" s="56" t="b">
        <v>0</v>
      </c>
      <c r="AE293" s="54" t="s">
        <v>302</v>
      </c>
      <c r="AF293" s="58">
        <v>46247</v>
      </c>
      <c r="AG293" s="62" t="s">
        <v>293</v>
      </c>
      <c r="AH293" s="54">
        <v>0</v>
      </c>
      <c r="AI293" s="54"/>
      <c r="AJ293" s="54"/>
      <c r="AK293" s="54"/>
      <c r="AL293" s="54"/>
      <c r="AM293" s="54">
        <v>4.95</v>
      </c>
      <c r="AN293" s="54"/>
      <c r="AO293" s="54"/>
      <c r="AP293" s="54"/>
      <c r="AQ293" s="54"/>
      <c r="AR293" s="54"/>
      <c r="AS293" s="54"/>
      <c r="AT293" s="54"/>
      <c r="AU293" s="54"/>
      <c r="AV293" s="54"/>
      <c r="AW293" s="54"/>
      <c r="AX293" s="59"/>
      <c r="AY293" s="59"/>
      <c r="AZ293" s="59"/>
      <c r="BA293" s="59"/>
      <c r="BB293" s="59">
        <v>3.8190000000000002E-2</v>
      </c>
      <c r="BC293" s="60"/>
      <c r="BD293" s="61"/>
      <c r="BE293" s="62" t="s">
        <v>293</v>
      </c>
      <c r="BF293" s="35">
        <f t="shared" si="630"/>
        <v>4.0600000000000005</v>
      </c>
      <c r="BG293" s="35">
        <f t="shared" si="630"/>
        <v>6.0295000000000001E-2</v>
      </c>
      <c r="BH293" s="35" t="str">
        <f t="shared" si="631"/>
        <v>Med</v>
      </c>
      <c r="BI293" s="110">
        <f t="shared" si="632"/>
        <v>0</v>
      </c>
      <c r="BJ293" s="83">
        <f>VLOOKUP($F293,REP_Info!$D$6:$H$250,5,FALSE)</f>
        <v>1.694</v>
      </c>
      <c r="BK293" s="30">
        <f t="shared" si="633"/>
        <v>11.650500000000001</v>
      </c>
      <c r="BL293" s="30">
        <f t="shared" si="633"/>
        <v>10.749499999999999</v>
      </c>
      <c r="BM293" s="30">
        <f t="shared" si="633"/>
        <v>10.298999999999999</v>
      </c>
      <c r="BN293" s="29">
        <f t="shared" si="633"/>
        <v>10.148833333333334</v>
      </c>
      <c r="BO293" s="85" t="str">
        <f t="shared" si="2"/>
        <v>$$$</v>
      </c>
      <c r="BP293" s="88" t="str">
        <f t="shared" si="634"/>
        <v>$$$</v>
      </c>
      <c r="BQ293" s="88" t="str">
        <f t="shared" si="4"/>
        <v>$$$</v>
      </c>
      <c r="BR293" s="88" t="str">
        <f t="shared" si="5"/>
        <v>$$$</v>
      </c>
      <c r="BS293" s="29" t="e">
        <f t="shared" si="635"/>
        <v>#N/A</v>
      </c>
      <c r="BT293" s="29" t="e">
        <f t="shared" si="635"/>
        <v>#N/A</v>
      </c>
      <c r="BU293" s="29" t="e">
        <f t="shared" si="635"/>
        <v>#N/A</v>
      </c>
      <c r="BV293" s="29" t="e">
        <f t="shared" si="635"/>
        <v>#N/A</v>
      </c>
      <c r="BW293" s="29" t="e">
        <f t="shared" si="635"/>
        <v>#N/A</v>
      </c>
      <c r="BX293" s="29" t="e">
        <f t="shared" si="635"/>
        <v>#N/A</v>
      </c>
      <c r="BY293" s="29" t="e">
        <f t="shared" si="635"/>
        <v>#N/A</v>
      </c>
      <c r="BZ293" s="29" t="e">
        <f t="shared" si="635"/>
        <v>#N/A</v>
      </c>
      <c r="CA293" s="29" t="e">
        <f t="shared" si="635"/>
        <v>#N/A</v>
      </c>
      <c r="CB293" s="29" t="e">
        <f t="shared" si="635"/>
        <v>#N/A</v>
      </c>
      <c r="CC293" s="29" t="e">
        <f t="shared" si="635"/>
        <v>#N/A</v>
      </c>
      <c r="CD293" s="29" t="e">
        <f t="shared" si="635"/>
        <v>#N/A</v>
      </c>
      <c r="CE293" s="6" t="str">
        <f t="shared" si="550"/>
        <v/>
      </c>
      <c r="CF293" s="27" t="e">
        <f>IF(AND(CI293,NOT(AD293)),LOOKUP(CF$5,{0,750,1500},H293:J293),"")</f>
        <v>#N/A</v>
      </c>
      <c r="CG293" s="6" t="str">
        <f t="shared" si="551"/>
        <v/>
      </c>
      <c r="CH293" t="e">
        <f t="shared" si="636"/>
        <v>#N/A</v>
      </c>
      <c r="CI293" t="e">
        <f t="shared" si="637"/>
        <v>#N/A</v>
      </c>
      <c r="CJ293" s="6" t="e">
        <f t="shared" si="11"/>
        <v>#N/A</v>
      </c>
      <c r="CK293" s="6">
        <f t="shared" si="12"/>
        <v>1</v>
      </c>
      <c r="CL293" s="6">
        <f t="shared" si="26"/>
        <v>1</v>
      </c>
      <c r="CM293" s="6">
        <f t="shared" si="13"/>
        <v>1</v>
      </c>
      <c r="CN293" s="6">
        <f t="shared" si="14"/>
        <v>0</v>
      </c>
      <c r="CO293" s="6">
        <f t="shared" si="15"/>
        <v>1</v>
      </c>
      <c r="CP293" s="6">
        <f t="shared" si="16"/>
        <v>1</v>
      </c>
      <c r="CQ293" s="6">
        <f t="shared" si="638"/>
        <v>1</v>
      </c>
      <c r="CR293" s="81" t="str">
        <f t="shared" si="17"/>
        <v/>
      </c>
      <c r="CS293">
        <f t="shared" si="639"/>
        <v>54</v>
      </c>
      <c r="CT293">
        <f t="shared" si="19"/>
        <v>39</v>
      </c>
      <c r="CU293" t="str">
        <f t="shared" si="29"/>
        <v/>
      </c>
      <c r="CV293" s="81">
        <f t="shared" si="640"/>
        <v>39</v>
      </c>
      <c r="CW293" s="81">
        <f>(CV293/25)^1.5*(Calculator!$BU$4/10000)*CW$5</f>
        <v>5.0310770021155751</v>
      </c>
      <c r="CX293" t="str">
        <f t="shared" si="641"/>
        <v>$39</v>
      </c>
    </row>
    <row r="294" spans="2:102" x14ac:dyDescent="0.25">
      <c r="B294" s="115" t="s">
        <v>233</v>
      </c>
      <c r="C294" s="13">
        <v>46242.178472222222</v>
      </c>
      <c r="D294">
        <v>29339</v>
      </c>
      <c r="E294" s="54" t="s">
        <v>237</v>
      </c>
      <c r="F294" s="54" t="s">
        <v>650</v>
      </c>
      <c r="G294" s="54" t="s">
        <v>1688</v>
      </c>
      <c r="H294" s="55">
        <v>15.1</v>
      </c>
      <c r="I294" s="55">
        <v>14.2</v>
      </c>
      <c r="J294" s="55">
        <v>13.700000000000001</v>
      </c>
      <c r="K294" s="54"/>
      <c r="L294" s="56" t="b">
        <v>0</v>
      </c>
      <c r="M294" s="56" t="b">
        <v>0</v>
      </c>
      <c r="N294" s="54">
        <v>1</v>
      </c>
      <c r="O294" s="54" t="s">
        <v>228</v>
      </c>
      <c r="P294" s="54">
        <v>6</v>
      </c>
      <c r="Q294" s="54">
        <v>36</v>
      </c>
      <c r="R294" s="54">
        <v>249</v>
      </c>
      <c r="S294" s="54" t="s">
        <v>1625</v>
      </c>
      <c r="T294" s="54" t="s">
        <v>1620</v>
      </c>
      <c r="U294" s="54" t="s">
        <v>1617</v>
      </c>
      <c r="V294" s="54" t="s">
        <v>1626</v>
      </c>
      <c r="W294" s="54" t="b">
        <v>0</v>
      </c>
      <c r="X294" s="54"/>
      <c r="Y294" s="57" t="s">
        <v>1942</v>
      </c>
      <c r="Z294" s="54" t="s">
        <v>1629</v>
      </c>
      <c r="AA294" s="54"/>
      <c r="AB294" s="54" t="s">
        <v>1628</v>
      </c>
      <c r="AC294" s="56" t="b">
        <v>1</v>
      </c>
      <c r="AD294" s="56" t="b">
        <v>0</v>
      </c>
      <c r="AE294" s="54" t="s">
        <v>302</v>
      </c>
      <c r="AF294" s="58">
        <v>46238</v>
      </c>
      <c r="AG294" s="62" t="s">
        <v>293</v>
      </c>
      <c r="AH294" s="54">
        <v>0</v>
      </c>
      <c r="AI294" s="54"/>
      <c r="AJ294" s="54"/>
      <c r="AK294" s="54"/>
      <c r="AL294" s="54"/>
      <c r="AM294" s="54">
        <v>4.95</v>
      </c>
      <c r="AN294" s="54"/>
      <c r="AO294" s="54"/>
      <c r="AP294" s="54"/>
      <c r="AQ294" s="54"/>
      <c r="AR294" s="54"/>
      <c r="AS294" s="54"/>
      <c r="AT294" s="54"/>
      <c r="AU294" s="54"/>
      <c r="AV294" s="54"/>
      <c r="AW294" s="54"/>
      <c r="AX294" s="59"/>
      <c r="AY294" s="59"/>
      <c r="AZ294" s="59"/>
      <c r="BA294" s="59"/>
      <c r="BB294" s="59">
        <v>7.2694999999999996E-2</v>
      </c>
      <c r="BC294" s="60"/>
      <c r="BD294" s="61"/>
      <c r="BE294" s="62" t="s">
        <v>293</v>
      </c>
      <c r="BF294" s="35">
        <f t="shared" ref="BF294:BG294" si="642">IF($E294=$E$4,BF$4,IF($E294=$E$5,BF$5,""))</f>
        <v>4.0600000000000005</v>
      </c>
      <c r="BG294" s="35">
        <f t="shared" si="642"/>
        <v>6.0295000000000001E-2</v>
      </c>
      <c r="BH294" s="35" t="str">
        <f t="shared" ref="BH294" si="643">IF(ISTEXT(BE294),IF(AND(AV294=0,SUM(AN294:AQ294)=0),IF(AM294&lt;=0,IF(BE294="Y","Low","Flat"),"Med"),"High"),"?")</f>
        <v>Med</v>
      </c>
      <c r="BI294" s="110">
        <f t="shared" ref="BI294" si="644">IF(ISNUMBER(AH294),0*BI$5*SIN((EDATE($A$3,$Q294)-DATE(YEAR(EDATE($A$3,$Q294)),1,0)-BI$4)*2*PI()/365),"")</f>
        <v>0</v>
      </c>
      <c r="BJ294" s="83">
        <f>VLOOKUP($F294,REP_Info!$D$6:$H$250,5,FALSE)</f>
        <v>1.694</v>
      </c>
      <c r="BK294" s="30">
        <f t="shared" ref="BK294:BN294" si="645">IF(BK$7&gt;0,(LOOKUP(BK$7,$AH294:$AL294,$AM294:$AQ294)+IF($AG294="Y",SUMPRODUCT($AX294:$BB294-$AW294:$BA294,BK$7-$AR294:$AV294,N(BK$7&gt;$AR294:$AV294)),BK$7*LOOKUP(BK$7,$AR294:$AV294,$AX294:$BB294))+IF($BE294="Y",$BF294,$BC294)+BK$7*IF($BE294="Y",$BG294,$BD294))*100/BK$7,"")</f>
        <v>15.101000000000001</v>
      </c>
      <c r="BL294" s="30">
        <f t="shared" si="645"/>
        <v>14.2</v>
      </c>
      <c r="BM294" s="30">
        <f t="shared" si="645"/>
        <v>13.749499999999999</v>
      </c>
      <c r="BN294" s="29">
        <f t="shared" si="645"/>
        <v>13.59933333333333</v>
      </c>
      <c r="BO294" s="85" t="str">
        <f t="shared" si="2"/>
        <v>$$$</v>
      </c>
      <c r="BP294" s="88" t="str">
        <f t="shared" ref="BP294" si="646">IFERROR(BO294*100/BO$5,"$$$")</f>
        <v>$$$</v>
      </c>
      <c r="BQ294" s="88" t="str">
        <f t="shared" si="4"/>
        <v>$$$</v>
      </c>
      <c r="BR294" s="88" t="str">
        <f t="shared" si="5"/>
        <v>$$$</v>
      </c>
      <c r="BS294" s="29" t="e">
        <f t="shared" ref="BS294:CD294" si="647">IF($CI294,IF(BS$7&gt;0,IF(BS$4&gt;$Q294,$BF294+BS$7*(BS$5+$BG294+$BI294),LOOKUP(BS$7,$AH294:$AL294,$AM294:$AQ294)+IF($AG294="Y",SUMPRODUCT($AX294:$BB294-$AW294:$BA294,BS$7-$AR294:$AV294,N(BS$7&gt;$AR294:$AV294)),BS$7*LOOKUP(BS$7,$AR294:$AV294,$AX294:$BB294))+IF($BE294="Y",$BF294,$BC294)+BS$7*IF($BE294="Y",$BG294,$BD294))*100/BS$7,""),NA())</f>
        <v>#N/A</v>
      </c>
      <c r="BT294" s="29" t="e">
        <f t="shared" si="647"/>
        <v>#N/A</v>
      </c>
      <c r="BU294" s="29" t="e">
        <f t="shared" si="647"/>
        <v>#N/A</v>
      </c>
      <c r="BV294" s="29" t="e">
        <f t="shared" si="647"/>
        <v>#N/A</v>
      </c>
      <c r="BW294" s="29" t="e">
        <f t="shared" si="647"/>
        <v>#N/A</v>
      </c>
      <c r="BX294" s="29" t="e">
        <f t="shared" si="647"/>
        <v>#N/A</v>
      </c>
      <c r="BY294" s="29" t="e">
        <f t="shared" si="647"/>
        <v>#N/A</v>
      </c>
      <c r="BZ294" s="29" t="e">
        <f t="shared" si="647"/>
        <v>#N/A</v>
      </c>
      <c r="CA294" s="29" t="e">
        <f t="shared" si="647"/>
        <v>#N/A</v>
      </c>
      <c r="CB294" s="29" t="e">
        <f t="shared" si="647"/>
        <v>#N/A</v>
      </c>
      <c r="CC294" s="29" t="e">
        <f t="shared" si="647"/>
        <v>#N/A</v>
      </c>
      <c r="CD294" s="29" t="e">
        <f t="shared" si="647"/>
        <v>#N/A</v>
      </c>
      <c r="CE294" s="6" t="str">
        <f t="shared" si="550"/>
        <v/>
      </c>
      <c r="CF294" s="27" t="e">
        <f>IF(AND(CI294,NOT(AD294)),LOOKUP(CF$5,{0,750,1500},H294:J294),"")</f>
        <v>#N/A</v>
      </c>
      <c r="CG294" s="6" t="str">
        <f t="shared" si="551"/>
        <v/>
      </c>
      <c r="CH294" t="e">
        <f t="shared" ref="CH294" si="648">IF(CI294,IF(ISNUMBER(BO294),BO294,100000)+CV294/10000+IF(ISNUMBER(BJ294),BJ294,2)/10000-P294/100000+ROW()/10000000,"")</f>
        <v>#N/A</v>
      </c>
      <c r="CI294" t="e">
        <f t="shared" ref="CI294" si="649">PRODUCT(CJ294:CQ294)</f>
        <v>#N/A</v>
      </c>
      <c r="CJ294" s="6" t="e">
        <f t="shared" si="11"/>
        <v>#N/A</v>
      </c>
      <c r="CK294" s="6">
        <f t="shared" si="12"/>
        <v>1</v>
      </c>
      <c r="CL294" s="6">
        <f t="shared" si="26"/>
        <v>1</v>
      </c>
      <c r="CM294" s="6">
        <f t="shared" si="13"/>
        <v>1</v>
      </c>
      <c r="CN294" s="6">
        <f t="shared" si="14"/>
        <v>1</v>
      </c>
      <c r="CO294" s="6">
        <f t="shared" si="15"/>
        <v>0</v>
      </c>
      <c r="CP294" s="6">
        <f t="shared" si="16"/>
        <v>1</v>
      </c>
      <c r="CQ294" s="6">
        <f t="shared" ref="CQ294" si="650">IF(CQ$5="Any",1,IF(AND(CQ$5="Med",AV294=0,SUM(AN294:AQ294)=0),1,IF(AND(CQ$5="Low",AV294=0,SUM(AN294:AQ294)=0,AM294=0),1,IF(AND(CQ$5="Flat",AV294=0,SUM(AN294:AQ294)=0,AM294=0,IFERROR(NOT(BE294="Y"),0)),1,0))))</f>
        <v>1</v>
      </c>
      <c r="CR294" s="81" t="str">
        <f t="shared" si="17"/>
        <v/>
      </c>
      <c r="CS294">
        <f t="shared" ref="CS294" si="651">CS$5*(12/(MIN(12,Q294))-1)</f>
        <v>0</v>
      </c>
      <c r="CT294">
        <f t="shared" si="19"/>
        <v>249</v>
      </c>
      <c r="CU294" t="str">
        <f t="shared" si="29"/>
        <v/>
      </c>
      <c r="CV294" s="81">
        <f t="shared" ref="CV294" si="652">CT294*IF(CU294="",1,Q294)</f>
        <v>249</v>
      </c>
      <c r="CW294" s="81">
        <f>(CV294/25)^1.5*(Calculator!$BU$4/10000)*CW$5</f>
        <v>81.163931279939632</v>
      </c>
      <c r="CX294" t="str">
        <f t="shared" ref="CX294" si="653">"$"&amp;IF(LEFT(CU294,1)="r",CT294&amp;"/"&amp;CU294,CV294)</f>
        <v>$249</v>
      </c>
    </row>
    <row r="295" spans="2:102" x14ac:dyDescent="0.25">
      <c r="B295" s="115" t="s">
        <v>233</v>
      </c>
      <c r="C295" s="13">
        <v>46236.341666666667</v>
      </c>
      <c r="D295">
        <v>29342</v>
      </c>
      <c r="E295" s="54" t="s">
        <v>235</v>
      </c>
      <c r="F295" s="54" t="s">
        <v>650</v>
      </c>
      <c r="G295" s="54" t="s">
        <v>1688</v>
      </c>
      <c r="H295" s="55">
        <v>14.399999999999999</v>
      </c>
      <c r="I295" s="55">
        <v>13.4</v>
      </c>
      <c r="J295" s="55">
        <v>12.9</v>
      </c>
      <c r="K295" s="54"/>
      <c r="L295" s="56" t="b">
        <v>0</v>
      </c>
      <c r="M295" s="56" t="b">
        <v>0</v>
      </c>
      <c r="N295" s="54">
        <v>1</v>
      </c>
      <c r="O295" s="54" t="s">
        <v>228</v>
      </c>
      <c r="P295" s="54">
        <v>6</v>
      </c>
      <c r="Q295" s="54">
        <v>36</v>
      </c>
      <c r="R295" s="54">
        <v>249</v>
      </c>
      <c r="S295" s="54" t="s">
        <v>1625</v>
      </c>
      <c r="T295" s="54" t="s">
        <v>1620</v>
      </c>
      <c r="U295" s="54" t="s">
        <v>1617</v>
      </c>
      <c r="V295" s="54" t="s">
        <v>1626</v>
      </c>
      <c r="W295" s="54" t="b">
        <v>0</v>
      </c>
      <c r="X295" s="54"/>
      <c r="Y295" s="57" t="s">
        <v>1812</v>
      </c>
      <c r="Z295" s="54" t="s">
        <v>1629</v>
      </c>
      <c r="AA295" s="54"/>
      <c r="AB295" s="54" t="s">
        <v>1628</v>
      </c>
      <c r="AC295" s="56" t="b">
        <v>1</v>
      </c>
      <c r="AD295" s="56" t="b">
        <v>0</v>
      </c>
      <c r="AE295" s="54" t="s">
        <v>302</v>
      </c>
      <c r="AF295" s="58">
        <v>46216</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7.3108999999999993E-2</v>
      </c>
      <c r="BC295" s="60"/>
      <c r="BD295" s="61"/>
      <c r="BE295" s="62" t="s">
        <v>293</v>
      </c>
      <c r="BF295" s="35">
        <f t="shared" ref="BF295:BG312" si="654">IF($E295=$E$4,BF$4,IF($E295=$E$5,BF$5,""))</f>
        <v>4.9000000000000004</v>
      </c>
      <c r="BG295" s="35">
        <f t="shared" si="654"/>
        <v>4.9811000000000001E-2</v>
      </c>
      <c r="BH295" s="35" t="str">
        <f t="shared" ref="BH295:BH312" si="655">IF(ISTEXT(BE295),IF(AND(AV295=0,SUM(AN295:AQ295)=0),IF(AM295&lt;=0,IF(BE295="Y","Low","Flat"),"Med"),"High"),"?")</f>
        <v>Med</v>
      </c>
      <c r="BI295" s="110">
        <f t="shared" ref="BI295:BI312" si="656">IF(ISNUMBER(AH295),0*BI$5*SIN((EDATE($A$3,$Q295)-DATE(YEAR(EDATE($A$3,$Q295)),1,0)-BI$4)*2*PI()/365),"")</f>
        <v>0</v>
      </c>
      <c r="BJ295" s="83">
        <f>VLOOKUP($F295,REP_Info!$D$6:$H$250,5,FALSE)</f>
        <v>1.694</v>
      </c>
      <c r="BK295" s="30">
        <f t="shared" ref="BK295:BN312" si="657">IF(BK$7&gt;0,(LOOKUP(BK$7,$AH295:$AL295,$AM295:$AQ295)+IF($AG295="Y",SUMPRODUCT($AX295:$BB295-$AW295:$BA295,BK$7-$AR295:$AV295,N(BK$7&gt;$AR295:$AV295)),BK$7*LOOKUP(BK$7,$AR295:$AV295,$AX295:$BB295))+IF($BE295="Y",$BF295,$BC295)+BK$7*IF($BE295="Y",$BG295,$BD295))*100/BK$7,"")</f>
        <v>14.262</v>
      </c>
      <c r="BL295" s="30">
        <f t="shared" si="657"/>
        <v>13.277000000000001</v>
      </c>
      <c r="BM295" s="30">
        <f t="shared" si="657"/>
        <v>12.7845</v>
      </c>
      <c r="BN295" s="29">
        <f t="shared" si="657"/>
        <v>12.620333333333331</v>
      </c>
      <c r="BO295" s="85" t="str">
        <f t="shared" si="2"/>
        <v>$$$</v>
      </c>
      <c r="BP295" s="88" t="str">
        <f t="shared" ref="BP295:BP312" si="658">IFERROR(BO295*100/BO$5,"$$$")</f>
        <v>$$$</v>
      </c>
      <c r="BQ295" s="88" t="str">
        <f t="shared" si="4"/>
        <v>$$$</v>
      </c>
      <c r="BR295" s="88" t="str">
        <f t="shared" si="5"/>
        <v>$$$</v>
      </c>
      <c r="BS295" s="29" t="e">
        <f t="shared" ref="BS295:CD312" si="659">IF($CI295,IF(BS$7&gt;0,IF(BS$4&gt;$Q295,$BF295+BS$7*(BS$5+$BG295+$BI295),LOOKUP(BS$7,$AH295:$AL295,$AM295:$AQ295)+IF($AG295="Y",SUMPRODUCT($AX295:$BB295-$AW295:$BA295,BS$7-$AR295:$AV295,N(BS$7&gt;$AR295:$AV295)),BS$7*LOOKUP(BS$7,$AR295:$AV295,$AX295:$BB295))+IF($BE295="Y",$BF295,$BC295)+BS$7*IF($BE295="Y",$BG295,$BD295))*100/BS$7,""),NA())</f>
        <v>#N/A</v>
      </c>
      <c r="BT295" s="29" t="e">
        <f t="shared" si="659"/>
        <v>#N/A</v>
      </c>
      <c r="BU295" s="29" t="e">
        <f t="shared" si="659"/>
        <v>#N/A</v>
      </c>
      <c r="BV295" s="29" t="e">
        <f t="shared" si="659"/>
        <v>#N/A</v>
      </c>
      <c r="BW295" s="29" t="e">
        <f t="shared" si="659"/>
        <v>#N/A</v>
      </c>
      <c r="BX295" s="29" t="e">
        <f t="shared" si="659"/>
        <v>#N/A</v>
      </c>
      <c r="BY295" s="29" t="e">
        <f t="shared" si="659"/>
        <v>#N/A</v>
      </c>
      <c r="BZ295" s="29" t="e">
        <f t="shared" si="659"/>
        <v>#N/A</v>
      </c>
      <c r="CA295" s="29" t="e">
        <f t="shared" si="659"/>
        <v>#N/A</v>
      </c>
      <c r="CB295" s="29" t="e">
        <f t="shared" si="659"/>
        <v>#N/A</v>
      </c>
      <c r="CC295" s="29" t="e">
        <f t="shared" si="659"/>
        <v>#N/A</v>
      </c>
      <c r="CD295" s="29" t="e">
        <f t="shared" si="659"/>
        <v>#N/A</v>
      </c>
      <c r="CE295" s="6" t="str">
        <f t="shared" si="550"/>
        <v/>
      </c>
      <c r="CF295" s="27" t="e">
        <f>IF(AND(CI295,NOT(AD295)),LOOKUP(CF$5,{0,750,1500},H295:J295),"")</f>
        <v>#N/A</v>
      </c>
      <c r="CG295" s="6" t="str">
        <f t="shared" si="551"/>
        <v/>
      </c>
      <c r="CH295" t="e">
        <f t="shared" ref="CH295:CH312" si="660">IF(CI295,IF(ISNUMBER(BO295),BO295,100000)+CV295/10000+IF(ISNUMBER(BJ295),BJ295,2)/10000-P295/100000+ROW()/10000000,"")</f>
        <v>#N/A</v>
      </c>
      <c r="CI295" t="e">
        <f t="shared" ref="CI295:CI312" si="661">PRODUCT(CJ295:CQ295)</f>
        <v>#N/A</v>
      </c>
      <c r="CJ295" s="6" t="e">
        <f t="shared" si="11"/>
        <v>#N/A</v>
      </c>
      <c r="CK295" s="6">
        <f t="shared" si="12"/>
        <v>1</v>
      </c>
      <c r="CL295" s="6">
        <f t="shared" si="26"/>
        <v>1</v>
      </c>
      <c r="CM295" s="6">
        <f t="shared" si="13"/>
        <v>1</v>
      </c>
      <c r="CN295" s="6">
        <f t="shared" si="14"/>
        <v>1</v>
      </c>
      <c r="CO295" s="6">
        <f t="shared" si="15"/>
        <v>0</v>
      </c>
      <c r="CP295" s="6">
        <f t="shared" si="16"/>
        <v>1</v>
      </c>
      <c r="CQ295" s="6">
        <f t="shared" ref="CQ295:CQ312" si="662">IF(CQ$5="Any",1,IF(AND(CQ$5="Med",AV295=0,SUM(AN295:AQ295)=0),1,IF(AND(CQ$5="Low",AV295=0,SUM(AN295:AQ295)=0,AM295=0),1,IF(AND(CQ$5="Flat",AV295=0,SUM(AN295:AQ295)=0,AM295=0,IFERROR(NOT(BE295="Y"),0)),1,0))))</f>
        <v>1</v>
      </c>
      <c r="CR295" s="81" t="str">
        <f t="shared" si="17"/>
        <v/>
      </c>
      <c r="CS295">
        <f t="shared" ref="CS295:CS312" si="663">CS$5*(12/(MIN(12,Q295))-1)</f>
        <v>0</v>
      </c>
      <c r="CT295">
        <f>IF(OR(LEFT($R295,2)="No",LEFT($R295,4)="Batt"),0,VALUE(IFERROR(LEFT($R295,FIND("/",$R295)-1),IFERROR(LEFT($R295,FIND(" ",$R295)-1),$R295))))</f>
        <v>249</v>
      </c>
      <c r="CU295" t="str">
        <f t="shared" si="29"/>
        <v/>
      </c>
      <c r="CV295" s="81">
        <f t="shared" ref="CV295:CV312" si="664">CT295*IF(CU295="",1,Q295)</f>
        <v>249</v>
      </c>
      <c r="CW295" s="81">
        <f>(CV295/25)^1.5*(Calculator!$BU$4/10000)*CW$5</f>
        <v>81.163931279939632</v>
      </c>
      <c r="CX295" t="str">
        <f t="shared" ref="CX295:CX312" si="665">"$"&amp;IF(LEFT(CU295,1)="r",CT295&amp;"/"&amp;CU295,CV295)</f>
        <v>$249</v>
      </c>
    </row>
    <row r="296" spans="2:102" x14ac:dyDescent="0.25">
      <c r="B296" s="115" t="s">
        <v>233</v>
      </c>
      <c r="C296" s="13">
        <v>46254.637499999997</v>
      </c>
      <c r="D296">
        <v>29354</v>
      </c>
      <c r="E296" s="54" t="s">
        <v>237</v>
      </c>
      <c r="F296" s="54" t="s">
        <v>650</v>
      </c>
      <c r="G296" s="54" t="s">
        <v>1780</v>
      </c>
      <c r="H296" s="55">
        <v>12.3</v>
      </c>
      <c r="I296" s="55">
        <v>11.4</v>
      </c>
      <c r="J296" s="55">
        <v>10.9</v>
      </c>
      <c r="K296" s="54"/>
      <c r="L296" s="56" t="b">
        <v>0</v>
      </c>
      <c r="M296" s="56" t="b">
        <v>0</v>
      </c>
      <c r="N296" s="54">
        <v>1</v>
      </c>
      <c r="O296" s="54" t="s">
        <v>228</v>
      </c>
      <c r="P296" s="54">
        <v>6</v>
      </c>
      <c r="Q296" s="54">
        <v>10</v>
      </c>
      <c r="R296" s="54">
        <v>249</v>
      </c>
      <c r="S296" s="54" t="s">
        <v>1625</v>
      </c>
      <c r="T296" s="54"/>
      <c r="U296" s="54" t="s">
        <v>1617</v>
      </c>
      <c r="V296" s="54" t="s">
        <v>1626</v>
      </c>
      <c r="W296" s="54" t="b">
        <v>0</v>
      </c>
      <c r="X296" s="54"/>
      <c r="Y296" s="57" t="s">
        <v>2291</v>
      </c>
      <c r="Z296" s="54" t="s">
        <v>1625</v>
      </c>
      <c r="AA296" s="54"/>
      <c r="AB296" s="54" t="s">
        <v>1628</v>
      </c>
      <c r="AC296" s="56" t="b">
        <v>1</v>
      </c>
      <c r="AD296" s="56" t="b">
        <v>0</v>
      </c>
      <c r="AE296" s="54" t="s">
        <v>302</v>
      </c>
      <c r="AF296" s="58">
        <v>46254</v>
      </c>
      <c r="AG296" s="62" t="s">
        <v>293</v>
      </c>
      <c r="AH296" s="54">
        <v>0</v>
      </c>
      <c r="AI296" s="54"/>
      <c r="AJ296" s="54"/>
      <c r="AK296" s="54"/>
      <c r="AL296" s="54"/>
      <c r="AM296" s="54">
        <v>4.95</v>
      </c>
      <c r="AN296" s="54"/>
      <c r="AO296" s="54"/>
      <c r="AP296" s="54"/>
      <c r="AQ296" s="54"/>
      <c r="AR296" s="54"/>
      <c r="AS296" s="54"/>
      <c r="AT296" s="54"/>
      <c r="AU296" s="54"/>
      <c r="AV296" s="54"/>
      <c r="AW296" s="54"/>
      <c r="AX296" s="59"/>
      <c r="AY296" s="59"/>
      <c r="AZ296" s="59"/>
      <c r="BA296" s="59"/>
      <c r="BB296" s="59">
        <v>4.4266E-2</v>
      </c>
      <c r="BC296" s="60"/>
      <c r="BD296" s="61"/>
      <c r="BE296" s="62" t="s">
        <v>293</v>
      </c>
      <c r="BF296" s="35">
        <f t="shared" si="654"/>
        <v>4.0600000000000005</v>
      </c>
      <c r="BG296" s="35">
        <f t="shared" si="654"/>
        <v>6.0295000000000001E-2</v>
      </c>
      <c r="BH296" s="35" t="str">
        <f t="shared" si="655"/>
        <v>Med</v>
      </c>
      <c r="BI296" s="110">
        <f t="shared" si="656"/>
        <v>0</v>
      </c>
      <c r="BJ296" s="83">
        <f>VLOOKUP($F296,REP_Info!$D$6:$H$250,5,FALSE)</f>
        <v>1.694</v>
      </c>
      <c r="BK296" s="30">
        <f t="shared" si="657"/>
        <v>12.258100000000001</v>
      </c>
      <c r="BL296" s="30">
        <f t="shared" si="657"/>
        <v>11.357100000000001</v>
      </c>
      <c r="BM296" s="30">
        <f t="shared" si="657"/>
        <v>10.906600000000001</v>
      </c>
      <c r="BN296" s="29">
        <f t="shared" si="657"/>
        <v>10.756433333333334</v>
      </c>
      <c r="BO296" s="85" t="str">
        <f t="shared" si="2"/>
        <v>$$$</v>
      </c>
      <c r="BP296" s="88" t="str">
        <f t="shared" si="658"/>
        <v>$$$</v>
      </c>
      <c r="BQ296" s="88" t="str">
        <f t="shared" si="4"/>
        <v>$$$</v>
      </c>
      <c r="BR296" s="88" t="str">
        <f t="shared" si="5"/>
        <v>$$$</v>
      </c>
      <c r="BS296" s="29" t="e">
        <f t="shared" si="659"/>
        <v>#N/A</v>
      </c>
      <c r="BT296" s="29" t="e">
        <f t="shared" si="659"/>
        <v>#N/A</v>
      </c>
      <c r="BU296" s="29" t="e">
        <f t="shared" si="659"/>
        <v>#N/A</v>
      </c>
      <c r="BV296" s="29" t="e">
        <f t="shared" si="659"/>
        <v>#N/A</v>
      </c>
      <c r="BW296" s="29" t="e">
        <f t="shared" si="659"/>
        <v>#N/A</v>
      </c>
      <c r="BX296" s="29" t="e">
        <f t="shared" si="659"/>
        <v>#N/A</v>
      </c>
      <c r="BY296" s="29" t="e">
        <f t="shared" si="659"/>
        <v>#N/A</v>
      </c>
      <c r="BZ296" s="29" t="e">
        <f t="shared" si="659"/>
        <v>#N/A</v>
      </c>
      <c r="CA296" s="29" t="e">
        <f t="shared" si="659"/>
        <v>#N/A</v>
      </c>
      <c r="CB296" s="29" t="e">
        <f t="shared" si="659"/>
        <v>#N/A</v>
      </c>
      <c r="CC296" s="29" t="e">
        <f t="shared" si="659"/>
        <v>#N/A</v>
      </c>
      <c r="CD296" s="29" t="e">
        <f t="shared" si="659"/>
        <v>#N/A</v>
      </c>
      <c r="CE296" s="6" t="str">
        <f t="shared" si="550"/>
        <v/>
      </c>
      <c r="CF296" s="27" t="e">
        <f>IF(AND(CI296,NOT(AD296)),LOOKUP(CF$5,{0,750,1500},H296:J296),"")</f>
        <v>#N/A</v>
      </c>
      <c r="CG296" s="6" t="str">
        <f t="shared" si="551"/>
        <v/>
      </c>
      <c r="CH296" t="e">
        <f t="shared" si="660"/>
        <v>#N/A</v>
      </c>
      <c r="CI296" t="e">
        <f t="shared" si="661"/>
        <v>#N/A</v>
      </c>
      <c r="CJ296" s="6" t="e">
        <f t="shared" si="11"/>
        <v>#N/A</v>
      </c>
      <c r="CK296" s="6">
        <f t="shared" si="12"/>
        <v>1</v>
      </c>
      <c r="CL296" s="6">
        <f t="shared" si="26"/>
        <v>1</v>
      </c>
      <c r="CM296" s="6">
        <f t="shared" si="13"/>
        <v>1</v>
      </c>
      <c r="CN296" s="6">
        <f t="shared" si="14"/>
        <v>0</v>
      </c>
      <c r="CO296" s="6">
        <f t="shared" si="15"/>
        <v>1</v>
      </c>
      <c r="CP296" s="6">
        <f t="shared" si="16"/>
        <v>1</v>
      </c>
      <c r="CQ296" s="6">
        <f t="shared" si="662"/>
        <v>1</v>
      </c>
      <c r="CR296" s="81" t="str">
        <f t="shared" si="17"/>
        <v/>
      </c>
      <c r="CS296">
        <f t="shared" si="663"/>
        <v>3.5999999999999992</v>
      </c>
      <c r="CT296">
        <f t="shared" ref="CT296:CT357" si="666">IF(OR(LEFT($R296,2)="No",LEFT($R296,4)="Batt"),0,VALUE(IFERROR(LEFT($R296,FIND("/",$R296)-1),IFERROR(LEFT($R296,FIND(" ",$R296)-1),$R296))))</f>
        <v>249</v>
      </c>
      <c r="CU296" t="str">
        <f t="shared" si="29"/>
        <v/>
      </c>
      <c r="CV296" s="81">
        <f t="shared" si="664"/>
        <v>249</v>
      </c>
      <c r="CW296" s="81">
        <f>(CV296/25)^1.5*(Calculator!$BU$4/10000)*CW$5</f>
        <v>81.163931279939632</v>
      </c>
      <c r="CX296" t="str">
        <f t="shared" si="665"/>
        <v>$249</v>
      </c>
    </row>
    <row r="297" spans="2:102" x14ac:dyDescent="0.25">
      <c r="B297" s="115" t="s">
        <v>233</v>
      </c>
      <c r="C297" s="13">
        <v>46248.413194444445</v>
      </c>
      <c r="D297">
        <v>29361</v>
      </c>
      <c r="E297" s="54" t="s">
        <v>237</v>
      </c>
      <c r="F297" s="54" t="s">
        <v>650</v>
      </c>
      <c r="G297" s="54" t="s">
        <v>1689</v>
      </c>
      <c r="H297" s="55">
        <v>12.6</v>
      </c>
      <c r="I297" s="55">
        <v>11.600000000000001</v>
      </c>
      <c r="J297" s="55">
        <v>11.200000000000001</v>
      </c>
      <c r="K297" s="54"/>
      <c r="L297" s="56" t="b">
        <v>0</v>
      </c>
      <c r="M297" s="56" t="b">
        <v>0</v>
      </c>
      <c r="N297" s="54">
        <v>0</v>
      </c>
      <c r="O297" s="54" t="s">
        <v>238</v>
      </c>
      <c r="P297" s="54">
        <v>6</v>
      </c>
      <c r="Q297" s="54">
        <v>1</v>
      </c>
      <c r="R297" s="54">
        <v>0</v>
      </c>
      <c r="S297" s="54" t="s">
        <v>1625</v>
      </c>
      <c r="T297" s="54"/>
      <c r="U297" s="54" t="s">
        <v>1617</v>
      </c>
      <c r="V297" s="54" t="s">
        <v>1626</v>
      </c>
      <c r="W297" s="54" t="b">
        <v>0</v>
      </c>
      <c r="X297" s="54"/>
      <c r="Y297" s="57" t="s">
        <v>2085</v>
      </c>
      <c r="Z297" s="54" t="s">
        <v>1627</v>
      </c>
      <c r="AA297" s="54"/>
      <c r="AB297" s="54" t="s">
        <v>1628</v>
      </c>
      <c r="AC297" s="56" t="b">
        <v>1</v>
      </c>
      <c r="AD297" s="56" t="b">
        <v>0</v>
      </c>
      <c r="AE297" s="54"/>
      <c r="AF297" s="58"/>
      <c r="AG297" s="62" t="s">
        <v>293</v>
      </c>
      <c r="AH297" s="54"/>
      <c r="AI297" s="54"/>
      <c r="AJ297" s="54"/>
      <c r="AK297" s="54"/>
      <c r="AL297" s="54"/>
      <c r="AM297" s="54">
        <v>0</v>
      </c>
      <c r="AN297" s="54"/>
      <c r="AO297" s="54"/>
      <c r="AP297" s="54"/>
      <c r="AQ297" s="54"/>
      <c r="AR297" s="54"/>
      <c r="AS297" s="54"/>
      <c r="AT297" s="54"/>
      <c r="AU297" s="54"/>
      <c r="AV297" s="54"/>
      <c r="AW297" s="54"/>
      <c r="AX297" s="59"/>
      <c r="AY297" s="59"/>
      <c r="AZ297" s="59"/>
      <c r="BA297" s="59"/>
      <c r="BB297" s="59"/>
      <c r="BC297" s="60"/>
      <c r="BD297" s="61"/>
      <c r="BE297" s="62"/>
      <c r="BF297" s="35">
        <f t="shared" si="654"/>
        <v>4.0600000000000005</v>
      </c>
      <c r="BG297" s="35">
        <f t="shared" si="654"/>
        <v>6.0295000000000001E-2</v>
      </c>
      <c r="BH297" s="35" t="str">
        <f t="shared" si="655"/>
        <v>?</v>
      </c>
      <c r="BI297" s="110" t="str">
        <f t="shared" si="656"/>
        <v/>
      </c>
      <c r="BJ297" s="83">
        <f>VLOOKUP($F297,REP_Info!$D$6:$H$250,5,FALSE)</f>
        <v>1.694</v>
      </c>
      <c r="BK297" s="30" t="e">
        <f t="shared" si="657"/>
        <v>#N/A</v>
      </c>
      <c r="BL297" s="30" t="e">
        <f t="shared" si="657"/>
        <v>#N/A</v>
      </c>
      <c r="BM297" s="30" t="e">
        <f t="shared" si="657"/>
        <v>#N/A</v>
      </c>
      <c r="BN297" s="29" t="e">
        <f t="shared" si="657"/>
        <v>#N/A</v>
      </c>
      <c r="BO297" s="85" t="str">
        <f t="shared" si="2"/>
        <v>$$$</v>
      </c>
      <c r="BP297" s="88" t="str">
        <f t="shared" si="658"/>
        <v>$$$</v>
      </c>
      <c r="BQ297" s="88" t="str">
        <f t="shared" si="4"/>
        <v>$$$</v>
      </c>
      <c r="BR297" s="88" t="str">
        <f t="shared" si="5"/>
        <v>$$$</v>
      </c>
      <c r="BS297" s="29" t="e">
        <f t="shared" si="659"/>
        <v>#N/A</v>
      </c>
      <c r="BT297" s="29" t="e">
        <f t="shared" si="659"/>
        <v>#N/A</v>
      </c>
      <c r="BU297" s="29" t="e">
        <f t="shared" si="659"/>
        <v>#N/A</v>
      </c>
      <c r="BV297" s="29" t="e">
        <f t="shared" si="659"/>
        <v>#N/A</v>
      </c>
      <c r="BW297" s="29" t="e">
        <f t="shared" si="659"/>
        <v>#N/A</v>
      </c>
      <c r="BX297" s="29" t="e">
        <f t="shared" si="659"/>
        <v>#N/A</v>
      </c>
      <c r="BY297" s="29" t="e">
        <f t="shared" si="659"/>
        <v>#N/A</v>
      </c>
      <c r="BZ297" s="29" t="e">
        <f t="shared" si="659"/>
        <v>#N/A</v>
      </c>
      <c r="CA297" s="29" t="e">
        <f t="shared" si="659"/>
        <v>#N/A</v>
      </c>
      <c r="CB297" s="29" t="e">
        <f t="shared" si="659"/>
        <v>#N/A</v>
      </c>
      <c r="CC297" s="29" t="e">
        <f t="shared" si="659"/>
        <v>#N/A</v>
      </c>
      <c r="CD297" s="29" t="e">
        <f t="shared" si="659"/>
        <v>#N/A</v>
      </c>
      <c r="CE297" s="6" t="str">
        <f t="shared" si="550"/>
        <v/>
      </c>
      <c r="CF297" s="27" t="e">
        <f>IF(AND(CI297,NOT(AD297)),LOOKUP(CF$5,{0,750,1500},H297:J297),"")</f>
        <v>#N/A</v>
      </c>
      <c r="CG297" s="6" t="str">
        <f t="shared" si="551"/>
        <v/>
      </c>
      <c r="CH297" t="e">
        <f t="shared" si="660"/>
        <v>#N/A</v>
      </c>
      <c r="CI297" t="e">
        <f t="shared" si="661"/>
        <v>#N/A</v>
      </c>
      <c r="CJ297" s="6" t="e">
        <f t="shared" si="11"/>
        <v>#N/A</v>
      </c>
      <c r="CK297" s="6">
        <f t="shared" si="12"/>
        <v>1</v>
      </c>
      <c r="CL297" s="6">
        <f t="shared" si="26"/>
        <v>1</v>
      </c>
      <c r="CM297" s="6">
        <f t="shared" si="13"/>
        <v>0</v>
      </c>
      <c r="CN297" s="6">
        <f t="shared" si="14"/>
        <v>0</v>
      </c>
      <c r="CO297" s="6">
        <f t="shared" si="15"/>
        <v>1</v>
      </c>
      <c r="CP297" s="6">
        <f t="shared" si="16"/>
        <v>1</v>
      </c>
      <c r="CQ297" s="6">
        <f t="shared" si="662"/>
        <v>1</v>
      </c>
      <c r="CR297" s="81" t="str">
        <f t="shared" si="17"/>
        <v/>
      </c>
      <c r="CS297">
        <f t="shared" si="663"/>
        <v>198</v>
      </c>
      <c r="CT297">
        <f t="shared" si="666"/>
        <v>0</v>
      </c>
      <c r="CU297" t="str">
        <f t="shared" si="29"/>
        <v/>
      </c>
      <c r="CV297" s="81">
        <f t="shared" si="664"/>
        <v>0</v>
      </c>
      <c r="CW297" s="81">
        <f>(CV297/25)^1.5*(Calculator!$BU$4/10000)*CW$5</f>
        <v>0</v>
      </c>
      <c r="CX297" t="str">
        <f t="shared" si="665"/>
        <v>$0</v>
      </c>
    </row>
    <row r="298" spans="2:102" x14ac:dyDescent="0.25">
      <c r="B298" s="115" t="s">
        <v>233</v>
      </c>
      <c r="C298" s="13">
        <v>46248.413194444445</v>
      </c>
      <c r="D298">
        <v>29362</v>
      </c>
      <c r="E298" s="54" t="s">
        <v>235</v>
      </c>
      <c r="F298" s="54" t="s">
        <v>650</v>
      </c>
      <c r="G298" s="54" t="s">
        <v>1689</v>
      </c>
      <c r="H298" s="55">
        <v>12.2</v>
      </c>
      <c r="I298" s="55">
        <v>11.200000000000001</v>
      </c>
      <c r="J298" s="55">
        <v>10.8</v>
      </c>
      <c r="K298" s="54"/>
      <c r="L298" s="56" t="b">
        <v>0</v>
      </c>
      <c r="M298" s="56" t="b">
        <v>0</v>
      </c>
      <c r="N298" s="54">
        <v>0</v>
      </c>
      <c r="O298" s="54" t="s">
        <v>238</v>
      </c>
      <c r="P298" s="54">
        <v>6</v>
      </c>
      <c r="Q298" s="54">
        <v>1</v>
      </c>
      <c r="R298" s="54">
        <v>0</v>
      </c>
      <c r="S298" s="54" t="s">
        <v>1625</v>
      </c>
      <c r="T298" s="54"/>
      <c r="U298" s="54" t="s">
        <v>1617</v>
      </c>
      <c r="V298" s="54" t="s">
        <v>1626</v>
      </c>
      <c r="W298" s="54" t="b">
        <v>0</v>
      </c>
      <c r="X298" s="54"/>
      <c r="Y298" s="57" t="s">
        <v>2086</v>
      </c>
      <c r="Z298" s="54" t="s">
        <v>1627</v>
      </c>
      <c r="AA298" s="54"/>
      <c r="AB298" s="54" t="s">
        <v>1628</v>
      </c>
      <c r="AC298" s="56" t="b">
        <v>1</v>
      </c>
      <c r="AD298" s="56" t="b">
        <v>0</v>
      </c>
      <c r="AE298" s="54"/>
      <c r="AF298" s="58"/>
      <c r="AG298" s="62" t="s">
        <v>293</v>
      </c>
      <c r="AH298" s="54"/>
      <c r="AI298" s="54"/>
      <c r="AJ298" s="54"/>
      <c r="AK298" s="54"/>
      <c r="AL298" s="54"/>
      <c r="AM298" s="54">
        <v>0</v>
      </c>
      <c r="AN298" s="54"/>
      <c r="AO298" s="54"/>
      <c r="AP298" s="54"/>
      <c r="AQ298" s="54"/>
      <c r="AR298" s="54"/>
      <c r="AS298" s="54"/>
      <c r="AT298" s="54"/>
      <c r="AU298" s="54"/>
      <c r="AV298" s="54"/>
      <c r="AW298" s="54"/>
      <c r="AX298" s="59"/>
      <c r="AY298" s="59"/>
      <c r="AZ298" s="59"/>
      <c r="BA298" s="59"/>
      <c r="BB298" s="59"/>
      <c r="BC298" s="60"/>
      <c r="BD298" s="61"/>
      <c r="BE298" s="62"/>
      <c r="BF298" s="35">
        <f t="shared" si="654"/>
        <v>4.9000000000000004</v>
      </c>
      <c r="BG298" s="35">
        <f t="shared" si="654"/>
        <v>4.9811000000000001E-2</v>
      </c>
      <c r="BH298" s="35" t="str">
        <f t="shared" si="655"/>
        <v>?</v>
      </c>
      <c r="BI298" s="110" t="str">
        <f t="shared" si="656"/>
        <v/>
      </c>
      <c r="BJ298" s="83">
        <f>VLOOKUP($F298,REP_Info!$D$6:$H$250,5,FALSE)</f>
        <v>1.694</v>
      </c>
      <c r="BK298" s="30" t="e">
        <f t="shared" si="657"/>
        <v>#N/A</v>
      </c>
      <c r="BL298" s="30" t="e">
        <f t="shared" si="657"/>
        <v>#N/A</v>
      </c>
      <c r="BM298" s="30" t="e">
        <f t="shared" si="657"/>
        <v>#N/A</v>
      </c>
      <c r="BN298" s="29" t="e">
        <f t="shared" si="657"/>
        <v>#N/A</v>
      </c>
      <c r="BO298" s="85" t="str">
        <f t="shared" si="2"/>
        <v>$$$</v>
      </c>
      <c r="BP298" s="88" t="str">
        <f t="shared" si="658"/>
        <v>$$$</v>
      </c>
      <c r="BQ298" s="88" t="str">
        <f t="shared" si="4"/>
        <v>$$$</v>
      </c>
      <c r="BR298" s="88" t="str">
        <f t="shared" si="5"/>
        <v>$$$</v>
      </c>
      <c r="BS298" s="29" t="e">
        <f t="shared" si="659"/>
        <v>#N/A</v>
      </c>
      <c r="BT298" s="29" t="e">
        <f t="shared" si="659"/>
        <v>#N/A</v>
      </c>
      <c r="BU298" s="29" t="e">
        <f t="shared" si="659"/>
        <v>#N/A</v>
      </c>
      <c r="BV298" s="29" t="e">
        <f t="shared" si="659"/>
        <v>#N/A</v>
      </c>
      <c r="BW298" s="29" t="e">
        <f t="shared" si="659"/>
        <v>#N/A</v>
      </c>
      <c r="BX298" s="29" t="e">
        <f t="shared" si="659"/>
        <v>#N/A</v>
      </c>
      <c r="BY298" s="29" t="e">
        <f t="shared" si="659"/>
        <v>#N/A</v>
      </c>
      <c r="BZ298" s="29" t="e">
        <f t="shared" si="659"/>
        <v>#N/A</v>
      </c>
      <c r="CA298" s="29" t="e">
        <f t="shared" si="659"/>
        <v>#N/A</v>
      </c>
      <c r="CB298" s="29" t="e">
        <f t="shared" si="659"/>
        <v>#N/A</v>
      </c>
      <c r="CC298" s="29" t="e">
        <f t="shared" si="659"/>
        <v>#N/A</v>
      </c>
      <c r="CD298" s="29" t="e">
        <f t="shared" si="659"/>
        <v>#N/A</v>
      </c>
      <c r="CE298" s="6" t="str">
        <f t="shared" si="550"/>
        <v/>
      </c>
      <c r="CF298" s="27" t="e">
        <f>IF(AND(CI298,NOT(AD298)),LOOKUP(CF$5,{0,750,1500},H298:J298),"")</f>
        <v>#N/A</v>
      </c>
      <c r="CG298" s="6" t="str">
        <f t="shared" si="551"/>
        <v/>
      </c>
      <c r="CH298" t="e">
        <f>IF(CI298,IF(ISNUMBER(BO298),BO298,100000)+CV298/10000+IF(ISNUMBER(BJ298),BJ298,2)/10000-P298/100000+ROW()/10000000,"")</f>
        <v>#N/A</v>
      </c>
      <c r="CI298" t="e">
        <f t="shared" si="661"/>
        <v>#N/A</v>
      </c>
      <c r="CJ298" s="6" t="e">
        <f t="shared" si="11"/>
        <v>#N/A</v>
      </c>
      <c r="CK298" s="6">
        <f t="shared" si="12"/>
        <v>1</v>
      </c>
      <c r="CL298" s="6">
        <f t="shared" si="26"/>
        <v>1</v>
      </c>
      <c r="CM298" s="6">
        <f t="shared" si="13"/>
        <v>0</v>
      </c>
      <c r="CN298" s="6">
        <f t="shared" si="14"/>
        <v>0</v>
      </c>
      <c r="CO298" s="6">
        <f t="shared" si="15"/>
        <v>1</v>
      </c>
      <c r="CP298" s="6">
        <f t="shared" si="16"/>
        <v>1</v>
      </c>
      <c r="CQ298" s="6">
        <f t="shared" si="662"/>
        <v>1</v>
      </c>
      <c r="CR298" s="81" t="str">
        <f t="shared" si="17"/>
        <v/>
      </c>
      <c r="CS298">
        <f t="shared" si="663"/>
        <v>198</v>
      </c>
      <c r="CT298">
        <f t="shared" si="666"/>
        <v>0</v>
      </c>
      <c r="CU298" t="str">
        <f t="shared" si="29"/>
        <v/>
      </c>
      <c r="CV298" s="81">
        <f t="shared" si="664"/>
        <v>0</v>
      </c>
      <c r="CW298" s="81">
        <f>(CV298/25)^1.5*(Calculator!$BU$4/10000)*CW$5</f>
        <v>0</v>
      </c>
      <c r="CX298" t="str">
        <f t="shared" si="665"/>
        <v>$0</v>
      </c>
    </row>
    <row r="299" spans="2:102" x14ac:dyDescent="0.25">
      <c r="B299" s="115" t="s">
        <v>233</v>
      </c>
      <c r="C299" s="13">
        <v>46254.637499999997</v>
      </c>
      <c r="D299">
        <v>36267</v>
      </c>
      <c r="E299" s="54" t="s">
        <v>235</v>
      </c>
      <c r="F299" s="54" t="s">
        <v>650</v>
      </c>
      <c r="G299" s="54" t="s">
        <v>1780</v>
      </c>
      <c r="H299" s="55">
        <v>11.600000000000001</v>
      </c>
      <c r="I299" s="55">
        <v>10.6</v>
      </c>
      <c r="J299" s="55">
        <v>10.100000000000001</v>
      </c>
      <c r="K299" s="54"/>
      <c r="L299" s="56" t="b">
        <v>0</v>
      </c>
      <c r="M299" s="56" t="b">
        <v>0</v>
      </c>
      <c r="N299" s="54">
        <v>1</v>
      </c>
      <c r="O299" s="54" t="s">
        <v>228</v>
      </c>
      <c r="P299" s="54">
        <v>6</v>
      </c>
      <c r="Q299" s="54">
        <v>10</v>
      </c>
      <c r="R299" s="54">
        <v>249</v>
      </c>
      <c r="S299" s="54" t="s">
        <v>1625</v>
      </c>
      <c r="T299" s="54"/>
      <c r="U299" s="54" t="s">
        <v>1617</v>
      </c>
      <c r="V299" s="54" t="s">
        <v>1626</v>
      </c>
      <c r="W299" s="54" t="b">
        <v>0</v>
      </c>
      <c r="X299" s="54"/>
      <c r="Y299" s="57" t="s">
        <v>2292</v>
      </c>
      <c r="Z299" s="54" t="s">
        <v>1625</v>
      </c>
      <c r="AA299" s="54"/>
      <c r="AB299" s="54" t="s">
        <v>1628</v>
      </c>
      <c r="AC299" s="56" t="b">
        <v>1</v>
      </c>
      <c r="AD299" s="56" t="b">
        <v>0</v>
      </c>
      <c r="AE299" s="54" t="s">
        <v>302</v>
      </c>
      <c r="AF299" s="58">
        <v>46254</v>
      </c>
      <c r="AG299" s="62" t="s">
        <v>293</v>
      </c>
      <c r="AH299" s="54">
        <v>0</v>
      </c>
      <c r="AI299" s="54"/>
      <c r="AJ299" s="54"/>
      <c r="AK299" s="54"/>
      <c r="AL299" s="54"/>
      <c r="AM299" s="54">
        <v>4.95</v>
      </c>
      <c r="AN299" s="54"/>
      <c r="AO299" s="54"/>
      <c r="AP299" s="54"/>
      <c r="AQ299" s="54"/>
      <c r="AR299" s="54"/>
      <c r="AS299" s="54"/>
      <c r="AT299" s="54"/>
      <c r="AU299" s="54"/>
      <c r="AV299" s="54"/>
      <c r="AW299" s="54"/>
      <c r="AX299" s="59"/>
      <c r="AY299" s="59"/>
      <c r="AZ299" s="59"/>
      <c r="BA299" s="59"/>
      <c r="BB299" s="59">
        <v>4.4413000000000001E-2</v>
      </c>
      <c r="BC299" s="60"/>
      <c r="BD299" s="61"/>
      <c r="BE299" s="62" t="s">
        <v>293</v>
      </c>
      <c r="BF299" s="35">
        <f t="shared" si="654"/>
        <v>4.9000000000000004</v>
      </c>
      <c r="BG299" s="35">
        <f t="shared" si="654"/>
        <v>4.9811000000000001E-2</v>
      </c>
      <c r="BH299" s="35" t="str">
        <f t="shared" si="655"/>
        <v>Med</v>
      </c>
      <c r="BI299" s="110">
        <f t="shared" si="656"/>
        <v>0</v>
      </c>
      <c r="BJ299" s="83">
        <f>VLOOKUP($F299,REP_Info!$D$6:$H$250,5,FALSE)</f>
        <v>1.694</v>
      </c>
      <c r="BK299" s="30">
        <f t="shared" si="657"/>
        <v>11.392400000000002</v>
      </c>
      <c r="BL299" s="30">
        <f t="shared" si="657"/>
        <v>10.407400000000001</v>
      </c>
      <c r="BM299" s="30">
        <f t="shared" si="657"/>
        <v>9.9148999999999994</v>
      </c>
      <c r="BN299" s="29">
        <f t="shared" si="657"/>
        <v>9.7507333333333328</v>
      </c>
      <c r="BO299" s="85" t="str">
        <f t="shared" si="2"/>
        <v>$$$</v>
      </c>
      <c r="BP299" s="88" t="str">
        <f t="shared" si="658"/>
        <v>$$$</v>
      </c>
      <c r="BQ299" s="88" t="str">
        <f t="shared" si="4"/>
        <v>$$$</v>
      </c>
      <c r="BR299" s="88" t="str">
        <f t="shared" si="5"/>
        <v>$$$</v>
      </c>
      <c r="BS299" s="29" t="e">
        <f t="shared" si="659"/>
        <v>#N/A</v>
      </c>
      <c r="BT299" s="29" t="e">
        <f t="shared" si="659"/>
        <v>#N/A</v>
      </c>
      <c r="BU299" s="29" t="e">
        <f t="shared" si="659"/>
        <v>#N/A</v>
      </c>
      <c r="BV299" s="29" t="e">
        <f t="shared" si="659"/>
        <v>#N/A</v>
      </c>
      <c r="BW299" s="29" t="e">
        <f t="shared" si="659"/>
        <v>#N/A</v>
      </c>
      <c r="BX299" s="29" t="e">
        <f t="shared" si="659"/>
        <v>#N/A</v>
      </c>
      <c r="BY299" s="29" t="e">
        <f t="shared" si="659"/>
        <v>#N/A</v>
      </c>
      <c r="BZ299" s="29" t="e">
        <f t="shared" si="659"/>
        <v>#N/A</v>
      </c>
      <c r="CA299" s="29" t="e">
        <f t="shared" si="659"/>
        <v>#N/A</v>
      </c>
      <c r="CB299" s="29" t="e">
        <f t="shared" si="659"/>
        <v>#N/A</v>
      </c>
      <c r="CC299" s="29" t="e">
        <f t="shared" si="659"/>
        <v>#N/A</v>
      </c>
      <c r="CD299" s="29" t="e">
        <f t="shared" si="659"/>
        <v>#N/A</v>
      </c>
      <c r="CE299" s="6" t="str">
        <f t="shared" si="550"/>
        <v/>
      </c>
      <c r="CF299" s="27" t="e">
        <f>IF(AND(CI299,NOT(AD299)),LOOKUP(CF$5,{0,750,1500},H299:J299),"")</f>
        <v>#N/A</v>
      </c>
      <c r="CG299" s="6" t="str">
        <f t="shared" si="551"/>
        <v/>
      </c>
      <c r="CH299" t="e">
        <f t="shared" si="660"/>
        <v>#N/A</v>
      </c>
      <c r="CI299" t="e">
        <f t="shared" si="661"/>
        <v>#N/A</v>
      </c>
      <c r="CJ299" s="6" t="e">
        <f t="shared" si="11"/>
        <v>#N/A</v>
      </c>
      <c r="CK299" s="6">
        <f t="shared" si="12"/>
        <v>1</v>
      </c>
      <c r="CL299" s="6">
        <f t="shared" si="26"/>
        <v>1</v>
      </c>
      <c r="CM299" s="6">
        <f t="shared" si="13"/>
        <v>1</v>
      </c>
      <c r="CN299" s="6">
        <f t="shared" si="14"/>
        <v>0</v>
      </c>
      <c r="CO299" s="6">
        <f t="shared" si="15"/>
        <v>1</v>
      </c>
      <c r="CP299" s="6">
        <f t="shared" si="16"/>
        <v>1</v>
      </c>
      <c r="CQ299" s="6">
        <f t="shared" si="662"/>
        <v>1</v>
      </c>
      <c r="CR299" s="81" t="str">
        <f t="shared" si="17"/>
        <v/>
      </c>
      <c r="CS299">
        <f t="shared" si="663"/>
        <v>3.5999999999999992</v>
      </c>
      <c r="CT299">
        <f t="shared" si="666"/>
        <v>249</v>
      </c>
      <c r="CU299" t="str">
        <f t="shared" si="29"/>
        <v/>
      </c>
      <c r="CV299" s="81">
        <f t="shared" si="664"/>
        <v>249</v>
      </c>
      <c r="CW299" s="81">
        <f>(CV299/25)^1.5*(Calculator!$BU$4/10000)*CW$5</f>
        <v>81.163931279939632</v>
      </c>
      <c r="CX299" t="str">
        <f t="shared" si="665"/>
        <v>$249</v>
      </c>
    </row>
    <row r="300" spans="2:102" x14ac:dyDescent="0.25">
      <c r="B300" s="115" t="s">
        <v>233</v>
      </c>
      <c r="C300" s="13">
        <v>46253.410416666666</v>
      </c>
      <c r="D300">
        <v>26309</v>
      </c>
      <c r="E300" s="54" t="s">
        <v>235</v>
      </c>
      <c r="F300" s="54" t="s">
        <v>651</v>
      </c>
      <c r="G300" s="54" t="s">
        <v>652</v>
      </c>
      <c r="H300" s="55">
        <v>12</v>
      </c>
      <c r="I300" s="55">
        <v>11.5</v>
      </c>
      <c r="J300" s="55">
        <v>11.3</v>
      </c>
      <c r="K300" s="54"/>
      <c r="L300" s="56" t="b">
        <v>0</v>
      </c>
      <c r="M300" s="56" t="b">
        <v>0</v>
      </c>
      <c r="N300" s="54">
        <v>1</v>
      </c>
      <c r="O300" s="54" t="s">
        <v>228</v>
      </c>
      <c r="P300" s="54">
        <v>37</v>
      </c>
      <c r="Q300" s="54">
        <v>12</v>
      </c>
      <c r="R300" s="54">
        <v>100</v>
      </c>
      <c r="S300" s="54" t="s">
        <v>653</v>
      </c>
      <c r="T300" s="54"/>
      <c r="U300" s="54" t="s">
        <v>654</v>
      </c>
      <c r="V300" s="54" t="s">
        <v>655</v>
      </c>
      <c r="W300" s="54" t="b">
        <v>0</v>
      </c>
      <c r="X300" s="54"/>
      <c r="Y300" s="57" t="s">
        <v>656</v>
      </c>
      <c r="Z300" s="54" t="s">
        <v>657</v>
      </c>
      <c r="AA300" s="54"/>
      <c r="AB300" s="54" t="s">
        <v>658</v>
      </c>
      <c r="AC300" s="56" t="b">
        <v>1</v>
      </c>
      <c r="AD300" s="56" t="b">
        <v>0</v>
      </c>
      <c r="AE300" s="54" t="s">
        <v>302</v>
      </c>
      <c r="AF300" s="58">
        <v>46253</v>
      </c>
      <c r="AG300" s="62" t="s">
        <v>293</v>
      </c>
      <c r="AH300" s="54">
        <v>0</v>
      </c>
      <c r="AI300" s="54"/>
      <c r="AJ300" s="54"/>
      <c r="AK300" s="54"/>
      <c r="AL300" s="54"/>
      <c r="AM300" s="54">
        <v>0</v>
      </c>
      <c r="AN300" s="54"/>
      <c r="AO300" s="54"/>
      <c r="AP300" s="54"/>
      <c r="AQ300" s="54"/>
      <c r="AR300" s="54"/>
      <c r="AS300" s="54"/>
      <c r="AT300" s="54"/>
      <c r="AU300" s="54"/>
      <c r="AV300" s="54"/>
      <c r="AW300" s="54"/>
      <c r="AX300" s="59"/>
      <c r="AY300" s="59"/>
      <c r="AZ300" s="59"/>
      <c r="BA300" s="59"/>
      <c r="BB300" s="59">
        <v>5.9900000000000002E-2</v>
      </c>
      <c r="BC300" s="60">
        <v>4.9000000000000004</v>
      </c>
      <c r="BD300" s="61">
        <v>4.9811000000000001E-2</v>
      </c>
      <c r="BE300" s="62" t="s">
        <v>293</v>
      </c>
      <c r="BF300" s="35">
        <f t="shared" si="654"/>
        <v>4.9000000000000004</v>
      </c>
      <c r="BG300" s="35">
        <f t="shared" si="654"/>
        <v>4.9811000000000001E-2</v>
      </c>
      <c r="BH300" s="35" t="str">
        <f t="shared" si="655"/>
        <v>Low</v>
      </c>
      <c r="BI300" s="110">
        <f t="shared" si="656"/>
        <v>0</v>
      </c>
      <c r="BJ300" s="83">
        <f>VLOOKUP($F300,REP_Info!$D$6:$H$250,5,FALSE)</f>
        <v>1.159</v>
      </c>
      <c r="BK300" s="30">
        <f t="shared" si="657"/>
        <v>11.9511</v>
      </c>
      <c r="BL300" s="30">
        <f t="shared" si="657"/>
        <v>11.461099999999998</v>
      </c>
      <c r="BM300" s="30">
        <f t="shared" si="657"/>
        <v>11.216100000000001</v>
      </c>
      <c r="BN300" s="29">
        <f t="shared" si="657"/>
        <v>11.134433333333334</v>
      </c>
      <c r="BO300" s="85" t="str">
        <f t="shared" si="2"/>
        <v>$$$</v>
      </c>
      <c r="BP300" s="88" t="str">
        <f t="shared" si="658"/>
        <v>$$$</v>
      </c>
      <c r="BQ300" s="88" t="str">
        <f t="shared" si="4"/>
        <v>$$$</v>
      </c>
      <c r="BR300" s="88" t="str">
        <f t="shared" si="5"/>
        <v>$$$</v>
      </c>
      <c r="BS300" s="29" t="e">
        <f t="shared" si="659"/>
        <v>#N/A</v>
      </c>
      <c r="BT300" s="29" t="e">
        <f t="shared" si="659"/>
        <v>#N/A</v>
      </c>
      <c r="BU300" s="29" t="e">
        <f t="shared" si="659"/>
        <v>#N/A</v>
      </c>
      <c r="BV300" s="29" t="e">
        <f t="shared" si="659"/>
        <v>#N/A</v>
      </c>
      <c r="BW300" s="29" t="e">
        <f t="shared" si="659"/>
        <v>#N/A</v>
      </c>
      <c r="BX300" s="29" t="e">
        <f t="shared" si="659"/>
        <v>#N/A</v>
      </c>
      <c r="BY300" s="29" t="e">
        <f t="shared" si="659"/>
        <v>#N/A</v>
      </c>
      <c r="BZ300" s="29" t="e">
        <f t="shared" si="659"/>
        <v>#N/A</v>
      </c>
      <c r="CA300" s="29" t="e">
        <f t="shared" si="659"/>
        <v>#N/A</v>
      </c>
      <c r="CB300" s="29" t="e">
        <f t="shared" si="659"/>
        <v>#N/A</v>
      </c>
      <c r="CC300" s="29" t="e">
        <f t="shared" si="659"/>
        <v>#N/A</v>
      </c>
      <c r="CD300" s="29" t="e">
        <f t="shared" si="659"/>
        <v>#N/A</v>
      </c>
      <c r="CE300" s="6" t="str">
        <f t="shared" si="550"/>
        <v/>
      </c>
      <c r="CF300" s="27" t="e">
        <f>IF(AND(CI300,NOT(AD300)),LOOKUP(CF$5,{0,750,1500},H300:J300),"")</f>
        <v>#N/A</v>
      </c>
      <c r="CG300" s="6" t="str">
        <f t="shared" si="551"/>
        <v/>
      </c>
      <c r="CH300" t="e">
        <f t="shared" si="660"/>
        <v>#N/A</v>
      </c>
      <c r="CI300" t="e">
        <f t="shared" si="661"/>
        <v>#N/A</v>
      </c>
      <c r="CJ300" s="6" t="e">
        <f t="shared" si="11"/>
        <v>#N/A</v>
      </c>
      <c r="CK300" s="6">
        <f t="shared" si="12"/>
        <v>1</v>
      </c>
      <c r="CL300" s="6">
        <f t="shared" si="26"/>
        <v>1</v>
      </c>
      <c r="CM300" s="6">
        <f t="shared" si="13"/>
        <v>1</v>
      </c>
      <c r="CN300" s="6">
        <f t="shared" si="14"/>
        <v>1</v>
      </c>
      <c r="CO300" s="6">
        <f t="shared" si="15"/>
        <v>1</v>
      </c>
      <c r="CP300" s="6">
        <f t="shared" si="16"/>
        <v>1</v>
      </c>
      <c r="CQ300" s="6">
        <f t="shared" si="662"/>
        <v>1</v>
      </c>
      <c r="CR300" s="81" t="str">
        <f t="shared" si="17"/>
        <v/>
      </c>
      <c r="CS300">
        <f t="shared" si="663"/>
        <v>0</v>
      </c>
      <c r="CT300">
        <f t="shared" si="666"/>
        <v>100</v>
      </c>
      <c r="CU300" t="str">
        <f t="shared" si="29"/>
        <v/>
      </c>
      <c r="CV300" s="81">
        <f t="shared" si="664"/>
        <v>100</v>
      </c>
      <c r="CW300" s="81">
        <f>(CV300/25)^1.5*(Calculator!$BU$4/10000)*CW$5</f>
        <v>20.656847999999979</v>
      </c>
      <c r="CX300" t="str">
        <f t="shared" si="665"/>
        <v>$100</v>
      </c>
    </row>
    <row r="301" spans="2:102" x14ac:dyDescent="0.25">
      <c r="B301" s="115" t="s">
        <v>233</v>
      </c>
      <c r="C301" s="13">
        <v>46253.410416666666</v>
      </c>
      <c r="D301">
        <v>26323</v>
      </c>
      <c r="E301" s="54" t="s">
        <v>235</v>
      </c>
      <c r="F301" s="54" t="s">
        <v>651</v>
      </c>
      <c r="G301" s="54" t="s">
        <v>659</v>
      </c>
      <c r="H301" s="55">
        <v>12.4</v>
      </c>
      <c r="I301" s="55">
        <v>11.899999999999999</v>
      </c>
      <c r="J301" s="55">
        <v>11.700000000000001</v>
      </c>
      <c r="K301" s="54"/>
      <c r="L301" s="56" t="b">
        <v>0</v>
      </c>
      <c r="M301" s="56" t="b">
        <v>0</v>
      </c>
      <c r="N301" s="54">
        <v>1</v>
      </c>
      <c r="O301" s="54" t="s">
        <v>228</v>
      </c>
      <c r="P301" s="54">
        <v>37</v>
      </c>
      <c r="Q301" s="54">
        <v>15</v>
      </c>
      <c r="R301" s="54">
        <v>100</v>
      </c>
      <c r="S301" s="54" t="s">
        <v>653</v>
      </c>
      <c r="T301" s="54"/>
      <c r="U301" s="54" t="s">
        <v>660</v>
      </c>
      <c r="V301" s="54" t="s">
        <v>655</v>
      </c>
      <c r="W301" s="54" t="b">
        <v>0</v>
      </c>
      <c r="X301" s="54"/>
      <c r="Y301" s="57" t="s">
        <v>661</v>
      </c>
      <c r="Z301" s="54" t="s">
        <v>657</v>
      </c>
      <c r="AA301" s="54"/>
      <c r="AB301" s="54" t="s">
        <v>658</v>
      </c>
      <c r="AC301" s="56" t="b">
        <v>1</v>
      </c>
      <c r="AD301" s="56" t="b">
        <v>0</v>
      </c>
      <c r="AE301" s="54" t="s">
        <v>302</v>
      </c>
      <c r="AF301" s="58">
        <v>46253</v>
      </c>
      <c r="AG301" s="62" t="s">
        <v>293</v>
      </c>
      <c r="AH301" s="54">
        <v>0</v>
      </c>
      <c r="AI301" s="54"/>
      <c r="AJ301" s="54"/>
      <c r="AK301" s="54"/>
      <c r="AL301" s="54"/>
      <c r="AM301" s="54">
        <v>0</v>
      </c>
      <c r="AN301" s="54"/>
      <c r="AO301" s="54"/>
      <c r="AP301" s="54"/>
      <c r="AQ301" s="54"/>
      <c r="AR301" s="54"/>
      <c r="AS301" s="54"/>
      <c r="AT301" s="54"/>
      <c r="AU301" s="54"/>
      <c r="AV301" s="54"/>
      <c r="AW301" s="54"/>
      <c r="AX301" s="59"/>
      <c r="AY301" s="59"/>
      <c r="AZ301" s="59"/>
      <c r="BA301" s="59"/>
      <c r="BB301" s="59">
        <v>6.3899999999999998E-2</v>
      </c>
      <c r="BC301" s="60">
        <v>4.9000000000000004</v>
      </c>
      <c r="BD301" s="61">
        <v>4.9811000000000001E-2</v>
      </c>
      <c r="BE301" s="62" t="s">
        <v>293</v>
      </c>
      <c r="BF301" s="35">
        <f t="shared" si="654"/>
        <v>4.9000000000000004</v>
      </c>
      <c r="BG301" s="35">
        <f t="shared" si="654"/>
        <v>4.9811000000000001E-2</v>
      </c>
      <c r="BH301" s="35" t="str">
        <f t="shared" si="655"/>
        <v>Low</v>
      </c>
      <c r="BI301" s="110">
        <f t="shared" si="656"/>
        <v>0</v>
      </c>
      <c r="BJ301" s="83">
        <f>VLOOKUP($F301,REP_Info!$D$6:$H$250,5,FALSE)</f>
        <v>1.159</v>
      </c>
      <c r="BK301" s="30">
        <f t="shared" si="657"/>
        <v>12.351100000000001</v>
      </c>
      <c r="BL301" s="30">
        <f t="shared" si="657"/>
        <v>11.861099999999999</v>
      </c>
      <c r="BM301" s="30">
        <f t="shared" si="657"/>
        <v>11.616100000000001</v>
      </c>
      <c r="BN301" s="29">
        <f t="shared" si="657"/>
        <v>11.534433333333334</v>
      </c>
      <c r="BO301" s="85" t="str">
        <f t="shared" si="2"/>
        <v>$$$</v>
      </c>
      <c r="BP301" s="88" t="str">
        <f t="shared" si="658"/>
        <v>$$$</v>
      </c>
      <c r="BQ301" s="88" t="str">
        <f t="shared" si="4"/>
        <v>$$$</v>
      </c>
      <c r="BR301" s="88" t="str">
        <f t="shared" si="5"/>
        <v>$$$</v>
      </c>
      <c r="BS301" s="29" t="e">
        <f t="shared" si="659"/>
        <v>#N/A</v>
      </c>
      <c r="BT301" s="29" t="e">
        <f t="shared" si="659"/>
        <v>#N/A</v>
      </c>
      <c r="BU301" s="29" t="e">
        <f t="shared" si="659"/>
        <v>#N/A</v>
      </c>
      <c r="BV301" s="29" t="e">
        <f t="shared" si="659"/>
        <v>#N/A</v>
      </c>
      <c r="BW301" s="29" t="e">
        <f t="shared" si="659"/>
        <v>#N/A</v>
      </c>
      <c r="BX301" s="29" t="e">
        <f t="shared" si="659"/>
        <v>#N/A</v>
      </c>
      <c r="BY301" s="29" t="e">
        <f t="shared" si="659"/>
        <v>#N/A</v>
      </c>
      <c r="BZ301" s="29" t="e">
        <f t="shared" si="659"/>
        <v>#N/A</v>
      </c>
      <c r="CA301" s="29" t="e">
        <f t="shared" si="659"/>
        <v>#N/A</v>
      </c>
      <c r="CB301" s="29" t="e">
        <f t="shared" si="659"/>
        <v>#N/A</v>
      </c>
      <c r="CC301" s="29" t="e">
        <f t="shared" si="659"/>
        <v>#N/A</v>
      </c>
      <c r="CD301" s="29" t="e">
        <f t="shared" si="659"/>
        <v>#N/A</v>
      </c>
      <c r="CE301" s="6" t="str">
        <f t="shared" si="550"/>
        <v/>
      </c>
      <c r="CF301" s="27" t="e">
        <f>IF(AND(CI301,NOT(AD301)),LOOKUP(CF$5,{0,750,1500},H301:J301),"")</f>
        <v>#N/A</v>
      </c>
      <c r="CG301" s="6" t="str">
        <f t="shared" si="551"/>
        <v/>
      </c>
      <c r="CH301" t="e">
        <f t="shared" si="660"/>
        <v>#N/A</v>
      </c>
      <c r="CI301" t="e">
        <f t="shared" si="661"/>
        <v>#N/A</v>
      </c>
      <c r="CJ301" s="6" t="e">
        <f t="shared" si="11"/>
        <v>#N/A</v>
      </c>
      <c r="CK301" s="6">
        <f t="shared" si="12"/>
        <v>1</v>
      </c>
      <c r="CL301" s="6">
        <f t="shared" si="26"/>
        <v>1</v>
      </c>
      <c r="CM301" s="6">
        <f t="shared" si="13"/>
        <v>1</v>
      </c>
      <c r="CN301" s="6">
        <f t="shared" si="14"/>
        <v>1</v>
      </c>
      <c r="CO301" s="6">
        <f t="shared" si="15"/>
        <v>0</v>
      </c>
      <c r="CP301" s="6">
        <f t="shared" si="16"/>
        <v>1</v>
      </c>
      <c r="CQ301" s="6">
        <f t="shared" si="662"/>
        <v>1</v>
      </c>
      <c r="CR301" s="81" t="str">
        <f t="shared" si="17"/>
        <v/>
      </c>
      <c r="CS301">
        <f t="shared" si="663"/>
        <v>0</v>
      </c>
      <c r="CT301">
        <f t="shared" si="666"/>
        <v>100</v>
      </c>
      <c r="CU301" t="str">
        <f t="shared" si="29"/>
        <v/>
      </c>
      <c r="CV301" s="81">
        <f t="shared" si="664"/>
        <v>100</v>
      </c>
      <c r="CW301" s="81">
        <f>(CV301/25)^1.5*(Calculator!$BU$4/10000)*CW$5</f>
        <v>20.656847999999979</v>
      </c>
      <c r="CX301" t="str">
        <f t="shared" si="665"/>
        <v>$100</v>
      </c>
    </row>
    <row r="302" spans="2:102" x14ac:dyDescent="0.25">
      <c r="B302" s="115" t="s">
        <v>233</v>
      </c>
      <c r="C302" s="13">
        <v>46253.410416666666</v>
      </c>
      <c r="D302">
        <v>26333</v>
      </c>
      <c r="E302" s="54" t="s">
        <v>237</v>
      </c>
      <c r="F302" s="54" t="s">
        <v>651</v>
      </c>
      <c r="G302" s="54" t="s">
        <v>652</v>
      </c>
      <c r="H302" s="55">
        <v>12.6</v>
      </c>
      <c r="I302" s="55">
        <v>12.2</v>
      </c>
      <c r="J302" s="55">
        <v>12</v>
      </c>
      <c r="K302" s="54"/>
      <c r="L302" s="56" t="b">
        <v>0</v>
      </c>
      <c r="M302" s="56" t="b">
        <v>0</v>
      </c>
      <c r="N302" s="54">
        <v>1</v>
      </c>
      <c r="O302" s="54" t="s">
        <v>228</v>
      </c>
      <c r="P302" s="54">
        <v>37</v>
      </c>
      <c r="Q302" s="54">
        <v>12</v>
      </c>
      <c r="R302" s="54">
        <v>100</v>
      </c>
      <c r="S302" s="54" t="s">
        <v>653</v>
      </c>
      <c r="T302" s="54"/>
      <c r="U302" s="54" t="s">
        <v>662</v>
      </c>
      <c r="V302" s="54" t="s">
        <v>655</v>
      </c>
      <c r="W302" s="54" t="b">
        <v>0</v>
      </c>
      <c r="X302" s="54"/>
      <c r="Y302" s="57" t="s">
        <v>663</v>
      </c>
      <c r="Z302" s="54" t="s">
        <v>657</v>
      </c>
      <c r="AA302" s="54"/>
      <c r="AB302" s="54" t="s">
        <v>658</v>
      </c>
      <c r="AC302" s="56" t="b">
        <v>1</v>
      </c>
      <c r="AD302" s="56" t="b">
        <v>0</v>
      </c>
      <c r="AE302" s="54" t="s">
        <v>302</v>
      </c>
      <c r="AF302" s="58">
        <v>46253</v>
      </c>
      <c r="AG302" s="62" t="s">
        <v>293</v>
      </c>
      <c r="AH302" s="54">
        <v>0</v>
      </c>
      <c r="AI302" s="54"/>
      <c r="AJ302" s="54"/>
      <c r="AK302" s="54"/>
      <c r="AL302" s="54"/>
      <c r="AM302" s="54">
        <v>0</v>
      </c>
      <c r="AN302" s="54"/>
      <c r="AO302" s="54"/>
      <c r="AP302" s="54"/>
      <c r="AQ302" s="54"/>
      <c r="AR302" s="54"/>
      <c r="AS302" s="54"/>
      <c r="AT302" s="54"/>
      <c r="AU302" s="54"/>
      <c r="AV302" s="54"/>
      <c r="AW302" s="54"/>
      <c r="AX302" s="59"/>
      <c r="AY302" s="59"/>
      <c r="AZ302" s="59"/>
      <c r="BA302" s="59"/>
      <c r="BB302" s="59">
        <v>5.79E-2</v>
      </c>
      <c r="BC302" s="60">
        <v>4.0599999999999996</v>
      </c>
      <c r="BD302" s="61">
        <v>6.0295000000000001E-2</v>
      </c>
      <c r="BE302" s="62" t="s">
        <v>293</v>
      </c>
      <c r="BF302" s="35">
        <f t="shared" si="654"/>
        <v>4.0600000000000005</v>
      </c>
      <c r="BG302" s="35">
        <f t="shared" si="654"/>
        <v>6.0295000000000001E-2</v>
      </c>
      <c r="BH302" s="35" t="str">
        <f t="shared" si="655"/>
        <v>Low</v>
      </c>
      <c r="BI302" s="110">
        <f t="shared" si="656"/>
        <v>0</v>
      </c>
      <c r="BJ302" s="83">
        <f>VLOOKUP($F302,REP_Info!$D$6:$H$250,5,FALSE)</f>
        <v>1.159</v>
      </c>
      <c r="BK302" s="30">
        <f t="shared" si="657"/>
        <v>12.631500000000001</v>
      </c>
      <c r="BL302" s="30">
        <f t="shared" si="657"/>
        <v>12.2255</v>
      </c>
      <c r="BM302" s="30">
        <f t="shared" si="657"/>
        <v>12.022500000000001</v>
      </c>
      <c r="BN302" s="29">
        <f t="shared" si="657"/>
        <v>11.954833333333333</v>
      </c>
      <c r="BO302" s="85" t="str">
        <f t="shared" si="2"/>
        <v>$$$</v>
      </c>
      <c r="BP302" s="88" t="str">
        <f t="shared" si="658"/>
        <v>$$$</v>
      </c>
      <c r="BQ302" s="88" t="str">
        <f t="shared" si="4"/>
        <v>$$$</v>
      </c>
      <c r="BR302" s="88" t="str">
        <f t="shared" si="5"/>
        <v>$$$</v>
      </c>
      <c r="BS302" s="29" t="e">
        <f t="shared" si="659"/>
        <v>#N/A</v>
      </c>
      <c r="BT302" s="29" t="e">
        <f t="shared" si="659"/>
        <v>#N/A</v>
      </c>
      <c r="BU302" s="29" t="e">
        <f t="shared" si="659"/>
        <v>#N/A</v>
      </c>
      <c r="BV302" s="29" t="e">
        <f t="shared" si="659"/>
        <v>#N/A</v>
      </c>
      <c r="BW302" s="29" t="e">
        <f t="shared" si="659"/>
        <v>#N/A</v>
      </c>
      <c r="BX302" s="29" t="e">
        <f t="shared" si="659"/>
        <v>#N/A</v>
      </c>
      <c r="BY302" s="29" t="e">
        <f t="shared" si="659"/>
        <v>#N/A</v>
      </c>
      <c r="BZ302" s="29" t="e">
        <f t="shared" si="659"/>
        <v>#N/A</v>
      </c>
      <c r="CA302" s="29" t="e">
        <f t="shared" si="659"/>
        <v>#N/A</v>
      </c>
      <c r="CB302" s="29" t="e">
        <f t="shared" si="659"/>
        <v>#N/A</v>
      </c>
      <c r="CC302" s="29" t="e">
        <f t="shared" si="659"/>
        <v>#N/A</v>
      </c>
      <c r="CD302" s="29" t="e">
        <f t="shared" si="659"/>
        <v>#N/A</v>
      </c>
      <c r="CE302" s="6" t="str">
        <f t="shared" si="550"/>
        <v/>
      </c>
      <c r="CF302" s="27" t="e">
        <f>IF(AND(CI302,NOT(AD302)),LOOKUP(CF$5,{0,750,1500},H302:J302),"")</f>
        <v>#N/A</v>
      </c>
      <c r="CG302" s="6" t="str">
        <f t="shared" si="551"/>
        <v/>
      </c>
      <c r="CH302" t="e">
        <f t="shared" si="660"/>
        <v>#N/A</v>
      </c>
      <c r="CI302" t="e">
        <f t="shared" si="661"/>
        <v>#N/A</v>
      </c>
      <c r="CJ302" s="6" t="e">
        <f t="shared" si="11"/>
        <v>#N/A</v>
      </c>
      <c r="CK302" s="6">
        <f t="shared" si="12"/>
        <v>1</v>
      </c>
      <c r="CL302" s="6">
        <f t="shared" si="26"/>
        <v>1</v>
      </c>
      <c r="CM302" s="6">
        <f t="shared" si="13"/>
        <v>1</v>
      </c>
      <c r="CN302" s="6">
        <f t="shared" si="14"/>
        <v>1</v>
      </c>
      <c r="CO302" s="6">
        <f t="shared" si="15"/>
        <v>1</v>
      </c>
      <c r="CP302" s="6">
        <f t="shared" si="16"/>
        <v>1</v>
      </c>
      <c r="CQ302" s="6">
        <f t="shared" si="662"/>
        <v>1</v>
      </c>
      <c r="CR302" s="81" t="str">
        <f t="shared" si="17"/>
        <v/>
      </c>
      <c r="CS302">
        <f t="shared" si="663"/>
        <v>0</v>
      </c>
      <c r="CT302">
        <f t="shared" si="666"/>
        <v>100</v>
      </c>
      <c r="CU302" t="str">
        <f t="shared" si="29"/>
        <v/>
      </c>
      <c r="CV302" s="81">
        <f t="shared" si="664"/>
        <v>100</v>
      </c>
      <c r="CW302" s="81">
        <f>(CV302/25)^1.5*(Calculator!$BU$4/10000)*CW$5</f>
        <v>20.656847999999979</v>
      </c>
      <c r="CX302" t="str">
        <f t="shared" si="665"/>
        <v>$100</v>
      </c>
    </row>
    <row r="303" spans="2:102" x14ac:dyDescent="0.25">
      <c r="B303" s="115" t="s">
        <v>233</v>
      </c>
      <c r="C303" s="13">
        <v>46253.410416666666</v>
      </c>
      <c r="D303">
        <v>26338</v>
      </c>
      <c r="E303" s="54" t="s">
        <v>237</v>
      </c>
      <c r="F303" s="54" t="s">
        <v>651</v>
      </c>
      <c r="G303" s="54" t="s">
        <v>659</v>
      </c>
      <c r="H303" s="55">
        <v>13</v>
      </c>
      <c r="I303" s="55">
        <v>12.6</v>
      </c>
      <c r="J303" s="55">
        <v>12.4</v>
      </c>
      <c r="K303" s="54"/>
      <c r="L303" s="56" t="b">
        <v>0</v>
      </c>
      <c r="M303" s="56" t="b">
        <v>0</v>
      </c>
      <c r="N303" s="54">
        <v>1</v>
      </c>
      <c r="O303" s="54" t="s">
        <v>228</v>
      </c>
      <c r="P303" s="54">
        <v>37</v>
      </c>
      <c r="Q303" s="54">
        <v>15</v>
      </c>
      <c r="R303" s="54">
        <v>100</v>
      </c>
      <c r="S303" s="54" t="s">
        <v>653</v>
      </c>
      <c r="T303" s="54"/>
      <c r="U303" s="54" t="s">
        <v>662</v>
      </c>
      <c r="V303" s="54" t="s">
        <v>664</v>
      </c>
      <c r="W303" s="54" t="b">
        <v>0</v>
      </c>
      <c r="X303" s="54"/>
      <c r="Y303" s="57" t="s">
        <v>665</v>
      </c>
      <c r="Z303" s="54" t="s">
        <v>657</v>
      </c>
      <c r="AA303" s="54"/>
      <c r="AB303" s="54" t="s">
        <v>658</v>
      </c>
      <c r="AC303" s="56" t="b">
        <v>1</v>
      </c>
      <c r="AD303" s="56" t="b">
        <v>0</v>
      </c>
      <c r="AE303" s="54" t="s">
        <v>302</v>
      </c>
      <c r="AF303" s="58">
        <v>46253</v>
      </c>
      <c r="AG303" s="62" t="s">
        <v>293</v>
      </c>
      <c r="AH303" s="54">
        <v>0</v>
      </c>
      <c r="AI303" s="54"/>
      <c r="AJ303" s="54"/>
      <c r="AK303" s="54"/>
      <c r="AL303" s="54"/>
      <c r="AM303" s="54">
        <v>0</v>
      </c>
      <c r="AN303" s="54"/>
      <c r="AO303" s="54"/>
      <c r="AP303" s="54"/>
      <c r="AQ303" s="54"/>
      <c r="AR303" s="54"/>
      <c r="AS303" s="54"/>
      <c r="AT303" s="54"/>
      <c r="AU303" s="54"/>
      <c r="AV303" s="54"/>
      <c r="AW303" s="54"/>
      <c r="AX303" s="59"/>
      <c r="AY303" s="59"/>
      <c r="AZ303" s="59"/>
      <c r="BA303" s="59"/>
      <c r="BB303" s="59">
        <v>6.1899999999999997E-2</v>
      </c>
      <c r="BC303" s="60">
        <v>4.0599999999999996</v>
      </c>
      <c r="BD303" s="61">
        <v>6.0295000000000001E-2</v>
      </c>
      <c r="BE303" s="62" t="s">
        <v>293</v>
      </c>
      <c r="BF303" s="35">
        <f t="shared" si="654"/>
        <v>4.0600000000000005</v>
      </c>
      <c r="BG303" s="35">
        <f t="shared" si="654"/>
        <v>6.0295000000000001E-2</v>
      </c>
      <c r="BH303" s="35" t="str">
        <f t="shared" si="655"/>
        <v>Low</v>
      </c>
      <c r="BI303" s="110">
        <f t="shared" si="656"/>
        <v>0</v>
      </c>
      <c r="BJ303" s="83">
        <f>VLOOKUP($F303,REP_Info!$D$6:$H$250,5,FALSE)</f>
        <v>1.159</v>
      </c>
      <c r="BK303" s="30">
        <f t="shared" si="657"/>
        <v>13.031499999999999</v>
      </c>
      <c r="BL303" s="30">
        <f t="shared" si="657"/>
        <v>12.625500000000001</v>
      </c>
      <c r="BM303" s="30">
        <f t="shared" si="657"/>
        <v>12.422499999999999</v>
      </c>
      <c r="BN303" s="29">
        <f t="shared" si="657"/>
        <v>12.354833333333334</v>
      </c>
      <c r="BO303" s="85" t="str">
        <f t="shared" si="2"/>
        <v>$$$</v>
      </c>
      <c r="BP303" s="88" t="str">
        <f t="shared" si="658"/>
        <v>$$$</v>
      </c>
      <c r="BQ303" s="88" t="str">
        <f t="shared" si="4"/>
        <v>$$$</v>
      </c>
      <c r="BR303" s="88" t="str">
        <f t="shared" si="5"/>
        <v>$$$</v>
      </c>
      <c r="BS303" s="29" t="e">
        <f t="shared" si="659"/>
        <v>#N/A</v>
      </c>
      <c r="BT303" s="29" t="e">
        <f t="shared" si="659"/>
        <v>#N/A</v>
      </c>
      <c r="BU303" s="29" t="e">
        <f t="shared" si="659"/>
        <v>#N/A</v>
      </c>
      <c r="BV303" s="29" t="e">
        <f t="shared" si="659"/>
        <v>#N/A</v>
      </c>
      <c r="BW303" s="29" t="e">
        <f t="shared" si="659"/>
        <v>#N/A</v>
      </c>
      <c r="BX303" s="29" t="e">
        <f t="shared" si="659"/>
        <v>#N/A</v>
      </c>
      <c r="BY303" s="29" t="e">
        <f t="shared" si="659"/>
        <v>#N/A</v>
      </c>
      <c r="BZ303" s="29" t="e">
        <f t="shared" si="659"/>
        <v>#N/A</v>
      </c>
      <c r="CA303" s="29" t="e">
        <f t="shared" si="659"/>
        <v>#N/A</v>
      </c>
      <c r="CB303" s="29" t="e">
        <f t="shared" si="659"/>
        <v>#N/A</v>
      </c>
      <c r="CC303" s="29" t="e">
        <f t="shared" si="659"/>
        <v>#N/A</v>
      </c>
      <c r="CD303" s="29" t="e">
        <f t="shared" si="659"/>
        <v>#N/A</v>
      </c>
      <c r="CE303" s="6" t="str">
        <f t="shared" si="550"/>
        <v/>
      </c>
      <c r="CF303" s="27" t="e">
        <f>IF(AND(CI303,NOT(AD303)),LOOKUP(CF$5,{0,750,1500},H303:J303),"")</f>
        <v>#N/A</v>
      </c>
      <c r="CG303" s="6" t="str">
        <f t="shared" si="551"/>
        <v/>
      </c>
      <c r="CH303" t="e">
        <f t="shared" si="660"/>
        <v>#N/A</v>
      </c>
      <c r="CI303" t="e">
        <f t="shared" si="661"/>
        <v>#N/A</v>
      </c>
      <c r="CJ303" s="6" t="e">
        <f t="shared" si="11"/>
        <v>#N/A</v>
      </c>
      <c r="CK303" s="6">
        <f t="shared" si="12"/>
        <v>1</v>
      </c>
      <c r="CL303" s="6">
        <f t="shared" si="26"/>
        <v>1</v>
      </c>
      <c r="CM303" s="6">
        <f t="shared" si="13"/>
        <v>1</v>
      </c>
      <c r="CN303" s="6">
        <f t="shared" si="14"/>
        <v>1</v>
      </c>
      <c r="CO303" s="6">
        <f t="shared" si="15"/>
        <v>0</v>
      </c>
      <c r="CP303" s="6">
        <f t="shared" si="16"/>
        <v>1</v>
      </c>
      <c r="CQ303" s="6">
        <f t="shared" si="662"/>
        <v>1</v>
      </c>
      <c r="CR303" s="81" t="str">
        <f t="shared" si="17"/>
        <v/>
      </c>
      <c r="CS303">
        <f t="shared" si="663"/>
        <v>0</v>
      </c>
      <c r="CT303">
        <f t="shared" si="666"/>
        <v>100</v>
      </c>
      <c r="CU303" t="str">
        <f t="shared" si="29"/>
        <v/>
      </c>
      <c r="CV303" s="81">
        <f t="shared" si="664"/>
        <v>100</v>
      </c>
      <c r="CW303" s="81">
        <f>(CV303/25)^1.5*(Calculator!$BU$4/10000)*CW$5</f>
        <v>20.656847999999979</v>
      </c>
      <c r="CX303" t="str">
        <f t="shared" si="665"/>
        <v>$100</v>
      </c>
    </row>
    <row r="304" spans="2:102" x14ac:dyDescent="0.25">
      <c r="B304" s="115" t="s">
        <v>233</v>
      </c>
      <c r="C304" s="13">
        <v>46246.298611111109</v>
      </c>
      <c r="D304">
        <v>29208</v>
      </c>
      <c r="E304" s="54" t="s">
        <v>235</v>
      </c>
      <c r="F304" s="54" t="s">
        <v>651</v>
      </c>
      <c r="G304" s="54" t="s">
        <v>666</v>
      </c>
      <c r="H304" s="55">
        <v>11.899999999999999</v>
      </c>
      <c r="I304" s="55">
        <v>11.4</v>
      </c>
      <c r="J304" s="55">
        <v>11.200000000000001</v>
      </c>
      <c r="K304" s="54"/>
      <c r="L304" s="56" t="b">
        <v>0</v>
      </c>
      <c r="M304" s="56" t="b">
        <v>0</v>
      </c>
      <c r="N304" s="54">
        <v>1</v>
      </c>
      <c r="O304" s="54" t="s">
        <v>228</v>
      </c>
      <c r="P304" s="54">
        <v>37</v>
      </c>
      <c r="Q304" s="54">
        <v>6</v>
      </c>
      <c r="R304" s="54">
        <v>100</v>
      </c>
      <c r="S304" s="54" t="s">
        <v>653</v>
      </c>
      <c r="T304" s="54"/>
      <c r="U304" s="54" t="s">
        <v>667</v>
      </c>
      <c r="V304" s="54" t="s">
        <v>668</v>
      </c>
      <c r="W304" s="54" t="b">
        <v>0</v>
      </c>
      <c r="X304" s="54"/>
      <c r="Y304" s="57" t="s">
        <v>669</v>
      </c>
      <c r="Z304" s="54" t="s">
        <v>657</v>
      </c>
      <c r="AA304" s="54"/>
      <c r="AB304" s="54" t="s">
        <v>658</v>
      </c>
      <c r="AC304" s="56" t="b">
        <v>1</v>
      </c>
      <c r="AD304" s="56" t="b">
        <v>0</v>
      </c>
      <c r="AE304" s="54" t="s">
        <v>302</v>
      </c>
      <c r="AF304" s="58">
        <v>46246</v>
      </c>
      <c r="AG304" s="62" t="s">
        <v>293</v>
      </c>
      <c r="AH304" s="54">
        <v>0</v>
      </c>
      <c r="AI304" s="54"/>
      <c r="AJ304" s="54"/>
      <c r="AK304" s="54"/>
      <c r="AL304" s="54"/>
      <c r="AM304" s="54">
        <v>0</v>
      </c>
      <c r="AN304" s="54"/>
      <c r="AO304" s="54"/>
      <c r="AP304" s="54"/>
      <c r="AQ304" s="54"/>
      <c r="AR304" s="54"/>
      <c r="AS304" s="54"/>
      <c r="AT304" s="54"/>
      <c r="AU304" s="54"/>
      <c r="AV304" s="54"/>
      <c r="AW304" s="54"/>
      <c r="AX304" s="59"/>
      <c r="AY304" s="59"/>
      <c r="AZ304" s="59"/>
      <c r="BA304" s="59"/>
      <c r="BB304" s="59">
        <v>5.79E-2</v>
      </c>
      <c r="BC304" s="60">
        <v>4.9000000000000004</v>
      </c>
      <c r="BD304" s="61">
        <v>5.1461E-2</v>
      </c>
      <c r="BE304" s="62" t="s">
        <v>293</v>
      </c>
      <c r="BF304" s="35">
        <f t="shared" si="654"/>
        <v>4.9000000000000004</v>
      </c>
      <c r="BG304" s="35">
        <f t="shared" si="654"/>
        <v>4.9811000000000001E-2</v>
      </c>
      <c r="BH304" s="35" t="str">
        <f t="shared" si="655"/>
        <v>Low</v>
      </c>
      <c r="BI304" s="110">
        <f t="shared" si="656"/>
        <v>0</v>
      </c>
      <c r="BJ304" s="83">
        <f>VLOOKUP($F304,REP_Info!$D$6:$H$250,5,FALSE)</f>
        <v>1.159</v>
      </c>
      <c r="BK304" s="30">
        <f t="shared" si="657"/>
        <v>11.751100000000001</v>
      </c>
      <c r="BL304" s="30">
        <f t="shared" si="657"/>
        <v>11.261099999999999</v>
      </c>
      <c r="BM304" s="30">
        <f t="shared" si="657"/>
        <v>11.0161</v>
      </c>
      <c r="BN304" s="29">
        <f t="shared" si="657"/>
        <v>10.934433333333335</v>
      </c>
      <c r="BO304" s="85" t="str">
        <f t="shared" si="2"/>
        <v>$$$</v>
      </c>
      <c r="BP304" s="88" t="str">
        <f t="shared" si="658"/>
        <v>$$$</v>
      </c>
      <c r="BQ304" s="88" t="str">
        <f t="shared" si="4"/>
        <v>$$$</v>
      </c>
      <c r="BR304" s="88" t="str">
        <f t="shared" si="5"/>
        <v>$$$</v>
      </c>
      <c r="BS304" s="29" t="e">
        <f t="shared" si="659"/>
        <v>#N/A</v>
      </c>
      <c r="BT304" s="29" t="e">
        <f t="shared" si="659"/>
        <v>#N/A</v>
      </c>
      <c r="BU304" s="29" t="e">
        <f t="shared" si="659"/>
        <v>#N/A</v>
      </c>
      <c r="BV304" s="29" t="e">
        <f t="shared" si="659"/>
        <v>#N/A</v>
      </c>
      <c r="BW304" s="29" t="e">
        <f t="shared" si="659"/>
        <v>#N/A</v>
      </c>
      <c r="BX304" s="29" t="e">
        <f t="shared" si="659"/>
        <v>#N/A</v>
      </c>
      <c r="BY304" s="29" t="e">
        <f t="shared" si="659"/>
        <v>#N/A</v>
      </c>
      <c r="BZ304" s="29" t="e">
        <f t="shared" si="659"/>
        <v>#N/A</v>
      </c>
      <c r="CA304" s="29" t="e">
        <f t="shared" si="659"/>
        <v>#N/A</v>
      </c>
      <c r="CB304" s="29" t="e">
        <f t="shared" si="659"/>
        <v>#N/A</v>
      </c>
      <c r="CC304" s="29" t="e">
        <f t="shared" si="659"/>
        <v>#N/A</v>
      </c>
      <c r="CD304" s="29" t="e">
        <f t="shared" si="659"/>
        <v>#N/A</v>
      </c>
      <c r="CE304" s="6" t="str">
        <f t="shared" si="550"/>
        <v/>
      </c>
      <c r="CF304" s="27" t="e">
        <f>IF(AND(CI304,NOT(AD304)),LOOKUP(CF$5,{0,750,1500},H304:J304),"")</f>
        <v>#N/A</v>
      </c>
      <c r="CG304" s="6" t="str">
        <f t="shared" si="551"/>
        <v/>
      </c>
      <c r="CH304" t="e">
        <f t="shared" si="660"/>
        <v>#N/A</v>
      </c>
      <c r="CI304" t="e">
        <f t="shared" si="661"/>
        <v>#N/A</v>
      </c>
      <c r="CJ304" s="6" t="e">
        <f t="shared" si="11"/>
        <v>#N/A</v>
      </c>
      <c r="CK304" s="6">
        <f t="shared" si="12"/>
        <v>1</v>
      </c>
      <c r="CL304" s="6">
        <f t="shared" si="26"/>
        <v>1</v>
      </c>
      <c r="CM304" s="6">
        <f t="shared" si="13"/>
        <v>1</v>
      </c>
      <c r="CN304" s="6">
        <f t="shared" si="14"/>
        <v>0</v>
      </c>
      <c r="CO304" s="6">
        <f t="shared" si="15"/>
        <v>1</v>
      </c>
      <c r="CP304" s="6">
        <f t="shared" si="16"/>
        <v>1</v>
      </c>
      <c r="CQ304" s="6">
        <f t="shared" si="662"/>
        <v>1</v>
      </c>
      <c r="CR304" s="81" t="str">
        <f t="shared" si="17"/>
        <v/>
      </c>
      <c r="CS304">
        <f t="shared" si="663"/>
        <v>18</v>
      </c>
      <c r="CT304">
        <f t="shared" si="666"/>
        <v>100</v>
      </c>
      <c r="CU304" t="str">
        <f t="shared" si="29"/>
        <v/>
      </c>
      <c r="CV304" s="81">
        <f t="shared" si="664"/>
        <v>100</v>
      </c>
      <c r="CW304" s="81">
        <f>(CV304/25)^1.5*(Calculator!$BU$4/10000)*CW$5</f>
        <v>20.656847999999979</v>
      </c>
      <c r="CX304" t="str">
        <f t="shared" si="665"/>
        <v>$100</v>
      </c>
    </row>
    <row r="305" spans="2:102" x14ac:dyDescent="0.25">
      <c r="B305" s="115" t="s">
        <v>233</v>
      </c>
      <c r="C305" s="13">
        <v>46253.410416666666</v>
      </c>
      <c r="D305">
        <v>29213</v>
      </c>
      <c r="E305" s="54" t="s">
        <v>237</v>
      </c>
      <c r="F305" s="54" t="s">
        <v>651</v>
      </c>
      <c r="G305" s="54" t="s">
        <v>666</v>
      </c>
      <c r="H305" s="55">
        <v>12.3</v>
      </c>
      <c r="I305" s="55">
        <v>11.899999999999999</v>
      </c>
      <c r="J305" s="55">
        <v>11.700000000000001</v>
      </c>
      <c r="K305" s="54"/>
      <c r="L305" s="56" t="b">
        <v>0</v>
      </c>
      <c r="M305" s="56" t="b">
        <v>0</v>
      </c>
      <c r="N305" s="54">
        <v>1</v>
      </c>
      <c r="O305" s="54" t="s">
        <v>228</v>
      </c>
      <c r="P305" s="54">
        <v>37</v>
      </c>
      <c r="Q305" s="54">
        <v>6</v>
      </c>
      <c r="R305" s="54">
        <v>100</v>
      </c>
      <c r="S305" s="54" t="s">
        <v>653</v>
      </c>
      <c r="T305" s="54"/>
      <c r="U305" s="54" t="s">
        <v>670</v>
      </c>
      <c r="V305" s="54" t="s">
        <v>671</v>
      </c>
      <c r="W305" s="54" t="b">
        <v>0</v>
      </c>
      <c r="X305" s="54"/>
      <c r="Y305" s="57" t="s">
        <v>672</v>
      </c>
      <c r="Z305" s="54" t="s">
        <v>657</v>
      </c>
      <c r="AA305" s="54"/>
      <c r="AB305" s="54" t="s">
        <v>658</v>
      </c>
      <c r="AC305" s="56" t="b">
        <v>1</v>
      </c>
      <c r="AD305" s="56" t="b">
        <v>0</v>
      </c>
      <c r="AE305" s="54" t="s">
        <v>302</v>
      </c>
      <c r="AF305" s="58">
        <v>46253</v>
      </c>
      <c r="AG305" s="62" t="s">
        <v>293</v>
      </c>
      <c r="AH305" s="54">
        <v>0</v>
      </c>
      <c r="AI305" s="54"/>
      <c r="AJ305" s="54"/>
      <c r="AK305" s="54"/>
      <c r="AL305" s="54"/>
      <c r="AM305" s="54">
        <v>0</v>
      </c>
      <c r="AN305" s="54"/>
      <c r="AO305" s="54"/>
      <c r="AP305" s="54"/>
      <c r="AQ305" s="54"/>
      <c r="AR305" s="54"/>
      <c r="AS305" s="54"/>
      <c r="AT305" s="54"/>
      <c r="AU305" s="54"/>
      <c r="AV305" s="54"/>
      <c r="AW305" s="54"/>
      <c r="AX305" s="59"/>
      <c r="AY305" s="59"/>
      <c r="AZ305" s="59"/>
      <c r="BA305" s="59"/>
      <c r="BB305" s="59">
        <v>5.4899999999999997E-2</v>
      </c>
      <c r="BC305" s="60">
        <v>4.0599999999999996</v>
      </c>
      <c r="BD305" s="61">
        <v>6.0295000000000001E-2</v>
      </c>
      <c r="BE305" s="62" t="s">
        <v>293</v>
      </c>
      <c r="BF305" s="35">
        <f t="shared" si="654"/>
        <v>4.0600000000000005</v>
      </c>
      <c r="BG305" s="35">
        <f t="shared" si="654"/>
        <v>6.0295000000000001E-2</v>
      </c>
      <c r="BH305" s="35" t="str">
        <f t="shared" si="655"/>
        <v>Low</v>
      </c>
      <c r="BI305" s="110">
        <f t="shared" si="656"/>
        <v>0</v>
      </c>
      <c r="BJ305" s="83">
        <f>VLOOKUP($F305,REP_Info!$D$6:$H$250,5,FALSE)</f>
        <v>1.159</v>
      </c>
      <c r="BK305" s="30">
        <f t="shared" si="657"/>
        <v>12.3315</v>
      </c>
      <c r="BL305" s="30">
        <f t="shared" si="657"/>
        <v>11.9255</v>
      </c>
      <c r="BM305" s="30">
        <f t="shared" si="657"/>
        <v>11.7225</v>
      </c>
      <c r="BN305" s="29">
        <f t="shared" si="657"/>
        <v>11.654833333333332</v>
      </c>
      <c r="BO305" s="85" t="str">
        <f t="shared" si="2"/>
        <v>$$$</v>
      </c>
      <c r="BP305" s="88" t="str">
        <f t="shared" si="658"/>
        <v>$$$</v>
      </c>
      <c r="BQ305" s="88" t="str">
        <f t="shared" si="4"/>
        <v>$$$</v>
      </c>
      <c r="BR305" s="88" t="str">
        <f t="shared" si="5"/>
        <v>$$$</v>
      </c>
      <c r="BS305" s="29" t="e">
        <f t="shared" si="659"/>
        <v>#N/A</v>
      </c>
      <c r="BT305" s="29" t="e">
        <f t="shared" si="659"/>
        <v>#N/A</v>
      </c>
      <c r="BU305" s="29" t="e">
        <f t="shared" si="659"/>
        <v>#N/A</v>
      </c>
      <c r="BV305" s="29" t="e">
        <f t="shared" si="659"/>
        <v>#N/A</v>
      </c>
      <c r="BW305" s="29" t="e">
        <f t="shared" si="659"/>
        <v>#N/A</v>
      </c>
      <c r="BX305" s="29" t="e">
        <f t="shared" si="659"/>
        <v>#N/A</v>
      </c>
      <c r="BY305" s="29" t="e">
        <f t="shared" si="659"/>
        <v>#N/A</v>
      </c>
      <c r="BZ305" s="29" t="e">
        <f t="shared" si="659"/>
        <v>#N/A</v>
      </c>
      <c r="CA305" s="29" t="e">
        <f t="shared" si="659"/>
        <v>#N/A</v>
      </c>
      <c r="CB305" s="29" t="e">
        <f t="shared" si="659"/>
        <v>#N/A</v>
      </c>
      <c r="CC305" s="29" t="e">
        <f t="shared" si="659"/>
        <v>#N/A</v>
      </c>
      <c r="CD305" s="29" t="e">
        <f t="shared" si="659"/>
        <v>#N/A</v>
      </c>
      <c r="CE305" s="6" t="str">
        <f t="shared" si="550"/>
        <v/>
      </c>
      <c r="CF305" s="27" t="e">
        <f>IF(AND(CI305,NOT(AD305)),LOOKUP(CF$5,{0,750,1500},H305:J305),"")</f>
        <v>#N/A</v>
      </c>
      <c r="CG305" s="6" t="str">
        <f t="shared" si="551"/>
        <v/>
      </c>
      <c r="CH305" t="e">
        <f t="shared" si="660"/>
        <v>#N/A</v>
      </c>
      <c r="CI305" t="e">
        <f t="shared" si="661"/>
        <v>#N/A</v>
      </c>
      <c r="CJ305" s="6" t="e">
        <f t="shared" si="11"/>
        <v>#N/A</v>
      </c>
      <c r="CK305" s="6">
        <f t="shared" si="12"/>
        <v>1</v>
      </c>
      <c r="CL305" s="6">
        <f t="shared" si="26"/>
        <v>1</v>
      </c>
      <c r="CM305" s="6">
        <f t="shared" si="13"/>
        <v>1</v>
      </c>
      <c r="CN305" s="6">
        <f t="shared" si="14"/>
        <v>0</v>
      </c>
      <c r="CO305" s="6">
        <f t="shared" si="15"/>
        <v>1</v>
      </c>
      <c r="CP305" s="6">
        <f t="shared" si="16"/>
        <v>1</v>
      </c>
      <c r="CQ305" s="6">
        <f t="shared" si="662"/>
        <v>1</v>
      </c>
      <c r="CR305" s="81" t="str">
        <f t="shared" si="17"/>
        <v/>
      </c>
      <c r="CS305">
        <f t="shared" si="663"/>
        <v>18</v>
      </c>
      <c r="CT305">
        <f t="shared" si="666"/>
        <v>100</v>
      </c>
      <c r="CU305" t="str">
        <f t="shared" si="29"/>
        <v/>
      </c>
      <c r="CV305" s="81">
        <f t="shared" si="664"/>
        <v>100</v>
      </c>
      <c r="CW305" s="81">
        <f>(CV305/25)^1.5*(Calculator!$BU$4/10000)*CW$5</f>
        <v>20.656847999999979</v>
      </c>
      <c r="CX305" t="str">
        <f t="shared" si="665"/>
        <v>$100</v>
      </c>
    </row>
    <row r="306" spans="2:102" x14ac:dyDescent="0.25">
      <c r="B306" s="115" t="s">
        <v>233</v>
      </c>
      <c r="C306" s="13">
        <v>46236.341666666667</v>
      </c>
      <c r="D306">
        <v>31061</v>
      </c>
      <c r="E306" s="54" t="s">
        <v>235</v>
      </c>
      <c r="F306" s="54" t="s">
        <v>651</v>
      </c>
      <c r="G306" s="54" t="s">
        <v>1813</v>
      </c>
      <c r="H306" s="55">
        <v>24</v>
      </c>
      <c r="I306" s="55">
        <v>12</v>
      </c>
      <c r="J306" s="55">
        <v>13</v>
      </c>
      <c r="K306" s="54" t="s">
        <v>1679</v>
      </c>
      <c r="L306" s="56" t="b">
        <v>0</v>
      </c>
      <c r="M306" s="56" t="b">
        <v>0</v>
      </c>
      <c r="N306" s="54">
        <v>1</v>
      </c>
      <c r="O306" s="54" t="s">
        <v>228</v>
      </c>
      <c r="P306" s="54">
        <v>37</v>
      </c>
      <c r="Q306" s="54">
        <v>12</v>
      </c>
      <c r="R306" s="54">
        <v>200</v>
      </c>
      <c r="S306" s="54" t="s">
        <v>653</v>
      </c>
      <c r="T306" s="54"/>
      <c r="U306" s="54" t="s">
        <v>1803</v>
      </c>
      <c r="V306" s="54" t="s">
        <v>1814</v>
      </c>
      <c r="W306" s="54" t="b">
        <v>0</v>
      </c>
      <c r="X306" s="54"/>
      <c r="Y306" s="57" t="s">
        <v>1815</v>
      </c>
      <c r="Z306" s="54" t="s">
        <v>657</v>
      </c>
      <c r="AA306" s="54"/>
      <c r="AB306" s="54" t="s">
        <v>1816</v>
      </c>
      <c r="AC306" s="56" t="b">
        <v>1</v>
      </c>
      <c r="AD306" s="56" t="b">
        <v>1</v>
      </c>
      <c r="AE306" s="54" t="s">
        <v>302</v>
      </c>
      <c r="AF306" s="58">
        <v>46236</v>
      </c>
      <c r="AG306" s="62" t="s">
        <v>293</v>
      </c>
      <c r="AH306" s="54">
        <v>0</v>
      </c>
      <c r="AI306" s="54"/>
      <c r="AJ306" s="54"/>
      <c r="AK306" s="54"/>
      <c r="AL306" s="54"/>
      <c r="AM306" s="54">
        <v>120</v>
      </c>
      <c r="AN306" s="54"/>
      <c r="AO306" s="54"/>
      <c r="AP306" s="54"/>
      <c r="AQ306" s="54"/>
      <c r="AR306" s="54"/>
      <c r="AS306" s="54"/>
      <c r="AT306" s="54"/>
      <c r="AU306" s="54"/>
      <c r="AV306" s="54">
        <v>1000</v>
      </c>
      <c r="AW306" s="54"/>
      <c r="AX306" s="59"/>
      <c r="AY306" s="59"/>
      <c r="AZ306" s="59"/>
      <c r="BA306" s="59"/>
      <c r="BB306" s="59">
        <v>0.14000000000000001</v>
      </c>
      <c r="BC306" s="60"/>
      <c r="BD306" s="61"/>
      <c r="BE306" s="62" t="s">
        <v>731</v>
      </c>
      <c r="BF306" s="35">
        <f t="shared" si="654"/>
        <v>4.9000000000000004</v>
      </c>
      <c r="BG306" s="35">
        <f t="shared" si="654"/>
        <v>4.9811000000000001E-2</v>
      </c>
      <c r="BH306" s="35" t="str">
        <f t="shared" si="655"/>
        <v>High</v>
      </c>
      <c r="BI306" s="110">
        <f t="shared" si="656"/>
        <v>0</v>
      </c>
      <c r="BJ306" s="83">
        <f>VLOOKUP($F306,REP_Info!$D$6:$H$250,5,FALSE)</f>
        <v>1.159</v>
      </c>
      <c r="BK306" s="30">
        <f t="shared" si="657"/>
        <v>24</v>
      </c>
      <c r="BL306" s="30">
        <f t="shared" si="657"/>
        <v>12</v>
      </c>
      <c r="BM306" s="30">
        <f t="shared" si="657"/>
        <v>13</v>
      </c>
      <c r="BN306" s="29">
        <f t="shared" si="657"/>
        <v>13.333333333333334</v>
      </c>
      <c r="BO306" s="85" t="str">
        <f t="shared" si="2"/>
        <v>$$$</v>
      </c>
      <c r="BP306" s="88" t="str">
        <f t="shared" si="658"/>
        <v>$$$</v>
      </c>
      <c r="BQ306" s="88" t="str">
        <f t="shared" si="4"/>
        <v>$$$</v>
      </c>
      <c r="BR306" s="88" t="str">
        <f t="shared" si="5"/>
        <v>$$$</v>
      </c>
      <c r="BS306" s="29" t="e">
        <f t="shared" si="659"/>
        <v>#N/A</v>
      </c>
      <c r="BT306" s="29" t="e">
        <f t="shared" si="659"/>
        <v>#N/A</v>
      </c>
      <c r="BU306" s="29" t="e">
        <f t="shared" si="659"/>
        <v>#N/A</v>
      </c>
      <c r="BV306" s="29" t="e">
        <f t="shared" si="659"/>
        <v>#N/A</v>
      </c>
      <c r="BW306" s="29" t="e">
        <f t="shared" si="659"/>
        <v>#N/A</v>
      </c>
      <c r="BX306" s="29" t="e">
        <f t="shared" si="659"/>
        <v>#N/A</v>
      </c>
      <c r="BY306" s="29" t="e">
        <f t="shared" si="659"/>
        <v>#N/A</v>
      </c>
      <c r="BZ306" s="29" t="e">
        <f t="shared" si="659"/>
        <v>#N/A</v>
      </c>
      <c r="CA306" s="29" t="e">
        <f t="shared" si="659"/>
        <v>#N/A</v>
      </c>
      <c r="CB306" s="29" t="e">
        <f t="shared" si="659"/>
        <v>#N/A</v>
      </c>
      <c r="CC306" s="29" t="e">
        <f t="shared" si="659"/>
        <v>#N/A</v>
      </c>
      <c r="CD306" s="29" t="e">
        <f t="shared" si="659"/>
        <v>#N/A</v>
      </c>
      <c r="CE306" s="6" t="str">
        <f t="shared" si="550"/>
        <v/>
      </c>
      <c r="CF306" s="27" t="e">
        <f>IF(AND(CI306,NOT(AD306)),LOOKUP(CF$5,{0,750,1500},H306:J306),"")</f>
        <v>#N/A</v>
      </c>
      <c r="CG306" s="6" t="str">
        <f t="shared" si="551"/>
        <v/>
      </c>
      <c r="CH306" t="e">
        <f t="shared" si="660"/>
        <v>#N/A</v>
      </c>
      <c r="CI306" t="e">
        <f t="shared" si="661"/>
        <v>#N/A</v>
      </c>
      <c r="CJ306" s="6" t="e">
        <f t="shared" si="11"/>
        <v>#N/A</v>
      </c>
      <c r="CK306" s="6">
        <f t="shared" si="12"/>
        <v>1</v>
      </c>
      <c r="CL306" s="6">
        <f t="shared" si="26"/>
        <v>1</v>
      </c>
      <c r="CM306" s="6">
        <f t="shared" si="13"/>
        <v>1</v>
      </c>
      <c r="CN306" s="6">
        <f t="shared" si="14"/>
        <v>1</v>
      </c>
      <c r="CO306" s="6">
        <f t="shared" si="15"/>
        <v>1</v>
      </c>
      <c r="CP306" s="6">
        <f t="shared" si="16"/>
        <v>1</v>
      </c>
      <c r="CQ306" s="6">
        <f t="shared" si="662"/>
        <v>1</v>
      </c>
      <c r="CR306" s="81" t="str">
        <f t="shared" si="17"/>
        <v/>
      </c>
      <c r="CS306">
        <f t="shared" si="663"/>
        <v>0</v>
      </c>
      <c r="CT306">
        <f t="shared" si="666"/>
        <v>200</v>
      </c>
      <c r="CU306" t="str">
        <f t="shared" si="29"/>
        <v/>
      </c>
      <c r="CV306" s="81">
        <f t="shared" si="664"/>
        <v>200</v>
      </c>
      <c r="CW306" s="81">
        <f>(CV306/25)^1.5*(Calculator!$BU$4/10000)*CW$5</f>
        <v>58.426389194959008</v>
      </c>
      <c r="CX306" t="str">
        <f t="shared" si="665"/>
        <v>$200</v>
      </c>
    </row>
    <row r="307" spans="2:102" x14ac:dyDescent="0.25">
      <c r="B307" s="115" t="s">
        <v>233</v>
      </c>
      <c r="C307" s="13">
        <v>46242.178472222222</v>
      </c>
      <c r="D307">
        <v>31066</v>
      </c>
      <c r="E307" s="54" t="s">
        <v>237</v>
      </c>
      <c r="F307" s="54" t="s">
        <v>651</v>
      </c>
      <c r="G307" s="54" t="s">
        <v>1813</v>
      </c>
      <c r="H307" s="55">
        <v>25</v>
      </c>
      <c r="I307" s="55">
        <v>12.5</v>
      </c>
      <c r="J307" s="55">
        <v>13.3</v>
      </c>
      <c r="K307" s="54" t="s">
        <v>1679</v>
      </c>
      <c r="L307" s="56" t="b">
        <v>0</v>
      </c>
      <c r="M307" s="56" t="b">
        <v>0</v>
      </c>
      <c r="N307" s="54">
        <v>1</v>
      </c>
      <c r="O307" s="54" t="s">
        <v>228</v>
      </c>
      <c r="P307" s="54">
        <v>37</v>
      </c>
      <c r="Q307" s="54">
        <v>12</v>
      </c>
      <c r="R307" s="54">
        <v>200</v>
      </c>
      <c r="S307" s="54" t="s">
        <v>653</v>
      </c>
      <c r="T307" s="54"/>
      <c r="U307" s="54" t="s">
        <v>1804</v>
      </c>
      <c r="V307" s="54" t="s">
        <v>1817</v>
      </c>
      <c r="W307" s="54" t="b">
        <v>0</v>
      </c>
      <c r="X307" s="54"/>
      <c r="Y307" s="57" t="s">
        <v>1818</v>
      </c>
      <c r="Z307" s="54" t="s">
        <v>657</v>
      </c>
      <c r="AA307" s="54"/>
      <c r="AB307" s="54" t="s">
        <v>1816</v>
      </c>
      <c r="AC307" s="56" t="b">
        <v>1</v>
      </c>
      <c r="AD307" s="56" t="b">
        <v>1</v>
      </c>
      <c r="AE307" s="54" t="s">
        <v>302</v>
      </c>
      <c r="AF307" s="58">
        <v>46242</v>
      </c>
      <c r="AG307" s="62" t="s">
        <v>293</v>
      </c>
      <c r="AH307" s="54">
        <v>0</v>
      </c>
      <c r="AI307" s="54"/>
      <c r="AJ307" s="54"/>
      <c r="AK307" s="54"/>
      <c r="AL307" s="54"/>
      <c r="AM307" s="54">
        <v>125</v>
      </c>
      <c r="AN307" s="54"/>
      <c r="AO307" s="54"/>
      <c r="AP307" s="54"/>
      <c r="AQ307" s="54"/>
      <c r="AR307" s="54"/>
      <c r="AS307" s="54"/>
      <c r="AT307" s="54"/>
      <c r="AU307" s="54"/>
      <c r="AV307" s="54">
        <v>1000</v>
      </c>
      <c r="AW307" s="54"/>
      <c r="AX307" s="59"/>
      <c r="AY307" s="59"/>
      <c r="AZ307" s="59"/>
      <c r="BA307" s="59"/>
      <c r="BB307" s="59">
        <v>0.14000000000000001</v>
      </c>
      <c r="BC307" s="60"/>
      <c r="BD307" s="61"/>
      <c r="BE307" s="62" t="s">
        <v>731</v>
      </c>
      <c r="BF307" s="35">
        <f t="shared" si="654"/>
        <v>4.0600000000000005</v>
      </c>
      <c r="BG307" s="35">
        <f t="shared" si="654"/>
        <v>6.0295000000000001E-2</v>
      </c>
      <c r="BH307" s="35" t="str">
        <f t="shared" si="655"/>
        <v>High</v>
      </c>
      <c r="BI307" s="110">
        <f t="shared" si="656"/>
        <v>0</v>
      </c>
      <c r="BJ307" s="83">
        <f>VLOOKUP($F307,REP_Info!$D$6:$H$250,5,FALSE)</f>
        <v>1.159</v>
      </c>
      <c r="BK307" s="30">
        <f t="shared" si="657"/>
        <v>25</v>
      </c>
      <c r="BL307" s="30">
        <f t="shared" si="657"/>
        <v>12.5</v>
      </c>
      <c r="BM307" s="30">
        <f t="shared" si="657"/>
        <v>13.25</v>
      </c>
      <c r="BN307" s="29">
        <f t="shared" si="657"/>
        <v>13.5</v>
      </c>
      <c r="BO307" s="85" t="str">
        <f t="shared" si="2"/>
        <v>$$$</v>
      </c>
      <c r="BP307" s="88" t="str">
        <f t="shared" si="658"/>
        <v>$$$</v>
      </c>
      <c r="BQ307" s="88" t="str">
        <f t="shared" si="4"/>
        <v>$$$</v>
      </c>
      <c r="BR307" s="88" t="str">
        <f t="shared" si="5"/>
        <v>$$$</v>
      </c>
      <c r="BS307" s="29" t="e">
        <f t="shared" si="659"/>
        <v>#N/A</v>
      </c>
      <c r="BT307" s="29" t="e">
        <f t="shared" si="659"/>
        <v>#N/A</v>
      </c>
      <c r="BU307" s="29" t="e">
        <f t="shared" si="659"/>
        <v>#N/A</v>
      </c>
      <c r="BV307" s="29" t="e">
        <f t="shared" si="659"/>
        <v>#N/A</v>
      </c>
      <c r="BW307" s="29" t="e">
        <f t="shared" si="659"/>
        <v>#N/A</v>
      </c>
      <c r="BX307" s="29" t="e">
        <f t="shared" si="659"/>
        <v>#N/A</v>
      </c>
      <c r="BY307" s="29" t="e">
        <f t="shared" si="659"/>
        <v>#N/A</v>
      </c>
      <c r="BZ307" s="29" t="e">
        <f t="shared" si="659"/>
        <v>#N/A</v>
      </c>
      <c r="CA307" s="29" t="e">
        <f t="shared" si="659"/>
        <v>#N/A</v>
      </c>
      <c r="CB307" s="29" t="e">
        <f t="shared" si="659"/>
        <v>#N/A</v>
      </c>
      <c r="CC307" s="29" t="e">
        <f t="shared" si="659"/>
        <v>#N/A</v>
      </c>
      <c r="CD307" s="29" t="e">
        <f t="shared" si="659"/>
        <v>#N/A</v>
      </c>
      <c r="CE307" s="6" t="str">
        <f t="shared" si="550"/>
        <v/>
      </c>
      <c r="CF307" s="27" t="e">
        <f>IF(AND(CI307,NOT(AD307)),LOOKUP(CF$5,{0,750,1500},H307:J307),"")</f>
        <v>#N/A</v>
      </c>
      <c r="CG307" s="6" t="str">
        <f t="shared" si="551"/>
        <v/>
      </c>
      <c r="CH307" t="e">
        <f t="shared" si="660"/>
        <v>#N/A</v>
      </c>
      <c r="CI307" t="e">
        <f t="shared" si="661"/>
        <v>#N/A</v>
      </c>
      <c r="CJ307" s="6" t="e">
        <f t="shared" si="11"/>
        <v>#N/A</v>
      </c>
      <c r="CK307" s="6">
        <f t="shared" si="12"/>
        <v>1</v>
      </c>
      <c r="CL307" s="6">
        <f t="shared" si="26"/>
        <v>1</v>
      </c>
      <c r="CM307" s="6">
        <f t="shared" si="13"/>
        <v>1</v>
      </c>
      <c r="CN307" s="6">
        <f t="shared" si="14"/>
        <v>1</v>
      </c>
      <c r="CO307" s="6">
        <f t="shared" si="15"/>
        <v>1</v>
      </c>
      <c r="CP307" s="6">
        <f t="shared" si="16"/>
        <v>1</v>
      </c>
      <c r="CQ307" s="6">
        <f t="shared" si="662"/>
        <v>1</v>
      </c>
      <c r="CR307" s="81" t="str">
        <f t="shared" si="17"/>
        <v/>
      </c>
      <c r="CS307">
        <f t="shared" si="663"/>
        <v>0</v>
      </c>
      <c r="CT307">
        <f t="shared" si="666"/>
        <v>200</v>
      </c>
      <c r="CU307" t="str">
        <f t="shared" si="29"/>
        <v/>
      </c>
      <c r="CV307" s="81">
        <f t="shared" si="664"/>
        <v>200</v>
      </c>
      <c r="CW307" s="81">
        <f>(CV307/25)^1.5*(Calculator!$BU$4/10000)*CW$5</f>
        <v>58.426389194959008</v>
      </c>
      <c r="CX307" t="str">
        <f t="shared" si="665"/>
        <v>$200</v>
      </c>
    </row>
    <row r="308" spans="2:102" x14ac:dyDescent="0.25">
      <c r="B308" s="115" t="s">
        <v>233</v>
      </c>
      <c r="C308" s="13">
        <v>46254.637499999997</v>
      </c>
      <c r="D308">
        <v>37300</v>
      </c>
      <c r="E308" s="54" t="s">
        <v>235</v>
      </c>
      <c r="F308" s="54" t="s">
        <v>651</v>
      </c>
      <c r="G308" s="54" t="s">
        <v>1943</v>
      </c>
      <c r="H308" s="55">
        <v>17</v>
      </c>
      <c r="I308" s="55">
        <v>6.5</v>
      </c>
      <c r="J308" s="55">
        <v>11.3</v>
      </c>
      <c r="K308" s="54" t="s">
        <v>2293</v>
      </c>
      <c r="L308" s="56" t="b">
        <v>0</v>
      </c>
      <c r="M308" s="56" t="b">
        <v>0</v>
      </c>
      <c r="N308" s="54">
        <v>1</v>
      </c>
      <c r="O308" s="54" t="s">
        <v>228</v>
      </c>
      <c r="P308" s="54">
        <v>37</v>
      </c>
      <c r="Q308" s="54">
        <v>12</v>
      </c>
      <c r="R308" s="54">
        <v>100</v>
      </c>
      <c r="S308" s="54" t="s">
        <v>653</v>
      </c>
      <c r="T308" s="54"/>
      <c r="U308" s="54" t="s">
        <v>1887</v>
      </c>
      <c r="V308" s="54" t="s">
        <v>1944</v>
      </c>
      <c r="W308" s="54" t="b">
        <v>0</v>
      </c>
      <c r="X308" s="54"/>
      <c r="Y308" s="57" t="s">
        <v>1945</v>
      </c>
      <c r="Z308" s="54" t="s">
        <v>1946</v>
      </c>
      <c r="AA308" s="54"/>
      <c r="AB308" s="54" t="s">
        <v>658</v>
      </c>
      <c r="AC308" s="56" t="b">
        <v>1</v>
      </c>
      <c r="AD308" s="56" t="b">
        <v>1</v>
      </c>
      <c r="AE308" s="54" t="s">
        <v>302</v>
      </c>
      <c r="AF308" s="58">
        <v>46254</v>
      </c>
      <c r="AG308" s="62" t="s">
        <v>293</v>
      </c>
      <c r="AH308" s="54">
        <v>0</v>
      </c>
      <c r="AI308" s="54"/>
      <c r="AJ308" s="54"/>
      <c r="AK308" s="54"/>
      <c r="AL308" s="54"/>
      <c r="AM308" s="54">
        <v>0</v>
      </c>
      <c r="AN308" s="54"/>
      <c r="AO308" s="54"/>
      <c r="AP308" s="54"/>
      <c r="AQ308" s="54"/>
      <c r="AR308" s="54"/>
      <c r="AS308" s="54"/>
      <c r="AT308" s="54"/>
      <c r="AU308" s="54"/>
      <c r="AV308" s="54"/>
      <c r="AW308" s="54"/>
      <c r="AX308" s="59"/>
      <c r="AY308" s="59"/>
      <c r="AZ308" s="59"/>
      <c r="BA308" s="59"/>
      <c r="BB308" s="59">
        <v>0.1089</v>
      </c>
      <c r="BC308" s="60"/>
      <c r="BD308" s="61"/>
      <c r="BE308" s="62" t="s">
        <v>293</v>
      </c>
      <c r="BF308" s="35">
        <f t="shared" si="654"/>
        <v>4.9000000000000004</v>
      </c>
      <c r="BG308" s="35">
        <f t="shared" si="654"/>
        <v>4.9811000000000001E-2</v>
      </c>
      <c r="BH308" s="35" t="str">
        <f t="shared" si="655"/>
        <v>Low</v>
      </c>
      <c r="BI308" s="110">
        <f t="shared" si="656"/>
        <v>0</v>
      </c>
      <c r="BJ308" s="83">
        <f>VLOOKUP($F308,REP_Info!$D$6:$H$250,5,FALSE)</f>
        <v>1.159</v>
      </c>
      <c r="BK308" s="30">
        <f t="shared" si="657"/>
        <v>16.851099999999999</v>
      </c>
      <c r="BL308" s="30">
        <f t="shared" si="657"/>
        <v>16.361099999999997</v>
      </c>
      <c r="BM308" s="30">
        <f t="shared" si="657"/>
        <v>16.116099999999999</v>
      </c>
      <c r="BN308" s="29">
        <f t="shared" si="657"/>
        <v>16.034433333333332</v>
      </c>
      <c r="BO308" s="85" t="str">
        <f t="shared" si="2"/>
        <v>$$$</v>
      </c>
      <c r="BP308" s="88" t="str">
        <f t="shared" si="658"/>
        <v>$$$</v>
      </c>
      <c r="BQ308" s="88" t="str">
        <f t="shared" si="4"/>
        <v>$$$</v>
      </c>
      <c r="BR308" s="88" t="str">
        <f t="shared" si="5"/>
        <v>$$$</v>
      </c>
      <c r="BS308" s="29" t="e">
        <f t="shared" si="659"/>
        <v>#N/A</v>
      </c>
      <c r="BT308" s="29" t="e">
        <f t="shared" si="659"/>
        <v>#N/A</v>
      </c>
      <c r="BU308" s="29" t="e">
        <f t="shared" si="659"/>
        <v>#N/A</v>
      </c>
      <c r="BV308" s="29" t="e">
        <f t="shared" si="659"/>
        <v>#N/A</v>
      </c>
      <c r="BW308" s="29" t="e">
        <f t="shared" si="659"/>
        <v>#N/A</v>
      </c>
      <c r="BX308" s="29" t="e">
        <f t="shared" si="659"/>
        <v>#N/A</v>
      </c>
      <c r="BY308" s="29" t="e">
        <f t="shared" si="659"/>
        <v>#N/A</v>
      </c>
      <c r="BZ308" s="29" t="e">
        <f t="shared" si="659"/>
        <v>#N/A</v>
      </c>
      <c r="CA308" s="29" t="e">
        <f t="shared" si="659"/>
        <v>#N/A</v>
      </c>
      <c r="CB308" s="29" t="e">
        <f t="shared" si="659"/>
        <v>#N/A</v>
      </c>
      <c r="CC308" s="29" t="e">
        <f t="shared" si="659"/>
        <v>#N/A</v>
      </c>
      <c r="CD308" s="29" t="e">
        <f t="shared" si="659"/>
        <v>#N/A</v>
      </c>
      <c r="CE308" s="6" t="str">
        <f t="shared" si="550"/>
        <v/>
      </c>
      <c r="CF308" s="27" t="e">
        <f>IF(AND(CI308,NOT(AD308)),LOOKUP(CF$5,{0,750,1500},H308:J308),"")</f>
        <v>#N/A</v>
      </c>
      <c r="CG308" s="6" t="str">
        <f t="shared" si="551"/>
        <v/>
      </c>
      <c r="CH308" t="e">
        <f t="shared" si="660"/>
        <v>#N/A</v>
      </c>
      <c r="CI308" t="e">
        <f t="shared" si="661"/>
        <v>#N/A</v>
      </c>
      <c r="CJ308" s="6" t="e">
        <f t="shared" si="11"/>
        <v>#N/A</v>
      </c>
      <c r="CK308" s="6">
        <f t="shared" si="12"/>
        <v>1</v>
      </c>
      <c r="CL308" s="6">
        <f t="shared" si="26"/>
        <v>1</v>
      </c>
      <c r="CM308" s="6">
        <f t="shared" si="13"/>
        <v>1</v>
      </c>
      <c r="CN308" s="6">
        <f t="shared" si="14"/>
        <v>1</v>
      </c>
      <c r="CO308" s="6">
        <f t="shared" si="15"/>
        <v>1</v>
      </c>
      <c r="CP308" s="6">
        <f t="shared" si="16"/>
        <v>1</v>
      </c>
      <c r="CQ308" s="6">
        <f t="shared" si="662"/>
        <v>1</v>
      </c>
      <c r="CR308" s="81" t="str">
        <f t="shared" si="17"/>
        <v/>
      </c>
      <c r="CS308">
        <f t="shared" si="663"/>
        <v>0</v>
      </c>
      <c r="CT308">
        <f t="shared" si="666"/>
        <v>100</v>
      </c>
      <c r="CU308" t="str">
        <f t="shared" si="29"/>
        <v/>
      </c>
      <c r="CV308" s="81">
        <f t="shared" si="664"/>
        <v>100</v>
      </c>
      <c r="CW308" s="81">
        <f>(CV308/25)^1.5*(Calculator!$BU$4/10000)*CW$5</f>
        <v>20.656847999999979</v>
      </c>
      <c r="CX308" t="str">
        <f t="shared" si="665"/>
        <v>$100</v>
      </c>
    </row>
    <row r="309" spans="2:102" x14ac:dyDescent="0.25">
      <c r="B309" s="115" t="s">
        <v>233</v>
      </c>
      <c r="C309" s="13">
        <v>46254.637499999997</v>
      </c>
      <c r="D309">
        <v>37305</v>
      </c>
      <c r="E309" s="54" t="s">
        <v>237</v>
      </c>
      <c r="F309" s="54" t="s">
        <v>651</v>
      </c>
      <c r="G309" s="54" t="s">
        <v>1943</v>
      </c>
      <c r="H309" s="55">
        <v>17.2</v>
      </c>
      <c r="I309" s="55">
        <v>6.8000000000000007</v>
      </c>
      <c r="J309" s="55">
        <v>11.600000000000001</v>
      </c>
      <c r="K309" s="54" t="s">
        <v>2293</v>
      </c>
      <c r="L309" s="56" t="b">
        <v>0</v>
      </c>
      <c r="M309" s="56" t="b">
        <v>0</v>
      </c>
      <c r="N309" s="54">
        <v>1</v>
      </c>
      <c r="O309" s="54" t="s">
        <v>228</v>
      </c>
      <c r="P309" s="54">
        <v>37</v>
      </c>
      <c r="Q309" s="54">
        <v>12</v>
      </c>
      <c r="R309" s="54">
        <v>100</v>
      </c>
      <c r="S309" s="54" t="s">
        <v>653</v>
      </c>
      <c r="T309" s="54"/>
      <c r="U309" s="54" t="s">
        <v>1889</v>
      </c>
      <c r="V309" s="54" t="s">
        <v>1947</v>
      </c>
      <c r="W309" s="54" t="b">
        <v>0</v>
      </c>
      <c r="X309" s="54"/>
      <c r="Y309" s="57" t="s">
        <v>1948</v>
      </c>
      <c r="Z309" s="54" t="s">
        <v>1946</v>
      </c>
      <c r="AA309" s="54"/>
      <c r="AB309" s="54" t="s">
        <v>658</v>
      </c>
      <c r="AC309" s="56" t="b">
        <v>1</v>
      </c>
      <c r="AD309" s="56" t="b">
        <v>1</v>
      </c>
      <c r="AE309" s="54" t="s">
        <v>302</v>
      </c>
      <c r="AF309" s="58">
        <v>46254</v>
      </c>
      <c r="AG309" s="62" t="s">
        <v>293</v>
      </c>
      <c r="AH309" s="54">
        <v>0</v>
      </c>
      <c r="AI309" s="54"/>
      <c r="AJ309" s="54"/>
      <c r="AK309" s="54"/>
      <c r="AL309" s="54"/>
      <c r="AM309" s="54">
        <v>0</v>
      </c>
      <c r="AN309" s="54"/>
      <c r="AO309" s="54"/>
      <c r="AP309" s="54"/>
      <c r="AQ309" s="54"/>
      <c r="AR309" s="54"/>
      <c r="AS309" s="54"/>
      <c r="AT309" s="54"/>
      <c r="AU309" s="54"/>
      <c r="AV309" s="54"/>
      <c r="AW309" s="54"/>
      <c r="AX309" s="59"/>
      <c r="AY309" s="59"/>
      <c r="AZ309" s="59"/>
      <c r="BA309" s="59"/>
      <c r="BB309" s="59">
        <v>0.10390000000000001</v>
      </c>
      <c r="BC309" s="60">
        <v>4.0599999999999996</v>
      </c>
      <c r="BD309" s="61">
        <v>6.0295000000000001E-2</v>
      </c>
      <c r="BE309" s="62" t="s">
        <v>293</v>
      </c>
      <c r="BF309" s="35">
        <f t="shared" si="654"/>
        <v>4.0600000000000005</v>
      </c>
      <c r="BG309" s="35">
        <f t="shared" si="654"/>
        <v>6.0295000000000001E-2</v>
      </c>
      <c r="BH309" s="35" t="str">
        <f t="shared" si="655"/>
        <v>Low</v>
      </c>
      <c r="BI309" s="110">
        <f t="shared" si="656"/>
        <v>0</v>
      </c>
      <c r="BJ309" s="83">
        <f>VLOOKUP($F309,REP_Info!$D$6:$H$250,5,FALSE)</f>
        <v>1.159</v>
      </c>
      <c r="BK309" s="30">
        <f t="shared" si="657"/>
        <v>17.2315</v>
      </c>
      <c r="BL309" s="30">
        <f t="shared" si="657"/>
        <v>16.825500000000002</v>
      </c>
      <c r="BM309" s="30">
        <f t="shared" si="657"/>
        <v>16.622500000000002</v>
      </c>
      <c r="BN309" s="29">
        <f t="shared" si="657"/>
        <v>16.554833333333335</v>
      </c>
      <c r="BO309" s="85" t="str">
        <f t="shared" si="2"/>
        <v>$$$</v>
      </c>
      <c r="BP309" s="88" t="str">
        <f t="shared" si="658"/>
        <v>$$$</v>
      </c>
      <c r="BQ309" s="88" t="str">
        <f t="shared" si="4"/>
        <v>$$$</v>
      </c>
      <c r="BR309" s="88" t="str">
        <f t="shared" si="5"/>
        <v>$$$</v>
      </c>
      <c r="BS309" s="29" t="e">
        <f t="shared" si="659"/>
        <v>#N/A</v>
      </c>
      <c r="BT309" s="29" t="e">
        <f t="shared" si="659"/>
        <v>#N/A</v>
      </c>
      <c r="BU309" s="29" t="e">
        <f t="shared" si="659"/>
        <v>#N/A</v>
      </c>
      <c r="BV309" s="29" t="e">
        <f t="shared" si="659"/>
        <v>#N/A</v>
      </c>
      <c r="BW309" s="29" t="e">
        <f t="shared" si="659"/>
        <v>#N/A</v>
      </c>
      <c r="BX309" s="29" t="e">
        <f t="shared" si="659"/>
        <v>#N/A</v>
      </c>
      <c r="BY309" s="29" t="e">
        <f t="shared" si="659"/>
        <v>#N/A</v>
      </c>
      <c r="BZ309" s="29" t="e">
        <f t="shared" si="659"/>
        <v>#N/A</v>
      </c>
      <c r="CA309" s="29" t="e">
        <f t="shared" si="659"/>
        <v>#N/A</v>
      </c>
      <c r="CB309" s="29" t="e">
        <f t="shared" si="659"/>
        <v>#N/A</v>
      </c>
      <c r="CC309" s="29" t="e">
        <f t="shared" si="659"/>
        <v>#N/A</v>
      </c>
      <c r="CD309" s="29" t="e">
        <f t="shared" si="659"/>
        <v>#N/A</v>
      </c>
      <c r="CE309" s="6" t="str">
        <f t="shared" si="550"/>
        <v/>
      </c>
      <c r="CF309" s="27" t="e">
        <f>IF(AND(CI309,NOT(AD309)),LOOKUP(CF$5,{0,750,1500},H309:J309),"")</f>
        <v>#N/A</v>
      </c>
      <c r="CG309" s="6" t="str">
        <f t="shared" si="551"/>
        <v/>
      </c>
      <c r="CH309" t="e">
        <f t="shared" si="660"/>
        <v>#N/A</v>
      </c>
      <c r="CI309" t="e">
        <f t="shared" si="661"/>
        <v>#N/A</v>
      </c>
      <c r="CJ309" s="6" t="e">
        <f t="shared" si="11"/>
        <v>#N/A</v>
      </c>
      <c r="CK309" s="6">
        <f t="shared" si="12"/>
        <v>1</v>
      </c>
      <c r="CL309" s="6">
        <f t="shared" si="26"/>
        <v>1</v>
      </c>
      <c r="CM309" s="6">
        <f t="shared" si="13"/>
        <v>1</v>
      </c>
      <c r="CN309" s="6">
        <f t="shared" si="14"/>
        <v>1</v>
      </c>
      <c r="CO309" s="6">
        <f t="shared" si="15"/>
        <v>1</v>
      </c>
      <c r="CP309" s="6">
        <f t="shared" si="16"/>
        <v>1</v>
      </c>
      <c r="CQ309" s="6">
        <f t="shared" si="662"/>
        <v>1</v>
      </c>
      <c r="CR309" s="81" t="str">
        <f t="shared" si="17"/>
        <v/>
      </c>
      <c r="CS309">
        <f t="shared" si="663"/>
        <v>0</v>
      </c>
      <c r="CT309">
        <f t="shared" si="666"/>
        <v>100</v>
      </c>
      <c r="CU309" t="str">
        <f t="shared" si="29"/>
        <v/>
      </c>
      <c r="CV309" s="81">
        <f t="shared" si="664"/>
        <v>100</v>
      </c>
      <c r="CW309" s="81">
        <f>(CV309/25)^1.5*(Calculator!$BU$4/10000)*CW$5</f>
        <v>20.656847999999979</v>
      </c>
      <c r="CX309" t="str">
        <f t="shared" si="665"/>
        <v>$100</v>
      </c>
    </row>
    <row r="310" spans="2:102" x14ac:dyDescent="0.25">
      <c r="B310" s="115" t="s">
        <v>233</v>
      </c>
      <c r="C310" s="13">
        <v>46248.413194444445</v>
      </c>
      <c r="D310">
        <v>17263</v>
      </c>
      <c r="E310" s="54" t="s">
        <v>237</v>
      </c>
      <c r="F310" s="54" t="s">
        <v>673</v>
      </c>
      <c r="G310" s="54" t="s">
        <v>2016</v>
      </c>
      <c r="H310" s="55">
        <v>11.600000000000001</v>
      </c>
      <c r="I310" s="55">
        <v>10.8</v>
      </c>
      <c r="J310" s="55">
        <v>10.4</v>
      </c>
      <c r="K310" s="54"/>
      <c r="L310" s="56" t="b">
        <v>0</v>
      </c>
      <c r="M310" s="56" t="b">
        <v>1</v>
      </c>
      <c r="N310" s="54">
        <v>1</v>
      </c>
      <c r="O310" s="54" t="s">
        <v>228</v>
      </c>
      <c r="P310" s="54">
        <v>22</v>
      </c>
      <c r="Q310" s="54">
        <v>3</v>
      </c>
      <c r="R310" s="54">
        <v>175</v>
      </c>
      <c r="S310" s="54" t="s">
        <v>674</v>
      </c>
      <c r="T310" s="54" t="s">
        <v>675</v>
      </c>
      <c r="U310" s="54" t="s">
        <v>1996</v>
      </c>
      <c r="V310" s="54" t="s">
        <v>676</v>
      </c>
      <c r="W310" s="54" t="b">
        <v>0</v>
      </c>
      <c r="X310" s="54"/>
      <c r="Y310" s="57" t="s">
        <v>2017</v>
      </c>
      <c r="Z310" s="54" t="s">
        <v>677</v>
      </c>
      <c r="AA310" s="54"/>
      <c r="AB310" s="54" t="s">
        <v>678</v>
      </c>
      <c r="AC310" s="56" t="b">
        <v>1</v>
      </c>
      <c r="AD310" s="56" t="b">
        <v>0</v>
      </c>
      <c r="AE310" s="54" t="s">
        <v>302</v>
      </c>
      <c r="AF310" s="58">
        <v>46248</v>
      </c>
      <c r="AG310" s="62" t="s">
        <v>293</v>
      </c>
      <c r="AH310" s="54">
        <v>0</v>
      </c>
      <c r="AI310" s="54"/>
      <c r="AJ310" s="54"/>
      <c r="AK310" s="54"/>
      <c r="AL310" s="54"/>
      <c r="AM310" s="54">
        <v>16.663333333333334</v>
      </c>
      <c r="AN310" s="54"/>
      <c r="AO310" s="54"/>
      <c r="AP310" s="54"/>
      <c r="AQ310" s="54"/>
      <c r="AR310" s="54"/>
      <c r="AS310" s="54"/>
      <c r="AT310" s="54"/>
      <c r="AU310" s="54"/>
      <c r="AV310" s="54"/>
      <c r="AW310" s="54"/>
      <c r="AX310" s="59"/>
      <c r="AY310" s="59"/>
      <c r="AZ310" s="59"/>
      <c r="BA310" s="59"/>
      <c r="BB310" s="59">
        <v>3.9530000000000003E-2</v>
      </c>
      <c r="BC310" s="60">
        <v>4.0599999999999996</v>
      </c>
      <c r="BD310" s="61">
        <v>6.0295000000000001E-2</v>
      </c>
      <c r="BE310" s="62" t="e">
        <v>#N/A</v>
      </c>
      <c r="BF310" s="35">
        <f t="shared" si="654"/>
        <v>4.0600000000000005</v>
      </c>
      <c r="BG310" s="35">
        <f t="shared" si="654"/>
        <v>6.0295000000000001E-2</v>
      </c>
      <c r="BH310" s="35" t="str">
        <f t="shared" si="655"/>
        <v>?</v>
      </c>
      <c r="BI310" s="110">
        <f t="shared" si="656"/>
        <v>0</v>
      </c>
      <c r="BJ310" s="83">
        <f>VLOOKUP($F310,REP_Info!$D$6:$H$250,5,FALSE)</f>
        <v>1.806</v>
      </c>
      <c r="BK310" s="30" t="e">
        <f t="shared" si="657"/>
        <v>#N/A</v>
      </c>
      <c r="BL310" s="30" t="e">
        <f t="shared" si="657"/>
        <v>#N/A</v>
      </c>
      <c r="BM310" s="30" t="e">
        <f t="shared" si="657"/>
        <v>#N/A</v>
      </c>
      <c r="BN310" s="29" t="e">
        <f t="shared" si="657"/>
        <v>#N/A</v>
      </c>
      <c r="BO310" s="85" t="str">
        <f t="shared" si="2"/>
        <v>$$$</v>
      </c>
      <c r="BP310" s="88" t="str">
        <f t="shared" si="658"/>
        <v>$$$</v>
      </c>
      <c r="BQ310" s="88" t="str">
        <f t="shared" si="4"/>
        <v>$$$</v>
      </c>
      <c r="BR310" s="88" t="str">
        <f t="shared" si="5"/>
        <v>$$$</v>
      </c>
      <c r="BS310" s="29" t="e">
        <f t="shared" si="659"/>
        <v>#N/A</v>
      </c>
      <c r="BT310" s="29" t="e">
        <f t="shared" si="659"/>
        <v>#N/A</v>
      </c>
      <c r="BU310" s="29" t="e">
        <f t="shared" si="659"/>
        <v>#N/A</v>
      </c>
      <c r="BV310" s="29" t="e">
        <f t="shared" si="659"/>
        <v>#N/A</v>
      </c>
      <c r="BW310" s="29" t="e">
        <f t="shared" si="659"/>
        <v>#N/A</v>
      </c>
      <c r="BX310" s="29" t="e">
        <f t="shared" si="659"/>
        <v>#N/A</v>
      </c>
      <c r="BY310" s="29" t="e">
        <f t="shared" si="659"/>
        <v>#N/A</v>
      </c>
      <c r="BZ310" s="29" t="e">
        <f t="shared" si="659"/>
        <v>#N/A</v>
      </c>
      <c r="CA310" s="29" t="e">
        <f t="shared" si="659"/>
        <v>#N/A</v>
      </c>
      <c r="CB310" s="29" t="e">
        <f t="shared" si="659"/>
        <v>#N/A</v>
      </c>
      <c r="CC310" s="29" t="e">
        <f t="shared" si="659"/>
        <v>#N/A</v>
      </c>
      <c r="CD310" s="29" t="e">
        <f t="shared" si="659"/>
        <v>#N/A</v>
      </c>
      <c r="CE310" s="6" t="str">
        <f t="shared" si="550"/>
        <v/>
      </c>
      <c r="CF310" s="27" t="e">
        <f>IF(AND(CI310,NOT(AD310)),LOOKUP(CF$5,{0,750,1500},H310:J310),"")</f>
        <v>#N/A</v>
      </c>
      <c r="CG310" s="6" t="str">
        <f t="shared" si="551"/>
        <v/>
      </c>
      <c r="CH310" t="e">
        <f t="shared" si="660"/>
        <v>#N/A</v>
      </c>
      <c r="CI310" t="e">
        <f t="shared" si="661"/>
        <v>#N/A</v>
      </c>
      <c r="CJ310" s="6" t="e">
        <f t="shared" si="11"/>
        <v>#N/A</v>
      </c>
      <c r="CK310" s="6">
        <f t="shared" si="12"/>
        <v>1</v>
      </c>
      <c r="CL310" s="6">
        <f t="shared" si="26"/>
        <v>1</v>
      </c>
      <c r="CM310" s="6">
        <f t="shared" si="13"/>
        <v>1</v>
      </c>
      <c r="CN310" s="6">
        <f t="shared" si="14"/>
        <v>0</v>
      </c>
      <c r="CO310" s="6">
        <f t="shared" si="15"/>
        <v>1</v>
      </c>
      <c r="CP310" s="6">
        <f t="shared" si="16"/>
        <v>1</v>
      </c>
      <c r="CQ310" s="6">
        <f t="shared" si="662"/>
        <v>1</v>
      </c>
      <c r="CR310" s="81" t="str">
        <f t="shared" si="17"/>
        <v/>
      </c>
      <c r="CS310">
        <f t="shared" si="663"/>
        <v>54</v>
      </c>
      <c r="CT310">
        <f t="shared" si="666"/>
        <v>175</v>
      </c>
      <c r="CU310" t="str">
        <f t="shared" si="29"/>
        <v/>
      </c>
      <c r="CV310" s="81">
        <f t="shared" si="664"/>
        <v>175</v>
      </c>
      <c r="CW310" s="81">
        <f>(CV310/25)^1.5*(Calculator!$BU$4/10000)*CW$5</f>
        <v>47.821272343654172</v>
      </c>
      <c r="CX310" t="str">
        <f t="shared" si="665"/>
        <v>$175</v>
      </c>
    </row>
    <row r="311" spans="2:102" x14ac:dyDescent="0.25">
      <c r="B311" s="115" t="s">
        <v>233</v>
      </c>
      <c r="C311" s="13">
        <v>46248.413194444445</v>
      </c>
      <c r="D311">
        <v>17267</v>
      </c>
      <c r="E311" s="54" t="s">
        <v>235</v>
      </c>
      <c r="F311" s="54" t="s">
        <v>673</v>
      </c>
      <c r="G311" s="54" t="s">
        <v>2016</v>
      </c>
      <c r="H311" s="55">
        <v>10.9</v>
      </c>
      <c r="I311" s="55">
        <v>10</v>
      </c>
      <c r="J311" s="55">
        <v>9.6</v>
      </c>
      <c r="K311" s="54"/>
      <c r="L311" s="56" t="b">
        <v>0</v>
      </c>
      <c r="M311" s="56" t="b">
        <v>1</v>
      </c>
      <c r="N311" s="54">
        <v>1</v>
      </c>
      <c r="O311" s="54" t="s">
        <v>228</v>
      </c>
      <c r="P311" s="54">
        <v>22</v>
      </c>
      <c r="Q311" s="54">
        <v>3</v>
      </c>
      <c r="R311" s="54">
        <v>175</v>
      </c>
      <c r="S311" s="54" t="s">
        <v>674</v>
      </c>
      <c r="T311" s="54" t="s">
        <v>675</v>
      </c>
      <c r="U311" s="54" t="s">
        <v>1997</v>
      </c>
      <c r="V311" s="54" t="s">
        <v>676</v>
      </c>
      <c r="W311" s="54" t="b">
        <v>0</v>
      </c>
      <c r="X311" s="54"/>
      <c r="Y311" s="57" t="s">
        <v>2018</v>
      </c>
      <c r="Z311" s="54" t="s">
        <v>677</v>
      </c>
      <c r="AA311" s="54"/>
      <c r="AB311" s="54" t="s">
        <v>678</v>
      </c>
      <c r="AC311" s="56" t="b">
        <v>1</v>
      </c>
      <c r="AD311" s="56" t="b">
        <v>0</v>
      </c>
      <c r="AE311" s="54" t="s">
        <v>302</v>
      </c>
      <c r="AF311" s="58">
        <v>46248</v>
      </c>
      <c r="AG311" s="62" t="s">
        <v>293</v>
      </c>
      <c r="AH311" s="54">
        <v>0</v>
      </c>
      <c r="AI311" s="54"/>
      <c r="AJ311" s="54"/>
      <c r="AK311" s="54"/>
      <c r="AL311" s="54"/>
      <c r="AM311" s="54">
        <v>16.663333333333334</v>
      </c>
      <c r="AN311" s="54"/>
      <c r="AO311" s="54"/>
      <c r="AP311" s="54"/>
      <c r="AQ311" s="54"/>
      <c r="AR311" s="54"/>
      <c r="AS311" s="54"/>
      <c r="AT311" s="54"/>
      <c r="AU311" s="54"/>
      <c r="AV311" s="54"/>
      <c r="AW311" s="54"/>
      <c r="AX311" s="59"/>
      <c r="AY311" s="59"/>
      <c r="AZ311" s="59"/>
      <c r="BA311" s="59"/>
      <c r="BB311" s="59">
        <v>3.9530000000000003E-2</v>
      </c>
      <c r="BC311" s="60">
        <v>4.9000000000000004</v>
      </c>
      <c r="BD311" s="61">
        <v>5.1461E-2</v>
      </c>
      <c r="BE311" s="62" t="e">
        <v>#N/A</v>
      </c>
      <c r="BF311" s="35">
        <f t="shared" si="654"/>
        <v>4.9000000000000004</v>
      </c>
      <c r="BG311" s="35">
        <f t="shared" si="654"/>
        <v>4.9811000000000001E-2</v>
      </c>
      <c r="BH311" s="35" t="str">
        <f t="shared" si="655"/>
        <v>?</v>
      </c>
      <c r="BI311" s="110">
        <f t="shared" si="656"/>
        <v>0</v>
      </c>
      <c r="BJ311" s="83">
        <f>VLOOKUP($F311,REP_Info!$D$6:$H$250,5,FALSE)</f>
        <v>1.806</v>
      </c>
      <c r="BK311" s="30" t="e">
        <f t="shared" si="657"/>
        <v>#N/A</v>
      </c>
      <c r="BL311" s="30" t="e">
        <f t="shared" si="657"/>
        <v>#N/A</v>
      </c>
      <c r="BM311" s="30" t="e">
        <f t="shared" si="657"/>
        <v>#N/A</v>
      </c>
      <c r="BN311" s="29" t="e">
        <f t="shared" si="657"/>
        <v>#N/A</v>
      </c>
      <c r="BO311" s="85" t="str">
        <f t="shared" si="2"/>
        <v>$$$</v>
      </c>
      <c r="BP311" s="88" t="str">
        <f t="shared" si="658"/>
        <v>$$$</v>
      </c>
      <c r="BQ311" s="88" t="str">
        <f t="shared" si="4"/>
        <v>$$$</v>
      </c>
      <c r="BR311" s="88" t="str">
        <f t="shared" si="5"/>
        <v>$$$</v>
      </c>
      <c r="BS311" s="29" t="e">
        <f t="shared" si="659"/>
        <v>#N/A</v>
      </c>
      <c r="BT311" s="29" t="e">
        <f t="shared" si="659"/>
        <v>#N/A</v>
      </c>
      <c r="BU311" s="29" t="e">
        <f t="shared" si="659"/>
        <v>#N/A</v>
      </c>
      <c r="BV311" s="29" t="e">
        <f t="shared" si="659"/>
        <v>#N/A</v>
      </c>
      <c r="BW311" s="29" t="e">
        <f t="shared" si="659"/>
        <v>#N/A</v>
      </c>
      <c r="BX311" s="29" t="e">
        <f t="shared" si="659"/>
        <v>#N/A</v>
      </c>
      <c r="BY311" s="29" t="e">
        <f t="shared" si="659"/>
        <v>#N/A</v>
      </c>
      <c r="BZ311" s="29" t="e">
        <f t="shared" si="659"/>
        <v>#N/A</v>
      </c>
      <c r="CA311" s="29" t="e">
        <f t="shared" si="659"/>
        <v>#N/A</v>
      </c>
      <c r="CB311" s="29" t="e">
        <f t="shared" si="659"/>
        <v>#N/A</v>
      </c>
      <c r="CC311" s="29" t="e">
        <f t="shared" si="659"/>
        <v>#N/A</v>
      </c>
      <c r="CD311" s="29" t="e">
        <f t="shared" si="659"/>
        <v>#N/A</v>
      </c>
      <c r="CE311" s="6" t="str">
        <f t="shared" si="550"/>
        <v/>
      </c>
      <c r="CF311" s="27" t="e">
        <f>IF(AND(CI311,NOT(AD311)),LOOKUP(CF$5,{0,750,1500},H311:J311),"")</f>
        <v>#N/A</v>
      </c>
      <c r="CG311" s="6" t="str">
        <f t="shared" si="551"/>
        <v/>
      </c>
      <c r="CH311" t="e">
        <f t="shared" si="660"/>
        <v>#N/A</v>
      </c>
      <c r="CI311" t="e">
        <f t="shared" si="661"/>
        <v>#N/A</v>
      </c>
      <c r="CJ311" s="6" t="e">
        <f t="shared" si="11"/>
        <v>#N/A</v>
      </c>
      <c r="CK311" s="6">
        <f t="shared" si="12"/>
        <v>1</v>
      </c>
      <c r="CL311" s="6">
        <f t="shared" si="26"/>
        <v>1</v>
      </c>
      <c r="CM311" s="6">
        <f t="shared" si="13"/>
        <v>1</v>
      </c>
      <c r="CN311" s="6">
        <f t="shared" si="14"/>
        <v>0</v>
      </c>
      <c r="CO311" s="6">
        <f t="shared" si="15"/>
        <v>1</v>
      </c>
      <c r="CP311" s="6">
        <f t="shared" si="16"/>
        <v>1</v>
      </c>
      <c r="CQ311" s="6">
        <f t="shared" si="662"/>
        <v>1</v>
      </c>
      <c r="CR311" s="81" t="str">
        <f t="shared" si="17"/>
        <v/>
      </c>
      <c r="CS311">
        <f t="shared" si="663"/>
        <v>54</v>
      </c>
      <c r="CT311">
        <f t="shared" si="666"/>
        <v>175</v>
      </c>
      <c r="CU311" t="str">
        <f t="shared" si="29"/>
        <v/>
      </c>
      <c r="CV311" s="81">
        <f t="shared" si="664"/>
        <v>175</v>
      </c>
      <c r="CW311" s="81">
        <f>(CV311/25)^1.5*(Calculator!$BU$4/10000)*CW$5</f>
        <v>47.821272343654172</v>
      </c>
      <c r="CX311" t="str">
        <f t="shared" si="665"/>
        <v>$175</v>
      </c>
    </row>
    <row r="312" spans="2:102" x14ac:dyDescent="0.25">
      <c r="B312" s="115" t="s">
        <v>233</v>
      </c>
      <c r="C312" s="13">
        <v>46248.413194444445</v>
      </c>
      <c r="D312">
        <v>22159</v>
      </c>
      <c r="E312" s="54" t="s">
        <v>237</v>
      </c>
      <c r="F312" s="54" t="s">
        <v>673</v>
      </c>
      <c r="G312" s="54" t="s">
        <v>2019</v>
      </c>
      <c r="H312" s="55">
        <v>11.600000000000001</v>
      </c>
      <c r="I312" s="55">
        <v>10.8</v>
      </c>
      <c r="J312" s="55">
        <v>10.299999999999999</v>
      </c>
      <c r="K312" s="54"/>
      <c r="L312" s="56" t="b">
        <v>0</v>
      </c>
      <c r="M312" s="56" t="b">
        <v>0</v>
      </c>
      <c r="N312" s="54">
        <v>1</v>
      </c>
      <c r="O312" s="54" t="s">
        <v>228</v>
      </c>
      <c r="P312" s="54">
        <v>22</v>
      </c>
      <c r="Q312" s="54">
        <v>3</v>
      </c>
      <c r="R312" s="54">
        <v>175</v>
      </c>
      <c r="S312" s="54" t="s">
        <v>674</v>
      </c>
      <c r="T312" s="54" t="s">
        <v>679</v>
      </c>
      <c r="U312" s="54" t="s">
        <v>1998</v>
      </c>
      <c r="V312" s="54" t="s">
        <v>676</v>
      </c>
      <c r="W312" s="54" t="b">
        <v>0</v>
      </c>
      <c r="X312" s="54"/>
      <c r="Y312" s="57" t="s">
        <v>2020</v>
      </c>
      <c r="Z312" s="54" t="s">
        <v>677</v>
      </c>
      <c r="AA312" s="54"/>
      <c r="AB312" s="54" t="s">
        <v>678</v>
      </c>
      <c r="AC312" s="56" t="b">
        <v>1</v>
      </c>
      <c r="AD312" s="56" t="b">
        <v>0</v>
      </c>
      <c r="AE312" s="54" t="s">
        <v>302</v>
      </c>
      <c r="AF312" s="58">
        <v>46248</v>
      </c>
      <c r="AG312" s="62" t="s">
        <v>293</v>
      </c>
      <c r="AH312" s="54">
        <v>0</v>
      </c>
      <c r="AI312" s="54"/>
      <c r="AJ312" s="54"/>
      <c r="AK312" s="54"/>
      <c r="AL312" s="54"/>
      <c r="AM312" s="54">
        <v>16.663333333333334</v>
      </c>
      <c r="AN312" s="54"/>
      <c r="AO312" s="54"/>
      <c r="AP312" s="54"/>
      <c r="AQ312" s="54"/>
      <c r="AR312" s="54"/>
      <c r="AS312" s="54"/>
      <c r="AT312" s="54"/>
      <c r="AU312" s="54"/>
      <c r="AV312" s="54"/>
      <c r="AW312" s="54"/>
      <c r="AX312" s="59"/>
      <c r="AY312" s="59"/>
      <c r="AZ312" s="59"/>
      <c r="BA312" s="59"/>
      <c r="BB312" s="59">
        <v>3.9E-2</v>
      </c>
      <c r="BC312" s="60">
        <v>4.0599999999999996</v>
      </c>
      <c r="BD312" s="61">
        <v>6.0295000000000001E-2</v>
      </c>
      <c r="BE312" s="62" t="s">
        <v>293</v>
      </c>
      <c r="BF312" s="35">
        <f t="shared" si="654"/>
        <v>4.0600000000000005</v>
      </c>
      <c r="BG312" s="35">
        <f t="shared" si="654"/>
        <v>6.0295000000000001E-2</v>
      </c>
      <c r="BH312" s="35" t="str">
        <f t="shared" si="655"/>
        <v>Med</v>
      </c>
      <c r="BI312" s="110">
        <f t="shared" si="656"/>
        <v>0</v>
      </c>
      <c r="BJ312" s="83">
        <f>VLOOKUP($F312,REP_Info!$D$6:$H$250,5,FALSE)</f>
        <v>1.806</v>
      </c>
      <c r="BK312" s="30">
        <f t="shared" si="657"/>
        <v>14.074166666666668</v>
      </c>
      <c r="BL312" s="30">
        <f t="shared" si="657"/>
        <v>12.001833333333334</v>
      </c>
      <c r="BM312" s="30">
        <f t="shared" si="657"/>
        <v>10.965666666666666</v>
      </c>
      <c r="BN312" s="29">
        <f t="shared" si="657"/>
        <v>10.620277777777778</v>
      </c>
      <c r="BO312" s="85" t="str">
        <f t="shared" si="2"/>
        <v>$$$</v>
      </c>
      <c r="BP312" s="88" t="str">
        <f t="shared" si="658"/>
        <v>$$$</v>
      </c>
      <c r="BQ312" s="88" t="str">
        <f t="shared" si="4"/>
        <v>$$$</v>
      </c>
      <c r="BR312" s="88" t="str">
        <f t="shared" si="5"/>
        <v>$$$</v>
      </c>
      <c r="BS312" s="29" t="e">
        <f t="shared" si="659"/>
        <v>#N/A</v>
      </c>
      <c r="BT312" s="29" t="e">
        <f t="shared" si="659"/>
        <v>#N/A</v>
      </c>
      <c r="BU312" s="29" t="e">
        <f t="shared" si="659"/>
        <v>#N/A</v>
      </c>
      <c r="BV312" s="29" t="e">
        <f t="shared" si="659"/>
        <v>#N/A</v>
      </c>
      <c r="BW312" s="29" t="e">
        <f t="shared" si="659"/>
        <v>#N/A</v>
      </c>
      <c r="BX312" s="29" t="e">
        <f t="shared" si="659"/>
        <v>#N/A</v>
      </c>
      <c r="BY312" s="29" t="e">
        <f t="shared" si="659"/>
        <v>#N/A</v>
      </c>
      <c r="BZ312" s="29" t="e">
        <f t="shared" si="659"/>
        <v>#N/A</v>
      </c>
      <c r="CA312" s="29" t="e">
        <f t="shared" si="659"/>
        <v>#N/A</v>
      </c>
      <c r="CB312" s="29" t="e">
        <f t="shared" si="659"/>
        <v>#N/A</v>
      </c>
      <c r="CC312" s="29" t="e">
        <f t="shared" si="659"/>
        <v>#N/A</v>
      </c>
      <c r="CD312" s="29" t="e">
        <f t="shared" si="659"/>
        <v>#N/A</v>
      </c>
      <c r="CE312" s="6" t="str">
        <f t="shared" si="550"/>
        <v/>
      </c>
      <c r="CF312" s="27" t="e">
        <f>IF(AND(CI312,NOT(AD312)),LOOKUP(CF$5,{0,750,1500},H312:J312),"")</f>
        <v>#N/A</v>
      </c>
      <c r="CG312" s="6" t="str">
        <f t="shared" si="551"/>
        <v/>
      </c>
      <c r="CH312" t="e">
        <f t="shared" si="660"/>
        <v>#N/A</v>
      </c>
      <c r="CI312" t="e">
        <f t="shared" si="661"/>
        <v>#N/A</v>
      </c>
      <c r="CJ312" s="6" t="e">
        <f t="shared" si="11"/>
        <v>#N/A</v>
      </c>
      <c r="CK312" s="6">
        <f t="shared" si="12"/>
        <v>1</v>
      </c>
      <c r="CL312" s="6">
        <f t="shared" si="26"/>
        <v>1</v>
      </c>
      <c r="CM312" s="6">
        <f t="shared" si="13"/>
        <v>1</v>
      </c>
      <c r="CN312" s="6">
        <f t="shared" si="14"/>
        <v>0</v>
      </c>
      <c r="CO312" s="6">
        <f t="shared" si="15"/>
        <v>1</v>
      </c>
      <c r="CP312" s="6">
        <f t="shared" si="16"/>
        <v>1</v>
      </c>
      <c r="CQ312" s="6">
        <f t="shared" si="662"/>
        <v>1</v>
      </c>
      <c r="CR312" s="81" t="str">
        <f t="shared" si="17"/>
        <v/>
      </c>
      <c r="CS312">
        <f t="shared" si="663"/>
        <v>54</v>
      </c>
      <c r="CT312">
        <f t="shared" si="666"/>
        <v>175</v>
      </c>
      <c r="CU312" t="str">
        <f t="shared" si="29"/>
        <v/>
      </c>
      <c r="CV312" s="81">
        <f t="shared" si="664"/>
        <v>175</v>
      </c>
      <c r="CW312" s="81">
        <f>(CV312/25)^1.5*(Calculator!$BU$4/10000)*CW$5</f>
        <v>47.821272343654172</v>
      </c>
      <c r="CX312" t="str">
        <f t="shared" si="665"/>
        <v>$175</v>
      </c>
    </row>
    <row r="313" spans="2:102" x14ac:dyDescent="0.25">
      <c r="B313" s="115" t="s">
        <v>233</v>
      </c>
      <c r="C313" s="13">
        <v>46248.413194444445</v>
      </c>
      <c r="D313">
        <v>22161</v>
      </c>
      <c r="E313" s="54" t="s">
        <v>235</v>
      </c>
      <c r="F313" s="54" t="s">
        <v>673</v>
      </c>
      <c r="G313" s="54" t="s">
        <v>2019</v>
      </c>
      <c r="H313" s="55">
        <v>10.9</v>
      </c>
      <c r="I313" s="55">
        <v>10</v>
      </c>
      <c r="J313" s="55">
        <v>9.5</v>
      </c>
      <c r="K313" s="54"/>
      <c r="L313" s="56" t="b">
        <v>0</v>
      </c>
      <c r="M313" s="56" t="b">
        <v>0</v>
      </c>
      <c r="N313" s="54">
        <v>1</v>
      </c>
      <c r="O313" s="54" t="s">
        <v>228</v>
      </c>
      <c r="P313" s="54">
        <v>22</v>
      </c>
      <c r="Q313" s="54">
        <v>3</v>
      </c>
      <c r="R313" s="54">
        <v>175</v>
      </c>
      <c r="S313" s="54" t="s">
        <v>674</v>
      </c>
      <c r="T313" s="54" t="s">
        <v>679</v>
      </c>
      <c r="U313" s="54" t="s">
        <v>2000</v>
      </c>
      <c r="V313" s="54" t="s">
        <v>676</v>
      </c>
      <c r="W313" s="54" t="b">
        <v>0</v>
      </c>
      <c r="X313" s="54"/>
      <c r="Y313" s="57" t="s">
        <v>2021</v>
      </c>
      <c r="Z313" s="54" t="s">
        <v>677</v>
      </c>
      <c r="AA313" s="54"/>
      <c r="AB313" s="54" t="s">
        <v>678</v>
      </c>
      <c r="AC313" s="56" t="b">
        <v>1</v>
      </c>
      <c r="AD313" s="56" t="b">
        <v>0</v>
      </c>
      <c r="AE313" s="54" t="s">
        <v>302</v>
      </c>
      <c r="AF313" s="58">
        <v>46248</v>
      </c>
      <c r="AG313" s="62" t="s">
        <v>293</v>
      </c>
      <c r="AH313" s="54">
        <v>0</v>
      </c>
      <c r="AI313" s="54"/>
      <c r="AJ313" s="54"/>
      <c r="AK313" s="54"/>
      <c r="AL313" s="54"/>
      <c r="AM313" s="54">
        <v>16.663333333333334</v>
      </c>
      <c r="AN313" s="54"/>
      <c r="AO313" s="54"/>
      <c r="AP313" s="54"/>
      <c r="AQ313" s="54"/>
      <c r="AR313" s="54"/>
      <c r="AS313" s="54"/>
      <c r="AT313" s="54"/>
      <c r="AU313" s="54"/>
      <c r="AV313" s="54"/>
      <c r="AW313" s="54"/>
      <c r="AX313" s="59"/>
      <c r="AY313" s="59"/>
      <c r="AZ313" s="59"/>
      <c r="BA313" s="59"/>
      <c r="BB313" s="59">
        <v>3.9E-2</v>
      </c>
      <c r="BC313" s="60">
        <v>4.9000000000000004</v>
      </c>
      <c r="BD313" s="61">
        <v>5.1461E-2</v>
      </c>
      <c r="BE313" s="62" t="s">
        <v>293</v>
      </c>
      <c r="BF313" s="35">
        <f t="shared" ref="BF313:BG314" si="667">IF($E313=$E$4,BF$4,IF($E313=$E$5,BF$5,""))</f>
        <v>4.9000000000000004</v>
      </c>
      <c r="BG313" s="35">
        <f t="shared" si="667"/>
        <v>4.9811000000000001E-2</v>
      </c>
      <c r="BH313" s="35" t="str">
        <f t="shared" ref="BH313:BH314" si="668">IF(ISTEXT(BE313),IF(AND(AV313=0,SUM(AN313:AQ313)=0),IF(AM313&lt;=0,IF(BE313="Y","Low","Flat"),"Med"),"High"),"?")</f>
        <v>Med</v>
      </c>
      <c r="BI313" s="110">
        <f t="shared" ref="BI313:BI314" si="669">IF(ISNUMBER(AH313),0*BI$5*SIN((EDATE($A$3,$Q313)-DATE(YEAR(EDATE($A$3,$Q313)),1,0)-BI$4)*2*PI()/365),"")</f>
        <v>0</v>
      </c>
      <c r="BJ313" s="83">
        <f>VLOOKUP($F313,REP_Info!$D$6:$H$250,5,FALSE)</f>
        <v>1.806</v>
      </c>
      <c r="BK313" s="30">
        <f t="shared" ref="BK313:BN314" si="670">IF(BK$7&gt;0,(LOOKUP(BK$7,$AH313:$AL313,$AM313:$AQ313)+IF($AG313="Y",SUMPRODUCT($AX313:$BB313-$AW313:$BA313,BK$7-$AR313:$AV313,N(BK$7&gt;$AR313:$AV313)),BK$7*LOOKUP(BK$7,$AR313:$AV313,$AX313:$BB313))+IF($BE313="Y",$BF313,$BC313)+BK$7*IF($BE313="Y",$BG313,$BD313))*100/BK$7,"")</f>
        <v>13.193766666666667</v>
      </c>
      <c r="BL313" s="30">
        <f t="shared" si="670"/>
        <v>11.037433333333334</v>
      </c>
      <c r="BM313" s="30">
        <f t="shared" si="670"/>
        <v>9.9592666666666663</v>
      </c>
      <c r="BN313" s="29">
        <f t="shared" si="670"/>
        <v>9.5998777777777775</v>
      </c>
      <c r="BO313" s="85" t="str">
        <f t="shared" ref="BO313:BO314" si="671">IFERROR(SUMPRODUCT($BS$7:$CD$7,$BS313:$CD313)/100,"$$$")</f>
        <v>$$$</v>
      </c>
      <c r="BP313" s="88" t="str">
        <f t="shared" ref="BP313:BP314" si="672">IFERROR(BO313*100/BO$5,"$$$")</f>
        <v>$$$</v>
      </c>
      <c r="BQ313" s="88" t="str">
        <f t="shared" ref="BQ313:BQ314" si="673">IFERROR(SUMPRODUCT($BS$7:$CD$7,$BS313:$CD313,--($BS$4:$CD$4&lt;=$Q313))/SUMPRODUCT(--($BS$4:$CD$4&lt;=$Q313),$BS$7:$CD$7),"$$$")</f>
        <v>$$$</v>
      </c>
      <c r="BR313" s="88" t="str">
        <f t="shared" ref="BR313:BR314" si="674">IFERROR($BQ313-$BF313*100*SUMPRODUCT(--($BS$4:$CD$4&lt;=$Q313))/SUMPRODUCT(--($BS$4:$CD$4&lt;=$Q313),$BS$7:$CD$7)-$BG313*100,"$$$")</f>
        <v>$$$</v>
      </c>
      <c r="BS313" s="29" t="e">
        <f t="shared" ref="BS313:CD314" si="675">IF($CI313,IF(BS$7&gt;0,IF(BS$4&gt;$Q313,$BF313+BS$7*(BS$5+$BG313+$BI313),LOOKUP(BS$7,$AH313:$AL313,$AM313:$AQ313)+IF($AG313="Y",SUMPRODUCT($AX313:$BB313-$AW313:$BA313,BS$7-$AR313:$AV313,N(BS$7&gt;$AR313:$AV313)),BS$7*LOOKUP(BS$7,$AR313:$AV313,$AX313:$BB313))+IF($BE313="Y",$BF313,$BC313)+BS$7*IF($BE313="Y",$BG313,$BD313))*100/BS$7,""),NA())</f>
        <v>#N/A</v>
      </c>
      <c r="BT313" s="29" t="e">
        <f t="shared" si="675"/>
        <v>#N/A</v>
      </c>
      <c r="BU313" s="29" t="e">
        <f t="shared" si="675"/>
        <v>#N/A</v>
      </c>
      <c r="BV313" s="29" t="e">
        <f t="shared" si="675"/>
        <v>#N/A</v>
      </c>
      <c r="BW313" s="29" t="e">
        <f t="shared" si="675"/>
        <v>#N/A</v>
      </c>
      <c r="BX313" s="29" t="e">
        <f t="shared" si="675"/>
        <v>#N/A</v>
      </c>
      <c r="BY313" s="29" t="e">
        <f t="shared" si="675"/>
        <v>#N/A</v>
      </c>
      <c r="BZ313" s="29" t="e">
        <f t="shared" si="675"/>
        <v>#N/A</v>
      </c>
      <c r="CA313" s="29" t="e">
        <f t="shared" si="675"/>
        <v>#N/A</v>
      </c>
      <c r="CB313" s="29" t="e">
        <f t="shared" si="675"/>
        <v>#N/A</v>
      </c>
      <c r="CC313" s="29" t="e">
        <f t="shared" si="675"/>
        <v>#N/A</v>
      </c>
      <c r="CD313" s="29" t="e">
        <f t="shared" si="675"/>
        <v>#N/A</v>
      </c>
      <c r="CE313" s="6" t="str">
        <f t="shared" si="550"/>
        <v/>
      </c>
      <c r="CF313" s="27" t="e">
        <f>IF(AND(CI313,NOT(AD313)),LOOKUP(CF$5,{0,750,1500},H313:J313),"")</f>
        <v>#N/A</v>
      </c>
      <c r="CG313" s="6" t="str">
        <f t="shared" si="551"/>
        <v/>
      </c>
      <c r="CH313" t="e">
        <f t="shared" ref="CH313:CH314" si="676">IF(CI313,IF(ISNUMBER(BO313),BO313,100000)+CV313/10000+IF(ISNUMBER(BJ313),BJ313,2)/10000-P313/100000+ROW()/10000000,"")</f>
        <v>#N/A</v>
      </c>
      <c r="CI313" t="e">
        <f t="shared" ref="CI313:CI314" si="677">PRODUCT(CJ313:CQ313)</f>
        <v>#N/A</v>
      </c>
      <c r="CJ313" s="6" t="e">
        <f t="shared" ref="CJ313:CJ314" si="678">IF($E313=CJ$5,1,0)</f>
        <v>#N/A</v>
      </c>
      <c r="CK313" s="6">
        <f t="shared" ref="CK313:CK314" si="679">IF(CK$5="[Any]",1,IF($F313=CK$5,1,0))</f>
        <v>1</v>
      </c>
      <c r="CL313" s="6">
        <f t="shared" si="26"/>
        <v>1</v>
      </c>
      <c r="CM313" s="6">
        <f t="shared" ref="CM313:CM314" si="680">IF($O313="Fixed",1,0)</f>
        <v>1</v>
      </c>
      <c r="CN313" s="6">
        <f t="shared" ref="CN313:CN314" si="681">IF($Q313&gt;=CN$5,1,0)</f>
        <v>0</v>
      </c>
      <c r="CO313" s="6">
        <f t="shared" ref="CO313:CO314" si="682">IF($Q313&lt;=CO$5,1,0)</f>
        <v>1</v>
      </c>
      <c r="CP313" s="6">
        <f t="shared" ref="CP313:CP314" si="683">IF($P313&gt;=CP$5,1,0)</f>
        <v>1</v>
      </c>
      <c r="CQ313" s="6">
        <f t="shared" ref="CQ313:CQ314" si="684">IF(CQ$5="Any",1,IF(AND(CQ$5="Med",AV313=0,SUM(AN313:AQ313)=0),1,IF(AND(CQ$5="Low",AV313=0,SUM(AN313:AQ313)=0,AM313=0),1,IF(AND(CQ$5="Flat",AV313=0,SUM(AN313:AQ313)=0,AM313=0,IFERROR(NOT(BE313="Y"),0)),1,0))))</f>
        <v>1</v>
      </c>
      <c r="CR313" s="81" t="str">
        <f t="shared" ref="CR313:CR314" si="685">IF(ISNUMBER($CH313),$CH313+$CS313+$CW313,"")</f>
        <v/>
      </c>
      <c r="CS313">
        <f t="shared" ref="CS313:CS314" si="686">CS$5*(12/(MIN(12,Q313))-1)</f>
        <v>54</v>
      </c>
      <c r="CT313">
        <f t="shared" si="666"/>
        <v>175</v>
      </c>
      <c r="CU313" t="str">
        <f t="shared" si="29"/>
        <v/>
      </c>
      <c r="CV313" s="81">
        <f t="shared" ref="CV313:CV314" si="687">CT313*IF(CU313="",1,Q313)</f>
        <v>175</v>
      </c>
      <c r="CW313" s="81">
        <f>(CV313/25)^1.5*(Calculator!$BU$4/10000)*CW$5</f>
        <v>47.821272343654172</v>
      </c>
      <c r="CX313" t="str">
        <f t="shared" ref="CX313:CX314" si="688">"$"&amp;IF(LEFT(CU313,1)="r",CT313&amp;"/"&amp;CU313,CV313)</f>
        <v>$175</v>
      </c>
    </row>
    <row r="314" spans="2:102" x14ac:dyDescent="0.25">
      <c r="B314" s="115" t="s">
        <v>233</v>
      </c>
      <c r="C314" s="13">
        <v>46242.178472222222</v>
      </c>
      <c r="D314">
        <v>22764</v>
      </c>
      <c r="E314" s="54" t="s">
        <v>237</v>
      </c>
      <c r="F314" s="54" t="s">
        <v>673</v>
      </c>
      <c r="G314" s="54" t="s">
        <v>680</v>
      </c>
      <c r="H314" s="55">
        <v>23.799999999999997</v>
      </c>
      <c r="I314" s="55">
        <v>10.9</v>
      </c>
      <c r="J314" s="55">
        <v>17</v>
      </c>
      <c r="K314" s="54" t="s">
        <v>312</v>
      </c>
      <c r="L314" s="56" t="b">
        <v>0</v>
      </c>
      <c r="M314" s="56" t="b">
        <v>0</v>
      </c>
      <c r="N314" s="54">
        <v>1</v>
      </c>
      <c r="O314" s="54" t="s">
        <v>228</v>
      </c>
      <c r="P314" s="54">
        <v>22</v>
      </c>
      <c r="Q314" s="54">
        <v>12</v>
      </c>
      <c r="R314" s="54">
        <v>175</v>
      </c>
      <c r="S314" s="54" t="s">
        <v>674</v>
      </c>
      <c r="T314" s="54" t="s">
        <v>681</v>
      </c>
      <c r="U314" s="54" t="s">
        <v>682</v>
      </c>
      <c r="V314" s="54" t="s">
        <v>676</v>
      </c>
      <c r="W314" s="54" t="b">
        <v>0</v>
      </c>
      <c r="X314" s="54"/>
      <c r="Y314" s="57" t="s">
        <v>683</v>
      </c>
      <c r="Z314" s="54" t="s">
        <v>684</v>
      </c>
      <c r="AA314" s="54"/>
      <c r="AB314" s="54" t="s">
        <v>678</v>
      </c>
      <c r="AC314" s="56" t="b">
        <v>1</v>
      </c>
      <c r="AD314" s="56" t="b">
        <v>1</v>
      </c>
      <c r="AE314" s="54" t="s">
        <v>302</v>
      </c>
      <c r="AF314" s="58">
        <v>46242</v>
      </c>
      <c r="AG314" s="62" t="s">
        <v>293</v>
      </c>
      <c r="AH314" s="54">
        <v>0</v>
      </c>
      <c r="AI314" s="54">
        <v>1000</v>
      </c>
      <c r="AJ314" s="54"/>
      <c r="AK314" s="54"/>
      <c r="AL314" s="54"/>
      <c r="AM314" s="54">
        <v>0</v>
      </c>
      <c r="AN314" s="54">
        <v>-125</v>
      </c>
      <c r="AO314" s="54"/>
      <c r="AP314" s="54"/>
      <c r="AQ314" s="54"/>
      <c r="AR314" s="54"/>
      <c r="AS314" s="54"/>
      <c r="AT314" s="54"/>
      <c r="AU314" s="54"/>
      <c r="AV314" s="54"/>
      <c r="AW314" s="54"/>
      <c r="AX314" s="59"/>
      <c r="AY314" s="59"/>
      <c r="AZ314" s="59"/>
      <c r="BA314" s="59"/>
      <c r="BB314" s="59">
        <v>0.17</v>
      </c>
      <c r="BC314" s="60">
        <v>4.0599999999999996</v>
      </c>
      <c r="BD314" s="61">
        <v>6.0295000000000001E-2</v>
      </c>
      <c r="BE314" s="62" t="s">
        <v>293</v>
      </c>
      <c r="BF314" s="35">
        <f t="shared" si="667"/>
        <v>4.0600000000000005</v>
      </c>
      <c r="BG314" s="35">
        <f t="shared" si="667"/>
        <v>6.0295000000000001E-2</v>
      </c>
      <c r="BH314" s="35" t="str">
        <f t="shared" si="668"/>
        <v>High</v>
      </c>
      <c r="BI314" s="110">
        <f t="shared" si="669"/>
        <v>0</v>
      </c>
      <c r="BJ314" s="83">
        <f>VLOOKUP($F314,REP_Info!$D$6:$H$250,5,FALSE)</f>
        <v>1.806</v>
      </c>
      <c r="BK314" s="30">
        <f t="shared" si="670"/>
        <v>23.841500000000003</v>
      </c>
      <c r="BL314" s="30">
        <f t="shared" si="670"/>
        <v>10.935499999999999</v>
      </c>
      <c r="BM314" s="30">
        <f t="shared" si="670"/>
        <v>16.982500000000002</v>
      </c>
      <c r="BN314" s="29">
        <f t="shared" si="670"/>
        <v>18.99816666666667</v>
      </c>
      <c r="BO314" s="85" t="str">
        <f t="shared" si="671"/>
        <v>$$$</v>
      </c>
      <c r="BP314" s="88" t="str">
        <f t="shared" si="672"/>
        <v>$$$</v>
      </c>
      <c r="BQ314" s="88" t="str">
        <f t="shared" si="673"/>
        <v>$$$</v>
      </c>
      <c r="BR314" s="88" t="str">
        <f t="shared" si="674"/>
        <v>$$$</v>
      </c>
      <c r="BS314" s="29" t="e">
        <f t="shared" si="675"/>
        <v>#N/A</v>
      </c>
      <c r="BT314" s="29" t="e">
        <f t="shared" si="675"/>
        <v>#N/A</v>
      </c>
      <c r="BU314" s="29" t="e">
        <f t="shared" si="675"/>
        <v>#N/A</v>
      </c>
      <c r="BV314" s="29" t="e">
        <f t="shared" si="675"/>
        <v>#N/A</v>
      </c>
      <c r="BW314" s="29" t="e">
        <f t="shared" si="675"/>
        <v>#N/A</v>
      </c>
      <c r="BX314" s="29" t="e">
        <f t="shared" si="675"/>
        <v>#N/A</v>
      </c>
      <c r="BY314" s="29" t="e">
        <f t="shared" si="675"/>
        <v>#N/A</v>
      </c>
      <c r="BZ314" s="29" t="e">
        <f t="shared" si="675"/>
        <v>#N/A</v>
      </c>
      <c r="CA314" s="29" t="e">
        <f t="shared" si="675"/>
        <v>#N/A</v>
      </c>
      <c r="CB314" s="29" t="e">
        <f t="shared" si="675"/>
        <v>#N/A</v>
      </c>
      <c r="CC314" s="29" t="e">
        <f t="shared" si="675"/>
        <v>#N/A</v>
      </c>
      <c r="CD314" s="29" t="e">
        <f t="shared" si="675"/>
        <v>#N/A</v>
      </c>
      <c r="CE314" s="6" t="str">
        <f t="shared" si="550"/>
        <v/>
      </c>
      <c r="CF314" s="27" t="e">
        <f>IF(AND(CI314,NOT(AD314)),LOOKUP(CF$5,{0,750,1500},H314:J314),"")</f>
        <v>#N/A</v>
      </c>
      <c r="CG314" s="6" t="str">
        <f t="shared" si="551"/>
        <v/>
      </c>
      <c r="CH314" t="e">
        <f t="shared" si="676"/>
        <v>#N/A</v>
      </c>
      <c r="CI314" t="e">
        <f t="shared" si="677"/>
        <v>#N/A</v>
      </c>
      <c r="CJ314" s="6" t="e">
        <f t="shared" si="678"/>
        <v>#N/A</v>
      </c>
      <c r="CK314" s="6">
        <f t="shared" si="679"/>
        <v>1</v>
      </c>
      <c r="CL314" s="6">
        <f t="shared" si="26"/>
        <v>1</v>
      </c>
      <c r="CM314" s="6">
        <f t="shared" si="680"/>
        <v>1</v>
      </c>
      <c r="CN314" s="6">
        <f t="shared" si="681"/>
        <v>1</v>
      </c>
      <c r="CO314" s="6">
        <f t="shared" si="682"/>
        <v>1</v>
      </c>
      <c r="CP314" s="6">
        <f t="shared" si="683"/>
        <v>1</v>
      </c>
      <c r="CQ314" s="6">
        <f t="shared" si="684"/>
        <v>1</v>
      </c>
      <c r="CR314" s="81" t="str">
        <f t="shared" si="685"/>
        <v/>
      </c>
      <c r="CS314">
        <f t="shared" si="686"/>
        <v>0</v>
      </c>
      <c r="CT314">
        <f t="shared" si="666"/>
        <v>175</v>
      </c>
      <c r="CU314" t="str">
        <f t="shared" si="29"/>
        <v/>
      </c>
      <c r="CV314" s="81">
        <f t="shared" si="687"/>
        <v>175</v>
      </c>
      <c r="CW314" s="81">
        <f>(CV314/25)^1.5*(Calculator!$BU$4/10000)*CW$5</f>
        <v>47.821272343654172</v>
      </c>
      <c r="CX314" t="str">
        <f t="shared" si="688"/>
        <v>$175</v>
      </c>
    </row>
    <row r="315" spans="2:102" x14ac:dyDescent="0.25">
      <c r="B315" s="115" t="s">
        <v>233</v>
      </c>
      <c r="C315" s="13">
        <v>46242.178472222222</v>
      </c>
      <c r="D315">
        <v>24340</v>
      </c>
      <c r="E315" s="54" t="s">
        <v>235</v>
      </c>
      <c r="F315" s="54" t="s">
        <v>673</v>
      </c>
      <c r="G315" s="54" t="s">
        <v>680</v>
      </c>
      <c r="H315" s="55">
        <v>21.5</v>
      </c>
      <c r="I315" s="55">
        <v>8.5</v>
      </c>
      <c r="J315" s="55">
        <v>14.499999999999998</v>
      </c>
      <c r="K315" s="54" t="s">
        <v>312</v>
      </c>
      <c r="L315" s="56" t="b">
        <v>0</v>
      </c>
      <c r="M315" s="56" t="b">
        <v>0</v>
      </c>
      <c r="N315" s="54">
        <v>1</v>
      </c>
      <c r="O315" s="54" t="s">
        <v>228</v>
      </c>
      <c r="P315" s="54">
        <v>22</v>
      </c>
      <c r="Q315" s="54">
        <v>12</v>
      </c>
      <c r="R315" s="54">
        <v>175</v>
      </c>
      <c r="S315" s="54" t="s">
        <v>674</v>
      </c>
      <c r="T315" s="54" t="s">
        <v>681</v>
      </c>
      <c r="U315" s="54" t="s">
        <v>685</v>
      </c>
      <c r="V315" s="54" t="s">
        <v>676</v>
      </c>
      <c r="W315" s="54" t="b">
        <v>0</v>
      </c>
      <c r="X315" s="54"/>
      <c r="Y315" s="57" t="s">
        <v>686</v>
      </c>
      <c r="Z315" s="54" t="s">
        <v>684</v>
      </c>
      <c r="AA315" s="54"/>
      <c r="AB315" s="54" t="s">
        <v>678</v>
      </c>
      <c r="AC315" s="56" t="b">
        <v>1</v>
      </c>
      <c r="AD315" s="56" t="b">
        <v>1</v>
      </c>
      <c r="AE315" s="54" t="s">
        <v>302</v>
      </c>
      <c r="AF315" s="58">
        <v>46242</v>
      </c>
      <c r="AG315" s="62" t="s">
        <v>293</v>
      </c>
      <c r="AH315" s="54">
        <v>0</v>
      </c>
      <c r="AI315" s="54">
        <v>1000</v>
      </c>
      <c r="AJ315" s="54"/>
      <c r="AK315" s="54"/>
      <c r="AL315" s="54"/>
      <c r="AM315" s="54">
        <v>0</v>
      </c>
      <c r="AN315" s="54">
        <v>-125</v>
      </c>
      <c r="AO315" s="54"/>
      <c r="AP315" s="54"/>
      <c r="AQ315" s="54"/>
      <c r="AR315" s="54"/>
      <c r="AS315" s="54"/>
      <c r="AT315" s="54"/>
      <c r="AU315" s="54"/>
      <c r="AV315" s="54"/>
      <c r="AW315" s="54"/>
      <c r="AX315" s="59"/>
      <c r="AY315" s="59"/>
      <c r="AZ315" s="59"/>
      <c r="BA315" s="59"/>
      <c r="BB315" s="59">
        <v>0.154</v>
      </c>
      <c r="BC315" s="60">
        <v>4.9000000000000004</v>
      </c>
      <c r="BD315" s="61">
        <v>5.1461E-2</v>
      </c>
      <c r="BE315" s="62" t="s">
        <v>293</v>
      </c>
      <c r="BF315" s="35">
        <f t="shared" si="0"/>
        <v>4.9000000000000004</v>
      </c>
      <c r="BG315" s="35">
        <f t="shared" si="0"/>
        <v>4.9811000000000001E-2</v>
      </c>
      <c r="BH315" s="35" t="str">
        <f t="shared" ref="BH315:BH325" si="689">IF(ISTEXT(BE315),IF(AND(AV315=0,SUM(AN315:AQ315)=0),IF(AM315&lt;=0,IF(BE315="Y","Low","Flat"),"Med"),"High"),"?")</f>
        <v>High</v>
      </c>
      <c r="BI315" s="110">
        <f t="shared" ref="BI315:BI325" si="690">IF(ISNUMBER(AH315),0*BI$5*SIN((EDATE($A$3,$Q315)-DATE(YEAR(EDATE($A$3,$Q315)),1,0)-BI$4)*2*PI()/365),"")</f>
        <v>0</v>
      </c>
      <c r="BJ315" s="83">
        <f>VLOOKUP($F315,REP_Info!$D$6:$H$250,5,FALSE)</f>
        <v>1.806</v>
      </c>
      <c r="BK315" s="30">
        <f t="shared" ref="BK315:BN325" si="691">IF(BK$7&gt;0,(LOOKUP(BK$7,$AH315:$AL315,$AM315:$AQ315)+IF($AG315="Y",SUMPRODUCT($AX315:$BB315-$AW315:$BA315,BK$7-$AR315:$AV315,N(BK$7&gt;$AR315:$AV315)),BK$7*LOOKUP(BK$7,$AR315:$AV315,$AX315:$BB315))+IF($BE315="Y",$BF315,$BC315)+BK$7*IF($BE315="Y",$BG315,$BD315))*100/BK$7,"")</f>
        <v>21.3611</v>
      </c>
      <c r="BL315" s="30">
        <f t="shared" si="691"/>
        <v>8.3711000000000002</v>
      </c>
      <c r="BM315" s="30">
        <f t="shared" si="691"/>
        <v>14.376100000000001</v>
      </c>
      <c r="BN315" s="29">
        <f t="shared" si="691"/>
        <v>16.377766666666666</v>
      </c>
      <c r="BO315" s="85" t="str">
        <f t="shared" si="2"/>
        <v>$$$</v>
      </c>
      <c r="BP315" s="88" t="str">
        <f t="shared" ref="BP315:BP325" si="692">IFERROR(BO315*100/BO$5,"$$$")</f>
        <v>$$$</v>
      </c>
      <c r="BQ315" s="88" t="str">
        <f t="shared" si="4"/>
        <v>$$$</v>
      </c>
      <c r="BR315" s="88" t="str">
        <f t="shared" si="5"/>
        <v>$$$</v>
      </c>
      <c r="BS315" s="29" t="e">
        <f t="shared" ref="BS315:CD325" si="693">IF($CI315,IF(BS$7&gt;0,IF(BS$4&gt;$Q315,$BF315+BS$7*(BS$5+$BG315+$BI315),LOOKUP(BS$7,$AH315:$AL315,$AM315:$AQ315)+IF($AG315="Y",SUMPRODUCT($AX315:$BB315-$AW315:$BA315,BS$7-$AR315:$AV315,N(BS$7&gt;$AR315:$AV315)),BS$7*LOOKUP(BS$7,$AR315:$AV315,$AX315:$BB315))+IF($BE315="Y",$BF315,$BC315)+BS$7*IF($BE315="Y",$BG315,$BD315))*100/BS$7,""),NA())</f>
        <v>#N/A</v>
      </c>
      <c r="BT315" s="29" t="e">
        <f t="shared" si="693"/>
        <v>#N/A</v>
      </c>
      <c r="BU315" s="29" t="e">
        <f t="shared" si="693"/>
        <v>#N/A</v>
      </c>
      <c r="BV315" s="29" t="e">
        <f t="shared" si="693"/>
        <v>#N/A</v>
      </c>
      <c r="BW315" s="29" t="e">
        <f t="shared" si="693"/>
        <v>#N/A</v>
      </c>
      <c r="BX315" s="29" t="e">
        <f t="shared" si="693"/>
        <v>#N/A</v>
      </c>
      <c r="BY315" s="29" t="e">
        <f t="shared" si="693"/>
        <v>#N/A</v>
      </c>
      <c r="BZ315" s="29" t="e">
        <f t="shared" si="693"/>
        <v>#N/A</v>
      </c>
      <c r="CA315" s="29" t="e">
        <f t="shared" si="693"/>
        <v>#N/A</v>
      </c>
      <c r="CB315" s="29" t="e">
        <f t="shared" si="693"/>
        <v>#N/A</v>
      </c>
      <c r="CC315" s="29" t="e">
        <f t="shared" si="693"/>
        <v>#N/A</v>
      </c>
      <c r="CD315" s="29" t="e">
        <f t="shared" si="693"/>
        <v>#N/A</v>
      </c>
      <c r="CE315" s="6" t="str">
        <f t="shared" si="550"/>
        <v/>
      </c>
      <c r="CF315" s="27" t="e">
        <f>IF(AND(CI315,NOT(AD315)),LOOKUP(CF$5,{0,750,1500},H315:J315),"")</f>
        <v>#N/A</v>
      </c>
      <c r="CG315" s="6" t="str">
        <f t="shared" si="551"/>
        <v/>
      </c>
      <c r="CH315" t="e">
        <f t="shared" ref="CH315:CH325" si="694">IF(CI315,IF(ISNUMBER(BO315),BO315,100000)+CV315/10000+IF(ISNUMBER(BJ315),BJ315,2)/10000-P315/100000+ROW()/10000000,"")</f>
        <v>#N/A</v>
      </c>
      <c r="CI315" t="e">
        <f t="shared" ref="CI315:CI325" si="695">PRODUCT(CJ315:CQ315)</f>
        <v>#N/A</v>
      </c>
      <c r="CJ315" s="6" t="e">
        <f t="shared" si="11"/>
        <v>#N/A</v>
      </c>
      <c r="CK315" s="6">
        <f t="shared" si="12"/>
        <v>1</v>
      </c>
      <c r="CL315" s="6">
        <f t="shared" si="26"/>
        <v>1</v>
      </c>
      <c r="CM315" s="6">
        <f t="shared" si="13"/>
        <v>1</v>
      </c>
      <c r="CN315" s="6">
        <f t="shared" si="14"/>
        <v>1</v>
      </c>
      <c r="CO315" s="6">
        <f t="shared" si="15"/>
        <v>1</v>
      </c>
      <c r="CP315" s="6">
        <f t="shared" si="16"/>
        <v>1</v>
      </c>
      <c r="CQ315" s="6">
        <f t="shared" ref="CQ315:CQ325" si="696">IF(CQ$5="Any",1,IF(AND(CQ$5="Med",AV315=0,SUM(AN315:AQ315)=0),1,IF(AND(CQ$5="Low",AV315=0,SUM(AN315:AQ315)=0,AM315=0),1,IF(AND(CQ$5="Flat",AV315=0,SUM(AN315:AQ315)=0,AM315=0,IFERROR(NOT(BE315="Y"),0)),1,0))))</f>
        <v>1</v>
      </c>
      <c r="CR315" s="81" t="str">
        <f t="shared" si="17"/>
        <v/>
      </c>
      <c r="CS315">
        <f t="shared" ref="CS315:CS325" si="697">CS$5*(12/(MIN(12,Q315))-1)</f>
        <v>0</v>
      </c>
      <c r="CT315">
        <f t="shared" si="666"/>
        <v>175</v>
      </c>
      <c r="CU315" t="str">
        <f t="shared" si="29"/>
        <v/>
      </c>
      <c r="CV315" s="81">
        <f t="shared" ref="CV315:CV325" si="698">CT315*IF(CU315="",1,Q315)</f>
        <v>175</v>
      </c>
      <c r="CW315" s="81">
        <f>(CV315/25)^1.5*(Calculator!$BU$4/10000)*CW$5</f>
        <v>47.821272343654172</v>
      </c>
      <c r="CX315" t="str">
        <f t="shared" ref="CX315:CX325" si="699">"$"&amp;IF(LEFT(CU315,1)="r",CT315&amp;"/"&amp;CU315,CV315)</f>
        <v>$175</v>
      </c>
    </row>
    <row r="316" spans="2:102" x14ac:dyDescent="0.25">
      <c r="B316" s="115" t="s">
        <v>233</v>
      </c>
      <c r="C316" s="13">
        <v>46242.178472222222</v>
      </c>
      <c r="D316">
        <v>24348</v>
      </c>
      <c r="E316" s="54" t="s">
        <v>237</v>
      </c>
      <c r="F316" s="54" t="s">
        <v>673</v>
      </c>
      <c r="G316" s="54" t="s">
        <v>319</v>
      </c>
      <c r="H316" s="55">
        <v>15.9</v>
      </c>
      <c r="I316" s="55">
        <v>15.5</v>
      </c>
      <c r="J316" s="55">
        <v>15.299999999999999</v>
      </c>
      <c r="K316" s="54"/>
      <c r="L316" s="56" t="b">
        <v>0</v>
      </c>
      <c r="M316" s="56" t="b">
        <v>0</v>
      </c>
      <c r="N316" s="54">
        <v>1</v>
      </c>
      <c r="O316" s="54" t="s">
        <v>228</v>
      </c>
      <c r="P316" s="54">
        <v>22</v>
      </c>
      <c r="Q316" s="54">
        <v>36</v>
      </c>
      <c r="R316" s="54">
        <v>175</v>
      </c>
      <c r="S316" s="54" t="s">
        <v>674</v>
      </c>
      <c r="T316" s="54" t="s">
        <v>687</v>
      </c>
      <c r="U316" s="54" t="s">
        <v>688</v>
      </c>
      <c r="V316" s="54" t="s">
        <v>676</v>
      </c>
      <c r="W316" s="54" t="b">
        <v>0</v>
      </c>
      <c r="X316" s="54"/>
      <c r="Y316" s="57" t="s">
        <v>689</v>
      </c>
      <c r="Z316" s="54" t="s">
        <v>690</v>
      </c>
      <c r="AA316" s="54"/>
      <c r="AB316" s="54" t="s">
        <v>678</v>
      </c>
      <c r="AC316" s="56" t="b">
        <v>1</v>
      </c>
      <c r="AD316" s="56" t="b">
        <v>0</v>
      </c>
      <c r="AE316" s="54" t="s">
        <v>302</v>
      </c>
      <c r="AF316" s="58">
        <v>46242</v>
      </c>
      <c r="AG316" s="62" t="s">
        <v>293</v>
      </c>
      <c r="AH316" s="54">
        <v>0</v>
      </c>
      <c r="AI316" s="54"/>
      <c r="AJ316" s="54"/>
      <c r="AK316" s="54"/>
      <c r="AL316" s="54"/>
      <c r="AM316" s="54">
        <v>0</v>
      </c>
      <c r="AN316" s="54"/>
      <c r="AO316" s="54"/>
      <c r="AP316" s="54"/>
      <c r="AQ316" s="54"/>
      <c r="AR316" s="54"/>
      <c r="AS316" s="54"/>
      <c r="AT316" s="54"/>
      <c r="AU316" s="54"/>
      <c r="AV316" s="54"/>
      <c r="AW316" s="54"/>
      <c r="AX316" s="59"/>
      <c r="AY316" s="59"/>
      <c r="AZ316" s="59"/>
      <c r="BA316" s="59"/>
      <c r="BB316" s="59">
        <v>9.0999999999999998E-2</v>
      </c>
      <c r="BC316" s="60">
        <v>4.0599999999999996</v>
      </c>
      <c r="BD316" s="61">
        <v>6.0295000000000001E-2</v>
      </c>
      <c r="BE316" s="62" t="s">
        <v>293</v>
      </c>
      <c r="BF316" s="35">
        <f t="shared" si="0"/>
        <v>4.0600000000000005</v>
      </c>
      <c r="BG316" s="35">
        <f t="shared" si="0"/>
        <v>6.0295000000000001E-2</v>
      </c>
      <c r="BH316" s="35" t="str">
        <f t="shared" si="689"/>
        <v>Low</v>
      </c>
      <c r="BI316" s="110">
        <f t="shared" si="690"/>
        <v>0</v>
      </c>
      <c r="BJ316" s="83">
        <f>VLOOKUP($F316,REP_Info!$D$6:$H$250,5,FALSE)</f>
        <v>1.806</v>
      </c>
      <c r="BK316" s="30">
        <f t="shared" si="691"/>
        <v>15.941500000000001</v>
      </c>
      <c r="BL316" s="30">
        <f t="shared" si="691"/>
        <v>15.535500000000003</v>
      </c>
      <c r="BM316" s="30">
        <f t="shared" si="691"/>
        <v>15.332499999999998</v>
      </c>
      <c r="BN316" s="29">
        <f t="shared" si="691"/>
        <v>15.264833333333334</v>
      </c>
      <c r="BO316" s="85" t="str">
        <f t="shared" si="2"/>
        <v>$$$</v>
      </c>
      <c r="BP316" s="88" t="str">
        <f t="shared" si="692"/>
        <v>$$$</v>
      </c>
      <c r="BQ316" s="88" t="str">
        <f t="shared" si="4"/>
        <v>$$$</v>
      </c>
      <c r="BR316" s="88" t="str">
        <f t="shared" si="5"/>
        <v>$$$</v>
      </c>
      <c r="BS316" s="29" t="e">
        <f t="shared" si="693"/>
        <v>#N/A</v>
      </c>
      <c r="BT316" s="29" t="e">
        <f t="shared" si="693"/>
        <v>#N/A</v>
      </c>
      <c r="BU316" s="29" t="e">
        <f t="shared" si="693"/>
        <v>#N/A</v>
      </c>
      <c r="BV316" s="29" t="e">
        <f t="shared" si="693"/>
        <v>#N/A</v>
      </c>
      <c r="BW316" s="29" t="e">
        <f t="shared" si="693"/>
        <v>#N/A</v>
      </c>
      <c r="BX316" s="29" t="e">
        <f t="shared" si="693"/>
        <v>#N/A</v>
      </c>
      <c r="BY316" s="29" t="e">
        <f t="shared" si="693"/>
        <v>#N/A</v>
      </c>
      <c r="BZ316" s="29" t="e">
        <f t="shared" si="693"/>
        <v>#N/A</v>
      </c>
      <c r="CA316" s="29" t="e">
        <f t="shared" si="693"/>
        <v>#N/A</v>
      </c>
      <c r="CB316" s="29" t="e">
        <f t="shared" si="693"/>
        <v>#N/A</v>
      </c>
      <c r="CC316" s="29" t="e">
        <f t="shared" si="693"/>
        <v>#N/A</v>
      </c>
      <c r="CD316" s="29" t="e">
        <f t="shared" si="693"/>
        <v>#N/A</v>
      </c>
      <c r="CE316" s="6" t="str">
        <f t="shared" si="550"/>
        <v/>
      </c>
      <c r="CF316" s="27" t="e">
        <f>IF(AND(CI316,NOT(AD316)),LOOKUP(CF$5,{0,750,1500},H316:J316),"")</f>
        <v>#N/A</v>
      </c>
      <c r="CG316" s="6" t="str">
        <f t="shared" si="551"/>
        <v/>
      </c>
      <c r="CH316" t="e">
        <f t="shared" si="694"/>
        <v>#N/A</v>
      </c>
      <c r="CI316" t="e">
        <f t="shared" si="695"/>
        <v>#N/A</v>
      </c>
      <c r="CJ316" s="6" t="e">
        <f t="shared" si="11"/>
        <v>#N/A</v>
      </c>
      <c r="CK316" s="6">
        <f t="shared" si="12"/>
        <v>1</v>
      </c>
      <c r="CL316" s="6">
        <f t="shared" si="26"/>
        <v>1</v>
      </c>
      <c r="CM316" s="6">
        <f t="shared" si="13"/>
        <v>1</v>
      </c>
      <c r="CN316" s="6">
        <f t="shared" si="14"/>
        <v>1</v>
      </c>
      <c r="CO316" s="6">
        <f t="shared" si="15"/>
        <v>0</v>
      </c>
      <c r="CP316" s="6">
        <f t="shared" si="16"/>
        <v>1</v>
      </c>
      <c r="CQ316" s="6">
        <f t="shared" si="696"/>
        <v>1</v>
      </c>
      <c r="CR316" s="81" t="str">
        <f t="shared" si="17"/>
        <v/>
      </c>
      <c r="CS316">
        <f t="shared" si="697"/>
        <v>0</v>
      </c>
      <c r="CT316">
        <f t="shared" si="666"/>
        <v>175</v>
      </c>
      <c r="CU316" t="str">
        <f t="shared" si="29"/>
        <v/>
      </c>
      <c r="CV316" s="81">
        <f t="shared" si="698"/>
        <v>175</v>
      </c>
      <c r="CW316" s="81">
        <f>(CV316/25)^1.5*(Calculator!$BU$4/10000)*CW$5</f>
        <v>47.821272343654172</v>
      </c>
      <c r="CX316" t="str">
        <f t="shared" si="699"/>
        <v>$175</v>
      </c>
    </row>
    <row r="317" spans="2:102" x14ac:dyDescent="0.25">
      <c r="B317" s="115" t="s">
        <v>233</v>
      </c>
      <c r="C317" s="13">
        <v>46242.178472222222</v>
      </c>
      <c r="D317">
        <v>27803</v>
      </c>
      <c r="E317" s="54" t="s">
        <v>235</v>
      </c>
      <c r="F317" s="54" t="s">
        <v>673</v>
      </c>
      <c r="G317" s="54" t="s">
        <v>319</v>
      </c>
      <c r="H317" s="55">
        <v>15.4</v>
      </c>
      <c r="I317" s="55">
        <v>14.899999999999999</v>
      </c>
      <c r="J317" s="55">
        <v>14.7</v>
      </c>
      <c r="K317" s="54"/>
      <c r="L317" s="56" t="b">
        <v>0</v>
      </c>
      <c r="M317" s="56" t="b">
        <v>0</v>
      </c>
      <c r="N317" s="54">
        <v>1</v>
      </c>
      <c r="O317" s="54" t="s">
        <v>228</v>
      </c>
      <c r="P317" s="54">
        <v>22</v>
      </c>
      <c r="Q317" s="54">
        <v>36</v>
      </c>
      <c r="R317" s="54">
        <v>175</v>
      </c>
      <c r="S317" s="54" t="s">
        <v>674</v>
      </c>
      <c r="T317" s="54" t="s">
        <v>687</v>
      </c>
      <c r="U317" s="54" t="s">
        <v>691</v>
      </c>
      <c r="V317" s="54" t="s">
        <v>676</v>
      </c>
      <c r="W317" s="54" t="b">
        <v>0</v>
      </c>
      <c r="X317" s="54"/>
      <c r="Y317" s="57" t="s">
        <v>692</v>
      </c>
      <c r="Z317" s="54" t="s">
        <v>690</v>
      </c>
      <c r="AA317" s="54"/>
      <c r="AB317" s="54" t="s">
        <v>678</v>
      </c>
      <c r="AC317" s="56" t="b">
        <v>1</v>
      </c>
      <c r="AD317" s="56" t="b">
        <v>0</v>
      </c>
      <c r="AE317" s="54" t="s">
        <v>302</v>
      </c>
      <c r="AF317" s="58">
        <v>46242</v>
      </c>
      <c r="AG317" s="62" t="s">
        <v>293</v>
      </c>
      <c r="AH317" s="54">
        <v>0</v>
      </c>
      <c r="AI317" s="54"/>
      <c r="AJ317" s="54"/>
      <c r="AK317" s="54"/>
      <c r="AL317" s="54"/>
      <c r="AM317" s="54">
        <v>0</v>
      </c>
      <c r="AN317" s="54"/>
      <c r="AO317" s="54"/>
      <c r="AP317" s="54"/>
      <c r="AQ317" s="54"/>
      <c r="AR317" s="54"/>
      <c r="AS317" s="54"/>
      <c r="AT317" s="54"/>
      <c r="AU317" s="54"/>
      <c r="AV317" s="54"/>
      <c r="AW317" s="54"/>
      <c r="AX317" s="59"/>
      <c r="AY317" s="59"/>
      <c r="AZ317" s="59"/>
      <c r="BA317" s="59"/>
      <c r="BB317" s="59">
        <v>9.2999999999999999E-2</v>
      </c>
      <c r="BC317" s="60">
        <v>4.9000000000000004</v>
      </c>
      <c r="BD317" s="61">
        <v>5.1461E-2</v>
      </c>
      <c r="BE317" s="62" t="s">
        <v>293</v>
      </c>
      <c r="BF317" s="35">
        <f t="shared" si="0"/>
        <v>4.9000000000000004</v>
      </c>
      <c r="BG317" s="35">
        <f t="shared" si="0"/>
        <v>4.9811000000000001E-2</v>
      </c>
      <c r="BH317" s="35" t="str">
        <f t="shared" si="689"/>
        <v>Low</v>
      </c>
      <c r="BI317" s="110">
        <f t="shared" si="690"/>
        <v>0</v>
      </c>
      <c r="BJ317" s="83">
        <f>VLOOKUP($F317,REP_Info!$D$6:$H$250,5,FALSE)</f>
        <v>1.806</v>
      </c>
      <c r="BK317" s="30">
        <f t="shared" si="691"/>
        <v>15.261099999999999</v>
      </c>
      <c r="BL317" s="30">
        <f t="shared" si="691"/>
        <v>14.771100000000002</v>
      </c>
      <c r="BM317" s="30">
        <f t="shared" si="691"/>
        <v>14.5261</v>
      </c>
      <c r="BN317" s="29">
        <f t="shared" si="691"/>
        <v>14.444433333333333</v>
      </c>
      <c r="BO317" s="85" t="str">
        <f t="shared" si="2"/>
        <v>$$$</v>
      </c>
      <c r="BP317" s="88" t="str">
        <f t="shared" si="692"/>
        <v>$$$</v>
      </c>
      <c r="BQ317" s="88" t="str">
        <f t="shared" si="4"/>
        <v>$$$</v>
      </c>
      <c r="BR317" s="88" t="str">
        <f t="shared" si="5"/>
        <v>$$$</v>
      </c>
      <c r="BS317" s="29" t="e">
        <f t="shared" si="693"/>
        <v>#N/A</v>
      </c>
      <c r="BT317" s="29" t="e">
        <f t="shared" si="693"/>
        <v>#N/A</v>
      </c>
      <c r="BU317" s="29" t="e">
        <f t="shared" si="693"/>
        <v>#N/A</v>
      </c>
      <c r="BV317" s="29" t="e">
        <f t="shared" si="693"/>
        <v>#N/A</v>
      </c>
      <c r="BW317" s="29" t="e">
        <f t="shared" si="693"/>
        <v>#N/A</v>
      </c>
      <c r="BX317" s="29" t="e">
        <f t="shared" si="693"/>
        <v>#N/A</v>
      </c>
      <c r="BY317" s="29" t="e">
        <f t="shared" si="693"/>
        <v>#N/A</v>
      </c>
      <c r="BZ317" s="29" t="e">
        <f t="shared" si="693"/>
        <v>#N/A</v>
      </c>
      <c r="CA317" s="29" t="e">
        <f t="shared" si="693"/>
        <v>#N/A</v>
      </c>
      <c r="CB317" s="29" t="e">
        <f t="shared" si="693"/>
        <v>#N/A</v>
      </c>
      <c r="CC317" s="29" t="e">
        <f t="shared" si="693"/>
        <v>#N/A</v>
      </c>
      <c r="CD317" s="29" t="e">
        <f t="shared" si="693"/>
        <v>#N/A</v>
      </c>
      <c r="CE317" s="6" t="str">
        <f t="shared" si="550"/>
        <v/>
      </c>
      <c r="CF317" s="27" t="e">
        <f>IF(AND(CI317,NOT(AD317)),LOOKUP(CF$5,{0,750,1500},H317:J317),"")</f>
        <v>#N/A</v>
      </c>
      <c r="CG317" s="6" t="str">
        <f t="shared" si="551"/>
        <v/>
      </c>
      <c r="CH317" t="e">
        <f t="shared" si="694"/>
        <v>#N/A</v>
      </c>
      <c r="CI317" t="e">
        <f t="shared" si="695"/>
        <v>#N/A</v>
      </c>
      <c r="CJ317" s="6" t="e">
        <f t="shared" si="11"/>
        <v>#N/A</v>
      </c>
      <c r="CK317" s="6">
        <f t="shared" si="12"/>
        <v>1</v>
      </c>
      <c r="CL317" s="6">
        <f t="shared" si="26"/>
        <v>1</v>
      </c>
      <c r="CM317" s="6">
        <f t="shared" si="13"/>
        <v>1</v>
      </c>
      <c r="CN317" s="6">
        <f t="shared" si="14"/>
        <v>1</v>
      </c>
      <c r="CO317" s="6">
        <f t="shared" si="15"/>
        <v>0</v>
      </c>
      <c r="CP317" s="6">
        <f t="shared" si="16"/>
        <v>1</v>
      </c>
      <c r="CQ317" s="6">
        <f t="shared" si="696"/>
        <v>1</v>
      </c>
      <c r="CR317" s="81" t="str">
        <f t="shared" si="17"/>
        <v/>
      </c>
      <c r="CS317">
        <f t="shared" si="697"/>
        <v>0</v>
      </c>
      <c r="CT317">
        <f t="shared" si="666"/>
        <v>175</v>
      </c>
      <c r="CU317" t="str">
        <f t="shared" si="29"/>
        <v/>
      </c>
      <c r="CV317" s="81">
        <f t="shared" si="698"/>
        <v>175</v>
      </c>
      <c r="CW317" s="81">
        <f>(CV317/25)^1.5*(Calculator!$BU$4/10000)*CW$5</f>
        <v>47.821272343654172</v>
      </c>
      <c r="CX317" t="str">
        <f t="shared" si="699"/>
        <v>$175</v>
      </c>
    </row>
    <row r="318" spans="2:102" x14ac:dyDescent="0.25">
      <c r="B318" s="115" t="s">
        <v>233</v>
      </c>
      <c r="C318" s="13">
        <v>46242.178472222222</v>
      </c>
      <c r="D318">
        <v>31977</v>
      </c>
      <c r="E318" s="54" t="s">
        <v>237</v>
      </c>
      <c r="F318" s="54" t="s">
        <v>673</v>
      </c>
      <c r="G318" s="54" t="s">
        <v>326</v>
      </c>
      <c r="H318" s="55">
        <v>15.9</v>
      </c>
      <c r="I318" s="55">
        <v>15.5</v>
      </c>
      <c r="J318" s="55">
        <v>15.299999999999999</v>
      </c>
      <c r="K318" s="54"/>
      <c r="L318" s="56" t="b">
        <v>0</v>
      </c>
      <c r="M318" s="56" t="b">
        <v>0</v>
      </c>
      <c r="N318" s="54">
        <v>1</v>
      </c>
      <c r="O318" s="54" t="s">
        <v>228</v>
      </c>
      <c r="P318" s="54">
        <v>22</v>
      </c>
      <c r="Q318" s="54">
        <v>24</v>
      </c>
      <c r="R318" s="54">
        <v>175</v>
      </c>
      <c r="S318" s="54" t="s">
        <v>674</v>
      </c>
      <c r="T318" s="54" t="s">
        <v>687</v>
      </c>
      <c r="U318" s="54" t="s">
        <v>693</v>
      </c>
      <c r="V318" s="54" t="s">
        <v>676</v>
      </c>
      <c r="W318" s="54" t="b">
        <v>0</v>
      </c>
      <c r="X318" s="54"/>
      <c r="Y318" s="57" t="s">
        <v>694</v>
      </c>
      <c r="Z318" s="54" t="s">
        <v>690</v>
      </c>
      <c r="AA318" s="54"/>
      <c r="AB318" s="54" t="s">
        <v>678</v>
      </c>
      <c r="AC318" s="56" t="b">
        <v>1</v>
      </c>
      <c r="AD318" s="56" t="b">
        <v>0</v>
      </c>
      <c r="AE318" s="54" t="s">
        <v>302</v>
      </c>
      <c r="AF318" s="58">
        <v>46242</v>
      </c>
      <c r="AG318" s="62" t="s">
        <v>293</v>
      </c>
      <c r="AH318" s="54">
        <v>0</v>
      </c>
      <c r="AI318" s="54"/>
      <c r="AJ318" s="54"/>
      <c r="AK318" s="54"/>
      <c r="AL318" s="54"/>
      <c r="AM318" s="54">
        <v>0</v>
      </c>
      <c r="AN318" s="54"/>
      <c r="AO318" s="54"/>
      <c r="AP318" s="54"/>
      <c r="AQ318" s="54"/>
      <c r="AR318" s="54"/>
      <c r="AS318" s="54"/>
      <c r="AT318" s="54"/>
      <c r="AU318" s="54"/>
      <c r="AV318" s="54"/>
      <c r="AW318" s="54"/>
      <c r="AX318" s="59"/>
      <c r="AY318" s="59"/>
      <c r="AZ318" s="59"/>
      <c r="BA318" s="59"/>
      <c r="BB318" s="59">
        <v>9.0999999999999998E-2</v>
      </c>
      <c r="BC318" s="60">
        <v>4.0599999999999996</v>
      </c>
      <c r="BD318" s="61">
        <v>6.0295000000000001E-2</v>
      </c>
      <c r="BE318" s="62" t="s">
        <v>293</v>
      </c>
      <c r="BF318" s="35">
        <f t="shared" si="0"/>
        <v>4.0600000000000005</v>
      </c>
      <c r="BG318" s="35">
        <f t="shared" si="0"/>
        <v>6.0295000000000001E-2</v>
      </c>
      <c r="BH318" s="35" t="str">
        <f t="shared" si="689"/>
        <v>Low</v>
      </c>
      <c r="BI318" s="110">
        <f t="shared" si="690"/>
        <v>0</v>
      </c>
      <c r="BJ318" s="83">
        <f>VLOOKUP($F318,REP_Info!$D$6:$H$250,5,FALSE)</f>
        <v>1.806</v>
      </c>
      <c r="BK318" s="30">
        <f t="shared" si="691"/>
        <v>15.941500000000001</v>
      </c>
      <c r="BL318" s="30">
        <f t="shared" si="691"/>
        <v>15.535500000000003</v>
      </c>
      <c r="BM318" s="30">
        <f t="shared" si="691"/>
        <v>15.332499999999998</v>
      </c>
      <c r="BN318" s="29">
        <f t="shared" si="691"/>
        <v>15.264833333333334</v>
      </c>
      <c r="BO318" s="85" t="str">
        <f t="shared" si="2"/>
        <v>$$$</v>
      </c>
      <c r="BP318" s="88" t="str">
        <f t="shared" si="692"/>
        <v>$$$</v>
      </c>
      <c r="BQ318" s="88" t="str">
        <f t="shared" si="4"/>
        <v>$$$</v>
      </c>
      <c r="BR318" s="88" t="str">
        <f t="shared" si="5"/>
        <v>$$$</v>
      </c>
      <c r="BS318" s="29" t="e">
        <f t="shared" si="693"/>
        <v>#N/A</v>
      </c>
      <c r="BT318" s="29" t="e">
        <f t="shared" si="693"/>
        <v>#N/A</v>
      </c>
      <c r="BU318" s="29" t="e">
        <f t="shared" si="693"/>
        <v>#N/A</v>
      </c>
      <c r="BV318" s="29" t="e">
        <f t="shared" si="693"/>
        <v>#N/A</v>
      </c>
      <c r="BW318" s="29" t="e">
        <f t="shared" si="693"/>
        <v>#N/A</v>
      </c>
      <c r="BX318" s="29" t="e">
        <f t="shared" si="693"/>
        <v>#N/A</v>
      </c>
      <c r="BY318" s="29" t="e">
        <f t="shared" si="693"/>
        <v>#N/A</v>
      </c>
      <c r="BZ318" s="29" t="e">
        <f t="shared" si="693"/>
        <v>#N/A</v>
      </c>
      <c r="CA318" s="29" t="e">
        <f t="shared" si="693"/>
        <v>#N/A</v>
      </c>
      <c r="CB318" s="29" t="e">
        <f t="shared" si="693"/>
        <v>#N/A</v>
      </c>
      <c r="CC318" s="29" t="e">
        <f t="shared" si="693"/>
        <v>#N/A</v>
      </c>
      <c r="CD318" s="29" t="e">
        <f t="shared" si="693"/>
        <v>#N/A</v>
      </c>
      <c r="CE318" s="6" t="str">
        <f t="shared" si="550"/>
        <v/>
      </c>
      <c r="CF318" s="27" t="e">
        <f>IF(AND(CI318,NOT(AD318)),LOOKUP(CF$5,{0,750,1500},H318:J318),"")</f>
        <v>#N/A</v>
      </c>
      <c r="CG318" s="6" t="str">
        <f t="shared" si="551"/>
        <v/>
      </c>
      <c r="CH318" t="e">
        <f t="shared" si="694"/>
        <v>#N/A</v>
      </c>
      <c r="CI318" t="e">
        <f t="shared" si="695"/>
        <v>#N/A</v>
      </c>
      <c r="CJ318" s="6" t="e">
        <f t="shared" si="11"/>
        <v>#N/A</v>
      </c>
      <c r="CK318" s="6">
        <f t="shared" si="12"/>
        <v>1</v>
      </c>
      <c r="CL318" s="6">
        <f t="shared" si="26"/>
        <v>1</v>
      </c>
      <c r="CM318" s="6">
        <f t="shared" si="13"/>
        <v>1</v>
      </c>
      <c r="CN318" s="6">
        <f t="shared" si="14"/>
        <v>1</v>
      </c>
      <c r="CO318" s="6">
        <f t="shared" si="15"/>
        <v>0</v>
      </c>
      <c r="CP318" s="6">
        <f t="shared" si="16"/>
        <v>1</v>
      </c>
      <c r="CQ318" s="6">
        <f t="shared" si="696"/>
        <v>1</v>
      </c>
      <c r="CR318" s="81" t="str">
        <f t="shared" si="17"/>
        <v/>
      </c>
      <c r="CS318">
        <f t="shared" si="697"/>
        <v>0</v>
      </c>
      <c r="CT318">
        <f t="shared" si="666"/>
        <v>175</v>
      </c>
      <c r="CU318" t="str">
        <f t="shared" si="29"/>
        <v/>
      </c>
      <c r="CV318" s="81">
        <f t="shared" si="698"/>
        <v>175</v>
      </c>
      <c r="CW318" s="81">
        <f>(CV318/25)^1.5*(Calculator!$BU$4/10000)*CW$5</f>
        <v>47.821272343654172</v>
      </c>
      <c r="CX318" t="str">
        <f t="shared" si="699"/>
        <v>$175</v>
      </c>
    </row>
    <row r="319" spans="2:102" x14ac:dyDescent="0.25">
      <c r="B319" s="115" t="s">
        <v>233</v>
      </c>
      <c r="C319" s="13">
        <v>46242.178472222222</v>
      </c>
      <c r="D319">
        <v>31979</v>
      </c>
      <c r="E319" s="54" t="s">
        <v>235</v>
      </c>
      <c r="F319" s="54" t="s">
        <v>673</v>
      </c>
      <c r="G319" s="54" t="s">
        <v>326</v>
      </c>
      <c r="H319" s="55">
        <v>15.4</v>
      </c>
      <c r="I319" s="55">
        <v>14.899999999999999</v>
      </c>
      <c r="J319" s="55">
        <v>14.7</v>
      </c>
      <c r="K319" s="54"/>
      <c r="L319" s="56" t="b">
        <v>0</v>
      </c>
      <c r="M319" s="56" t="b">
        <v>0</v>
      </c>
      <c r="N319" s="54">
        <v>1</v>
      </c>
      <c r="O319" s="54" t="s">
        <v>228</v>
      </c>
      <c r="P319" s="54">
        <v>22</v>
      </c>
      <c r="Q319" s="54">
        <v>24</v>
      </c>
      <c r="R319" s="54">
        <v>175</v>
      </c>
      <c r="S319" s="54" t="s">
        <v>674</v>
      </c>
      <c r="T319" s="54" t="s">
        <v>687</v>
      </c>
      <c r="U319" s="54" t="s">
        <v>695</v>
      </c>
      <c r="V319" s="54" t="s">
        <v>676</v>
      </c>
      <c r="W319" s="54" t="b">
        <v>0</v>
      </c>
      <c r="X319" s="54"/>
      <c r="Y319" s="57" t="s">
        <v>696</v>
      </c>
      <c r="Z319" s="54" t="s">
        <v>690</v>
      </c>
      <c r="AA319" s="54"/>
      <c r="AB319" s="54" t="s">
        <v>678</v>
      </c>
      <c r="AC319" s="56" t="b">
        <v>1</v>
      </c>
      <c r="AD319" s="56" t="b">
        <v>0</v>
      </c>
      <c r="AE319" s="54" t="s">
        <v>302</v>
      </c>
      <c r="AF319" s="58">
        <v>46242</v>
      </c>
      <c r="AG319" s="62" t="s">
        <v>293</v>
      </c>
      <c r="AH319" s="54">
        <v>0</v>
      </c>
      <c r="AI319" s="54"/>
      <c r="AJ319" s="54"/>
      <c r="AK319" s="54"/>
      <c r="AL319" s="54"/>
      <c r="AM319" s="54">
        <v>0</v>
      </c>
      <c r="AN319" s="54"/>
      <c r="AO319" s="54"/>
      <c r="AP319" s="54"/>
      <c r="AQ319" s="54"/>
      <c r="AR319" s="54"/>
      <c r="AS319" s="54"/>
      <c r="AT319" s="54"/>
      <c r="AU319" s="54"/>
      <c r="AV319" s="54"/>
      <c r="AW319" s="54"/>
      <c r="AX319" s="59"/>
      <c r="AY319" s="59"/>
      <c r="AZ319" s="59"/>
      <c r="BA319" s="59"/>
      <c r="BB319" s="59">
        <v>9.2999999999999999E-2</v>
      </c>
      <c r="BC319" s="60">
        <v>4.9000000000000004</v>
      </c>
      <c r="BD319" s="61">
        <v>5.1461E-2</v>
      </c>
      <c r="BE319" s="62" t="s">
        <v>293</v>
      </c>
      <c r="BF319" s="35">
        <f t="shared" si="0"/>
        <v>4.9000000000000004</v>
      </c>
      <c r="BG319" s="35">
        <f t="shared" si="0"/>
        <v>4.9811000000000001E-2</v>
      </c>
      <c r="BH319" s="35" t="str">
        <f t="shared" si="689"/>
        <v>Low</v>
      </c>
      <c r="BI319" s="110">
        <f t="shared" si="690"/>
        <v>0</v>
      </c>
      <c r="BJ319" s="83">
        <f>VLOOKUP($F319,REP_Info!$D$6:$H$250,5,FALSE)</f>
        <v>1.806</v>
      </c>
      <c r="BK319" s="30">
        <f t="shared" si="691"/>
        <v>15.261099999999999</v>
      </c>
      <c r="BL319" s="30">
        <f t="shared" si="691"/>
        <v>14.771100000000002</v>
      </c>
      <c r="BM319" s="30">
        <f t="shared" si="691"/>
        <v>14.5261</v>
      </c>
      <c r="BN319" s="29">
        <f t="shared" si="691"/>
        <v>14.444433333333333</v>
      </c>
      <c r="BO319" s="85" t="str">
        <f t="shared" si="2"/>
        <v>$$$</v>
      </c>
      <c r="BP319" s="88" t="str">
        <f t="shared" si="692"/>
        <v>$$$</v>
      </c>
      <c r="BQ319" s="88" t="str">
        <f t="shared" si="4"/>
        <v>$$$</v>
      </c>
      <c r="BR319" s="88" t="str">
        <f t="shared" si="5"/>
        <v>$$$</v>
      </c>
      <c r="BS319" s="29" t="e">
        <f t="shared" si="693"/>
        <v>#N/A</v>
      </c>
      <c r="BT319" s="29" t="e">
        <f t="shared" si="693"/>
        <v>#N/A</v>
      </c>
      <c r="BU319" s="29" t="e">
        <f t="shared" si="693"/>
        <v>#N/A</v>
      </c>
      <c r="BV319" s="29" t="e">
        <f t="shared" si="693"/>
        <v>#N/A</v>
      </c>
      <c r="BW319" s="29" t="e">
        <f t="shared" si="693"/>
        <v>#N/A</v>
      </c>
      <c r="BX319" s="29" t="e">
        <f t="shared" si="693"/>
        <v>#N/A</v>
      </c>
      <c r="BY319" s="29" t="e">
        <f t="shared" si="693"/>
        <v>#N/A</v>
      </c>
      <c r="BZ319" s="29" t="e">
        <f t="shared" si="693"/>
        <v>#N/A</v>
      </c>
      <c r="CA319" s="29" t="e">
        <f t="shared" si="693"/>
        <v>#N/A</v>
      </c>
      <c r="CB319" s="29" t="e">
        <f t="shared" si="693"/>
        <v>#N/A</v>
      </c>
      <c r="CC319" s="29" t="e">
        <f t="shared" si="693"/>
        <v>#N/A</v>
      </c>
      <c r="CD319" s="29" t="e">
        <f t="shared" si="693"/>
        <v>#N/A</v>
      </c>
      <c r="CE319" s="6" t="str">
        <f t="shared" si="550"/>
        <v/>
      </c>
      <c r="CF319" s="27" t="e">
        <f>IF(AND(CI319,NOT(AD319)),LOOKUP(CF$5,{0,750,1500},H319:J319),"")</f>
        <v>#N/A</v>
      </c>
      <c r="CG319" s="6" t="str">
        <f t="shared" si="551"/>
        <v/>
      </c>
      <c r="CH319" t="e">
        <f t="shared" si="694"/>
        <v>#N/A</v>
      </c>
      <c r="CI319" t="e">
        <f t="shared" si="695"/>
        <v>#N/A</v>
      </c>
      <c r="CJ319" s="6" t="e">
        <f t="shared" si="11"/>
        <v>#N/A</v>
      </c>
      <c r="CK319" s="6">
        <f t="shared" si="12"/>
        <v>1</v>
      </c>
      <c r="CL319" s="6">
        <f t="shared" si="26"/>
        <v>1</v>
      </c>
      <c r="CM319" s="6">
        <f t="shared" si="13"/>
        <v>1</v>
      </c>
      <c r="CN319" s="6">
        <f t="shared" si="14"/>
        <v>1</v>
      </c>
      <c r="CO319" s="6">
        <f t="shared" si="15"/>
        <v>0</v>
      </c>
      <c r="CP319" s="6">
        <f t="shared" si="16"/>
        <v>1</v>
      </c>
      <c r="CQ319" s="6">
        <f t="shared" si="696"/>
        <v>1</v>
      </c>
      <c r="CR319" s="81" t="str">
        <f t="shared" si="17"/>
        <v/>
      </c>
      <c r="CS319">
        <f t="shared" si="697"/>
        <v>0</v>
      </c>
      <c r="CT319">
        <f t="shared" si="666"/>
        <v>175</v>
      </c>
      <c r="CU319" t="str">
        <f t="shared" si="29"/>
        <v/>
      </c>
      <c r="CV319" s="81">
        <f t="shared" si="698"/>
        <v>175</v>
      </c>
      <c r="CW319" s="81">
        <f>(CV319/25)^1.5*(Calculator!$BU$4/10000)*CW$5</f>
        <v>47.821272343654172</v>
      </c>
      <c r="CX319" t="str">
        <f t="shared" si="699"/>
        <v>$175</v>
      </c>
    </row>
    <row r="320" spans="2:102" x14ac:dyDescent="0.25">
      <c r="B320" s="115" t="s">
        <v>233</v>
      </c>
      <c r="C320" s="13">
        <v>46252.407638888886</v>
      </c>
      <c r="D320">
        <v>35956</v>
      </c>
      <c r="E320" s="54" t="s">
        <v>235</v>
      </c>
      <c r="F320" s="54" t="s">
        <v>697</v>
      </c>
      <c r="G320" s="54" t="s">
        <v>652</v>
      </c>
      <c r="H320" s="55">
        <v>11.799999999999999</v>
      </c>
      <c r="I320" s="55">
        <v>11.3</v>
      </c>
      <c r="J320" s="55">
        <v>11</v>
      </c>
      <c r="K320" s="54"/>
      <c r="L320" s="56" t="b">
        <v>0</v>
      </c>
      <c r="M320" s="56" t="b">
        <v>0</v>
      </c>
      <c r="N320" s="54">
        <v>1</v>
      </c>
      <c r="O320" s="54" t="s">
        <v>228</v>
      </c>
      <c r="P320" s="54">
        <v>37</v>
      </c>
      <c r="Q320" s="54">
        <v>12</v>
      </c>
      <c r="R320" s="54">
        <v>100</v>
      </c>
      <c r="S320" s="54" t="s">
        <v>1672</v>
      </c>
      <c r="T320" s="54"/>
      <c r="U320" s="54" t="s">
        <v>1670</v>
      </c>
      <c r="V320" s="54" t="s">
        <v>1673</v>
      </c>
      <c r="W320" s="54" t="b">
        <v>0</v>
      </c>
      <c r="X320" s="54"/>
      <c r="Y320" s="57" t="s">
        <v>1674</v>
      </c>
      <c r="Z320" s="54" t="s">
        <v>1819</v>
      </c>
      <c r="AA320" s="54"/>
      <c r="AB320" s="54" t="s">
        <v>1675</v>
      </c>
      <c r="AC320" s="56" t="b">
        <v>1</v>
      </c>
      <c r="AD320" s="56" t="b">
        <v>0</v>
      </c>
      <c r="AE320" s="54" t="s">
        <v>302</v>
      </c>
      <c r="AF320" s="58">
        <v>46252</v>
      </c>
      <c r="AG320" s="62" t="s">
        <v>293</v>
      </c>
      <c r="AH320" s="54">
        <v>0</v>
      </c>
      <c r="AI320" s="54"/>
      <c r="AJ320" s="54"/>
      <c r="AK320" s="54"/>
      <c r="AL320" s="54"/>
      <c r="AM320" s="54">
        <v>0</v>
      </c>
      <c r="AN320" s="54"/>
      <c r="AO320" s="54"/>
      <c r="AP320" s="54"/>
      <c r="AQ320" s="54"/>
      <c r="AR320" s="54"/>
      <c r="AS320" s="54"/>
      <c r="AT320" s="54"/>
      <c r="AU320" s="54"/>
      <c r="AV320" s="54"/>
      <c r="AW320" s="54"/>
      <c r="AX320" s="59"/>
      <c r="AY320" s="59"/>
      <c r="AZ320" s="59"/>
      <c r="BA320" s="59"/>
      <c r="BB320" s="59">
        <v>5.79E-2</v>
      </c>
      <c r="BC320" s="60">
        <v>4.9000000000000004</v>
      </c>
      <c r="BD320" s="61">
        <v>4.9811000000000001E-2</v>
      </c>
      <c r="BE320" s="62" t="s">
        <v>293</v>
      </c>
      <c r="BF320" s="35">
        <f t="shared" si="0"/>
        <v>4.9000000000000004</v>
      </c>
      <c r="BG320" s="35">
        <f t="shared" si="0"/>
        <v>4.9811000000000001E-2</v>
      </c>
      <c r="BH320" s="35" t="str">
        <f t="shared" si="689"/>
        <v>Low</v>
      </c>
      <c r="BI320" s="110">
        <f t="shared" si="690"/>
        <v>0</v>
      </c>
      <c r="BJ320" s="83" t="str">
        <f>VLOOKUP($F320,REP_Info!$D$6:$H$250,5,FALSE)</f>
        <v/>
      </c>
      <c r="BK320" s="30">
        <f t="shared" si="691"/>
        <v>11.751100000000001</v>
      </c>
      <c r="BL320" s="30">
        <f t="shared" si="691"/>
        <v>11.261099999999999</v>
      </c>
      <c r="BM320" s="30">
        <f t="shared" si="691"/>
        <v>11.0161</v>
      </c>
      <c r="BN320" s="29">
        <f t="shared" si="691"/>
        <v>10.934433333333335</v>
      </c>
      <c r="BO320" s="85" t="str">
        <f t="shared" si="2"/>
        <v>$$$</v>
      </c>
      <c r="BP320" s="88" t="str">
        <f t="shared" si="692"/>
        <v>$$$</v>
      </c>
      <c r="BQ320" s="88" t="str">
        <f t="shared" si="4"/>
        <v>$$$</v>
      </c>
      <c r="BR320" s="88" t="str">
        <f t="shared" si="5"/>
        <v>$$$</v>
      </c>
      <c r="BS320" s="29" t="e">
        <f t="shared" si="693"/>
        <v>#N/A</v>
      </c>
      <c r="BT320" s="29" t="e">
        <f t="shared" si="693"/>
        <v>#N/A</v>
      </c>
      <c r="BU320" s="29" t="e">
        <f t="shared" si="693"/>
        <v>#N/A</v>
      </c>
      <c r="BV320" s="29" t="e">
        <f t="shared" si="693"/>
        <v>#N/A</v>
      </c>
      <c r="BW320" s="29" t="e">
        <f t="shared" si="693"/>
        <v>#N/A</v>
      </c>
      <c r="BX320" s="29" t="e">
        <f t="shared" si="693"/>
        <v>#N/A</v>
      </c>
      <c r="BY320" s="29" t="e">
        <f t="shared" si="693"/>
        <v>#N/A</v>
      </c>
      <c r="BZ320" s="29" t="e">
        <f t="shared" si="693"/>
        <v>#N/A</v>
      </c>
      <c r="CA320" s="29" t="e">
        <f t="shared" si="693"/>
        <v>#N/A</v>
      </c>
      <c r="CB320" s="29" t="e">
        <f t="shared" si="693"/>
        <v>#N/A</v>
      </c>
      <c r="CC320" s="29" t="e">
        <f t="shared" si="693"/>
        <v>#N/A</v>
      </c>
      <c r="CD320" s="29" t="e">
        <f t="shared" si="693"/>
        <v>#N/A</v>
      </c>
      <c r="CE320" s="6" t="str">
        <f t="shared" si="550"/>
        <v/>
      </c>
      <c r="CF320" s="27" t="e">
        <f>IF(AND(CI320,NOT(AD320)),LOOKUP(CF$5,{0,750,1500},H320:J320),"")</f>
        <v>#N/A</v>
      </c>
      <c r="CG320" s="6" t="str">
        <f t="shared" si="551"/>
        <v/>
      </c>
      <c r="CH320" t="e">
        <f t="shared" si="694"/>
        <v>#N/A</v>
      </c>
      <c r="CI320" t="e">
        <f t="shared" si="695"/>
        <v>#N/A</v>
      </c>
      <c r="CJ320" s="6" t="e">
        <f t="shared" si="11"/>
        <v>#N/A</v>
      </c>
      <c r="CK320" s="6">
        <f t="shared" si="12"/>
        <v>1</v>
      </c>
      <c r="CL320" s="6">
        <f t="shared" si="26"/>
        <v>1</v>
      </c>
      <c r="CM320" s="6">
        <f t="shared" si="13"/>
        <v>1</v>
      </c>
      <c r="CN320" s="6">
        <f t="shared" si="14"/>
        <v>1</v>
      </c>
      <c r="CO320" s="6">
        <f t="shared" si="15"/>
        <v>1</v>
      </c>
      <c r="CP320" s="6">
        <f t="shared" si="16"/>
        <v>1</v>
      </c>
      <c r="CQ320" s="6">
        <f t="shared" si="696"/>
        <v>1</v>
      </c>
      <c r="CR320" s="81" t="str">
        <f t="shared" si="17"/>
        <v/>
      </c>
      <c r="CS320">
        <f t="shared" si="697"/>
        <v>0</v>
      </c>
      <c r="CT320">
        <f t="shared" si="666"/>
        <v>100</v>
      </c>
      <c r="CU320" t="str">
        <f t="shared" si="29"/>
        <v/>
      </c>
      <c r="CV320" s="81">
        <f t="shared" si="698"/>
        <v>100</v>
      </c>
      <c r="CW320" s="81">
        <f>(CV320/25)^1.5*(Calculator!$BU$4/10000)*CW$5</f>
        <v>20.656847999999979</v>
      </c>
      <c r="CX320" t="str">
        <f t="shared" si="699"/>
        <v>$100</v>
      </c>
    </row>
    <row r="321" spans="2:102" x14ac:dyDescent="0.25">
      <c r="B321" s="115" t="s">
        <v>233</v>
      </c>
      <c r="C321" s="13">
        <v>46252.407638888886</v>
      </c>
      <c r="D321">
        <v>35960</v>
      </c>
      <c r="E321" s="54" t="s">
        <v>237</v>
      </c>
      <c r="F321" s="54" t="s">
        <v>697</v>
      </c>
      <c r="G321" s="54" t="s">
        <v>652</v>
      </c>
      <c r="H321" s="55">
        <v>12.4</v>
      </c>
      <c r="I321" s="55">
        <v>12</v>
      </c>
      <c r="J321" s="55">
        <v>11.799999999999999</v>
      </c>
      <c r="K321" s="54"/>
      <c r="L321" s="56" t="b">
        <v>0</v>
      </c>
      <c r="M321" s="56" t="b">
        <v>0</v>
      </c>
      <c r="N321" s="54">
        <v>1</v>
      </c>
      <c r="O321" s="54" t="s">
        <v>228</v>
      </c>
      <c r="P321" s="54">
        <v>37</v>
      </c>
      <c r="Q321" s="54">
        <v>12</v>
      </c>
      <c r="R321" s="54">
        <v>100</v>
      </c>
      <c r="S321" s="54" t="s">
        <v>1672</v>
      </c>
      <c r="T321" s="54"/>
      <c r="U321" s="54" t="s">
        <v>1671</v>
      </c>
      <c r="V321" s="54" t="s">
        <v>1676</v>
      </c>
      <c r="W321" s="54" t="b">
        <v>0</v>
      </c>
      <c r="X321" s="54"/>
      <c r="Y321" s="57" t="s">
        <v>1677</v>
      </c>
      <c r="Z321" s="54" t="s">
        <v>1819</v>
      </c>
      <c r="AA321" s="54"/>
      <c r="AB321" s="54" t="s">
        <v>1675</v>
      </c>
      <c r="AC321" s="56" t="b">
        <v>1</v>
      </c>
      <c r="AD321" s="56" t="b">
        <v>0</v>
      </c>
      <c r="AE321" s="54" t="s">
        <v>302</v>
      </c>
      <c r="AF321" s="58">
        <v>46252</v>
      </c>
      <c r="AG321" s="62" t="s">
        <v>293</v>
      </c>
      <c r="AH321" s="54">
        <v>0</v>
      </c>
      <c r="AI321" s="54"/>
      <c r="AJ321" s="54"/>
      <c r="AK321" s="54"/>
      <c r="AL321" s="54"/>
      <c r="AM321" s="54">
        <v>0</v>
      </c>
      <c r="AN321" s="54"/>
      <c r="AO321" s="54"/>
      <c r="AP321" s="54"/>
      <c r="AQ321" s="54"/>
      <c r="AR321" s="54"/>
      <c r="AS321" s="54"/>
      <c r="AT321" s="54"/>
      <c r="AU321" s="54"/>
      <c r="AV321" s="54"/>
      <c r="AW321" s="54"/>
      <c r="AX321" s="59"/>
      <c r="AY321" s="59"/>
      <c r="AZ321" s="59"/>
      <c r="BA321" s="59"/>
      <c r="BB321" s="59">
        <v>5.5899999999999998E-2</v>
      </c>
      <c r="BC321" s="60">
        <v>4.0599999999999996</v>
      </c>
      <c r="BD321" s="61">
        <v>6.0295000000000001E-2</v>
      </c>
      <c r="BE321" s="62" t="s">
        <v>293</v>
      </c>
      <c r="BF321" s="35">
        <f t="shared" si="0"/>
        <v>4.0600000000000005</v>
      </c>
      <c r="BG321" s="35">
        <f t="shared" si="0"/>
        <v>6.0295000000000001E-2</v>
      </c>
      <c r="BH321" s="35" t="str">
        <f t="shared" si="689"/>
        <v>Low</v>
      </c>
      <c r="BI321" s="110">
        <f t="shared" si="690"/>
        <v>0</v>
      </c>
      <c r="BJ321" s="83" t="str">
        <f>VLOOKUP($F321,REP_Info!$D$6:$H$250,5,FALSE)</f>
        <v/>
      </c>
      <c r="BK321" s="30">
        <f t="shared" si="691"/>
        <v>12.4315</v>
      </c>
      <c r="BL321" s="30">
        <f t="shared" si="691"/>
        <v>12.025499999999999</v>
      </c>
      <c r="BM321" s="30">
        <f t="shared" si="691"/>
        <v>11.8225</v>
      </c>
      <c r="BN321" s="29">
        <f t="shared" si="691"/>
        <v>11.754833333333334</v>
      </c>
      <c r="BO321" s="85" t="str">
        <f t="shared" si="2"/>
        <v>$$$</v>
      </c>
      <c r="BP321" s="88" t="str">
        <f t="shared" si="692"/>
        <v>$$$</v>
      </c>
      <c r="BQ321" s="88" t="str">
        <f t="shared" si="4"/>
        <v>$$$</v>
      </c>
      <c r="BR321" s="88" t="str">
        <f t="shared" si="5"/>
        <v>$$$</v>
      </c>
      <c r="BS321" s="29" t="e">
        <f t="shared" si="693"/>
        <v>#N/A</v>
      </c>
      <c r="BT321" s="29" t="e">
        <f t="shared" si="693"/>
        <v>#N/A</v>
      </c>
      <c r="BU321" s="29" t="e">
        <f t="shared" si="693"/>
        <v>#N/A</v>
      </c>
      <c r="BV321" s="29" t="e">
        <f t="shared" si="693"/>
        <v>#N/A</v>
      </c>
      <c r="BW321" s="29" t="e">
        <f t="shared" si="693"/>
        <v>#N/A</v>
      </c>
      <c r="BX321" s="29" t="e">
        <f t="shared" si="693"/>
        <v>#N/A</v>
      </c>
      <c r="BY321" s="29" t="e">
        <f t="shared" si="693"/>
        <v>#N/A</v>
      </c>
      <c r="BZ321" s="29" t="e">
        <f t="shared" si="693"/>
        <v>#N/A</v>
      </c>
      <c r="CA321" s="29" t="e">
        <f t="shared" si="693"/>
        <v>#N/A</v>
      </c>
      <c r="CB321" s="29" t="e">
        <f t="shared" si="693"/>
        <v>#N/A</v>
      </c>
      <c r="CC321" s="29" t="e">
        <f t="shared" si="693"/>
        <v>#N/A</v>
      </c>
      <c r="CD321" s="29" t="e">
        <f t="shared" si="693"/>
        <v>#N/A</v>
      </c>
      <c r="CE321" s="6" t="str">
        <f t="shared" si="550"/>
        <v/>
      </c>
      <c r="CF321" s="27" t="e">
        <f>IF(AND(CI321,NOT(AD321)),LOOKUP(CF$5,{0,750,1500},H321:J321),"")</f>
        <v>#N/A</v>
      </c>
      <c r="CG321" s="6" t="str">
        <f t="shared" si="551"/>
        <v/>
      </c>
      <c r="CH321" t="e">
        <f t="shared" si="694"/>
        <v>#N/A</v>
      </c>
      <c r="CI321" t="e">
        <f t="shared" si="695"/>
        <v>#N/A</v>
      </c>
      <c r="CJ321" s="6" t="e">
        <f t="shared" si="11"/>
        <v>#N/A</v>
      </c>
      <c r="CK321" s="6">
        <f t="shared" si="12"/>
        <v>1</v>
      </c>
      <c r="CL321" s="6">
        <f t="shared" si="26"/>
        <v>1</v>
      </c>
      <c r="CM321" s="6">
        <f t="shared" si="13"/>
        <v>1</v>
      </c>
      <c r="CN321" s="6">
        <f t="shared" si="14"/>
        <v>1</v>
      </c>
      <c r="CO321" s="6">
        <f t="shared" si="15"/>
        <v>1</v>
      </c>
      <c r="CP321" s="6">
        <f t="shared" si="16"/>
        <v>1</v>
      </c>
      <c r="CQ321" s="6">
        <f t="shared" si="696"/>
        <v>1</v>
      </c>
      <c r="CR321" s="81" t="str">
        <f t="shared" si="17"/>
        <v/>
      </c>
      <c r="CS321">
        <f t="shared" si="697"/>
        <v>0</v>
      </c>
      <c r="CT321">
        <f t="shared" si="666"/>
        <v>100</v>
      </c>
      <c r="CU321" t="str">
        <f t="shared" si="29"/>
        <v/>
      </c>
      <c r="CV321" s="81">
        <f t="shared" si="698"/>
        <v>100</v>
      </c>
      <c r="CW321" s="81">
        <f>(CV321/25)^1.5*(Calculator!$BU$4/10000)*CW$5</f>
        <v>20.656847999999979</v>
      </c>
      <c r="CX321" t="str">
        <f t="shared" si="699"/>
        <v>$100</v>
      </c>
    </row>
    <row r="322" spans="2:102" x14ac:dyDescent="0.25">
      <c r="B322" s="115" t="s">
        <v>233</v>
      </c>
      <c r="C322" s="13">
        <v>46236.341666666667</v>
      </c>
      <c r="D322">
        <v>35975</v>
      </c>
      <c r="E322" s="54" t="s">
        <v>235</v>
      </c>
      <c r="F322" s="54" t="s">
        <v>697</v>
      </c>
      <c r="G322" s="54" t="s">
        <v>1678</v>
      </c>
      <c r="H322" s="55">
        <v>24</v>
      </c>
      <c r="I322" s="55">
        <v>12</v>
      </c>
      <c r="J322" s="55">
        <v>13</v>
      </c>
      <c r="K322" s="54" t="s">
        <v>1679</v>
      </c>
      <c r="L322" s="56" t="b">
        <v>0</v>
      </c>
      <c r="M322" s="56" t="b">
        <v>0</v>
      </c>
      <c r="N322" s="54">
        <v>1</v>
      </c>
      <c r="O322" s="54" t="s">
        <v>228</v>
      </c>
      <c r="P322" s="54">
        <v>37</v>
      </c>
      <c r="Q322" s="54">
        <v>12</v>
      </c>
      <c r="R322" s="54">
        <v>200</v>
      </c>
      <c r="S322" s="54" t="s">
        <v>1672</v>
      </c>
      <c r="T322" s="54"/>
      <c r="U322" s="54" t="s">
        <v>1667</v>
      </c>
      <c r="V322" s="54" t="s">
        <v>1680</v>
      </c>
      <c r="W322" s="54" t="b">
        <v>0</v>
      </c>
      <c r="X322" s="54"/>
      <c r="Y322" s="57" t="s">
        <v>1681</v>
      </c>
      <c r="Z322" s="54" t="s">
        <v>1819</v>
      </c>
      <c r="AA322" s="54"/>
      <c r="AB322" s="54" t="s">
        <v>1675</v>
      </c>
      <c r="AC322" s="56" t="b">
        <v>1</v>
      </c>
      <c r="AD322" s="56" t="b">
        <v>1</v>
      </c>
      <c r="AE322" s="54" t="s">
        <v>302</v>
      </c>
      <c r="AF322" s="58">
        <v>46236</v>
      </c>
      <c r="AG322" s="62" t="s">
        <v>293</v>
      </c>
      <c r="AH322" s="54">
        <v>0</v>
      </c>
      <c r="AI322" s="54"/>
      <c r="AJ322" s="54"/>
      <c r="AK322" s="54"/>
      <c r="AL322" s="54"/>
      <c r="AM322" s="54">
        <v>120</v>
      </c>
      <c r="AN322" s="54"/>
      <c r="AO322" s="54"/>
      <c r="AP322" s="54"/>
      <c r="AQ322" s="54"/>
      <c r="AR322" s="54"/>
      <c r="AS322" s="54"/>
      <c r="AT322" s="54"/>
      <c r="AU322" s="54">
        <v>0</v>
      </c>
      <c r="AV322" s="54">
        <v>1001</v>
      </c>
      <c r="AW322" s="54"/>
      <c r="AX322" s="59"/>
      <c r="AY322" s="59"/>
      <c r="AZ322" s="59"/>
      <c r="BA322" s="59">
        <v>0</v>
      </c>
      <c r="BB322" s="59">
        <v>0.14000000000000001</v>
      </c>
      <c r="BC322" s="60"/>
      <c r="BD322" s="61"/>
      <c r="BE322" s="62" t="s">
        <v>698</v>
      </c>
      <c r="BF322" s="35">
        <f t="shared" si="0"/>
        <v>4.9000000000000004</v>
      </c>
      <c r="BG322" s="35">
        <f t="shared" si="0"/>
        <v>4.9811000000000001E-2</v>
      </c>
      <c r="BH322" s="35" t="str">
        <f t="shared" si="689"/>
        <v>High</v>
      </c>
      <c r="BI322" s="110">
        <f t="shared" si="690"/>
        <v>0</v>
      </c>
      <c r="BJ322" s="83" t="str">
        <f>VLOOKUP($F322,REP_Info!$D$6:$H$250,5,FALSE)</f>
        <v/>
      </c>
      <c r="BK322" s="30">
        <f t="shared" si="691"/>
        <v>24</v>
      </c>
      <c r="BL322" s="30">
        <f t="shared" si="691"/>
        <v>12</v>
      </c>
      <c r="BM322" s="30">
        <f t="shared" si="691"/>
        <v>12.993</v>
      </c>
      <c r="BN322" s="29">
        <f t="shared" si="691"/>
        <v>13.328666666666667</v>
      </c>
      <c r="BO322" s="85" t="str">
        <f t="shared" si="2"/>
        <v>$$$</v>
      </c>
      <c r="BP322" s="88" t="str">
        <f t="shared" si="692"/>
        <v>$$$</v>
      </c>
      <c r="BQ322" s="88" t="str">
        <f t="shared" si="4"/>
        <v>$$$</v>
      </c>
      <c r="BR322" s="88" t="str">
        <f t="shared" si="5"/>
        <v>$$$</v>
      </c>
      <c r="BS322" s="29" t="e">
        <f t="shared" si="693"/>
        <v>#N/A</v>
      </c>
      <c r="BT322" s="29" t="e">
        <f t="shared" si="693"/>
        <v>#N/A</v>
      </c>
      <c r="BU322" s="29" t="e">
        <f t="shared" si="693"/>
        <v>#N/A</v>
      </c>
      <c r="BV322" s="29" t="e">
        <f t="shared" si="693"/>
        <v>#N/A</v>
      </c>
      <c r="BW322" s="29" t="e">
        <f t="shared" si="693"/>
        <v>#N/A</v>
      </c>
      <c r="BX322" s="29" t="e">
        <f t="shared" si="693"/>
        <v>#N/A</v>
      </c>
      <c r="BY322" s="29" t="e">
        <f t="shared" si="693"/>
        <v>#N/A</v>
      </c>
      <c r="BZ322" s="29" t="e">
        <f t="shared" si="693"/>
        <v>#N/A</v>
      </c>
      <c r="CA322" s="29" t="e">
        <f t="shared" si="693"/>
        <v>#N/A</v>
      </c>
      <c r="CB322" s="29" t="e">
        <f t="shared" si="693"/>
        <v>#N/A</v>
      </c>
      <c r="CC322" s="29" t="e">
        <f t="shared" si="693"/>
        <v>#N/A</v>
      </c>
      <c r="CD322" s="29" t="e">
        <f t="shared" si="693"/>
        <v>#N/A</v>
      </c>
      <c r="CE322" s="6" t="str">
        <f t="shared" si="550"/>
        <v/>
      </c>
      <c r="CF322" s="27" t="e">
        <f>IF(AND(CI322,NOT(AD322)),LOOKUP(CF$5,{0,750,1500},H322:J322),"")</f>
        <v>#N/A</v>
      </c>
      <c r="CG322" s="6" t="str">
        <f t="shared" si="551"/>
        <v/>
      </c>
      <c r="CH322" t="e">
        <f t="shared" si="694"/>
        <v>#N/A</v>
      </c>
      <c r="CI322" t="e">
        <f t="shared" si="695"/>
        <v>#N/A</v>
      </c>
      <c r="CJ322" s="6" t="e">
        <f t="shared" si="11"/>
        <v>#N/A</v>
      </c>
      <c r="CK322" s="6">
        <f t="shared" si="12"/>
        <v>1</v>
      </c>
      <c r="CL322" s="6">
        <f t="shared" si="26"/>
        <v>1</v>
      </c>
      <c r="CM322" s="6">
        <f t="shared" si="13"/>
        <v>1</v>
      </c>
      <c r="CN322" s="6">
        <f t="shared" si="14"/>
        <v>1</v>
      </c>
      <c r="CO322" s="6">
        <f t="shared" si="15"/>
        <v>1</v>
      </c>
      <c r="CP322" s="6">
        <f t="shared" si="16"/>
        <v>1</v>
      </c>
      <c r="CQ322" s="6">
        <f t="shared" si="696"/>
        <v>1</v>
      </c>
      <c r="CR322" s="81" t="str">
        <f t="shared" si="17"/>
        <v/>
      </c>
      <c r="CS322">
        <f t="shared" si="697"/>
        <v>0</v>
      </c>
      <c r="CT322">
        <f t="shared" si="666"/>
        <v>200</v>
      </c>
      <c r="CU322" t="str">
        <f t="shared" si="29"/>
        <v/>
      </c>
      <c r="CV322" s="81">
        <f t="shared" si="698"/>
        <v>200</v>
      </c>
      <c r="CW322" s="81">
        <f>(CV322/25)^1.5*(Calculator!$BU$4/10000)*CW$5</f>
        <v>58.426389194959008</v>
      </c>
      <c r="CX322" t="str">
        <f t="shared" si="699"/>
        <v>$200</v>
      </c>
    </row>
    <row r="323" spans="2:102" x14ac:dyDescent="0.25">
      <c r="B323" s="115" t="s">
        <v>233</v>
      </c>
      <c r="C323" s="13">
        <v>46242.178472222222</v>
      </c>
      <c r="D323">
        <v>35979</v>
      </c>
      <c r="E323" s="54" t="s">
        <v>237</v>
      </c>
      <c r="F323" s="54" t="s">
        <v>697</v>
      </c>
      <c r="G323" s="54" t="s">
        <v>1678</v>
      </c>
      <c r="H323" s="55">
        <v>25</v>
      </c>
      <c r="I323" s="55">
        <v>12.5</v>
      </c>
      <c r="J323" s="55">
        <v>13.3</v>
      </c>
      <c r="K323" s="54" t="s">
        <v>1679</v>
      </c>
      <c r="L323" s="56" t="b">
        <v>0</v>
      </c>
      <c r="M323" s="56" t="b">
        <v>0</v>
      </c>
      <c r="N323" s="54">
        <v>1</v>
      </c>
      <c r="O323" s="54" t="s">
        <v>228</v>
      </c>
      <c r="P323" s="54">
        <v>37</v>
      </c>
      <c r="Q323" s="54">
        <v>12</v>
      </c>
      <c r="R323" s="54">
        <v>200</v>
      </c>
      <c r="S323" s="54" t="s">
        <v>1672</v>
      </c>
      <c r="T323" s="54"/>
      <c r="U323" s="54" t="s">
        <v>1669</v>
      </c>
      <c r="V323" s="54" t="s">
        <v>1682</v>
      </c>
      <c r="W323" s="54" t="b">
        <v>0</v>
      </c>
      <c r="X323" s="54"/>
      <c r="Y323" s="57" t="s">
        <v>1683</v>
      </c>
      <c r="Z323" s="54" t="s">
        <v>1819</v>
      </c>
      <c r="AA323" s="54"/>
      <c r="AB323" s="54" t="s">
        <v>1675</v>
      </c>
      <c r="AC323" s="56" t="b">
        <v>1</v>
      </c>
      <c r="AD323" s="56" t="b">
        <v>1</v>
      </c>
      <c r="AE323" s="54" t="s">
        <v>302</v>
      </c>
      <c r="AF323" s="58">
        <v>46242</v>
      </c>
      <c r="AG323" s="62" t="s">
        <v>293</v>
      </c>
      <c r="AH323" s="54">
        <v>0</v>
      </c>
      <c r="AI323" s="54"/>
      <c r="AJ323" s="54"/>
      <c r="AK323" s="54"/>
      <c r="AL323" s="54"/>
      <c r="AM323" s="54">
        <v>125</v>
      </c>
      <c r="AN323" s="54"/>
      <c r="AO323" s="54"/>
      <c r="AP323" s="54"/>
      <c r="AQ323" s="54"/>
      <c r="AR323" s="54"/>
      <c r="AS323" s="54"/>
      <c r="AT323" s="54"/>
      <c r="AU323" s="54">
        <v>0</v>
      </c>
      <c r="AV323" s="54">
        <v>1001</v>
      </c>
      <c r="AW323" s="54"/>
      <c r="AX323" s="59"/>
      <c r="AY323" s="59"/>
      <c r="AZ323" s="59"/>
      <c r="BA323" s="59">
        <v>0</v>
      </c>
      <c r="BB323" s="59">
        <v>0.14000000000000001</v>
      </c>
      <c r="BC323" s="60"/>
      <c r="BD323" s="61"/>
      <c r="BE323" s="62" t="s">
        <v>698</v>
      </c>
      <c r="BF323" s="35">
        <f t="shared" si="0"/>
        <v>4.0600000000000005</v>
      </c>
      <c r="BG323" s="35">
        <f t="shared" si="0"/>
        <v>6.0295000000000001E-2</v>
      </c>
      <c r="BH323" s="35" t="str">
        <f t="shared" si="689"/>
        <v>High</v>
      </c>
      <c r="BI323" s="110">
        <f t="shared" si="690"/>
        <v>0</v>
      </c>
      <c r="BJ323" s="83" t="str">
        <f>VLOOKUP($F323,REP_Info!$D$6:$H$250,5,FALSE)</f>
        <v/>
      </c>
      <c r="BK323" s="30">
        <f t="shared" si="691"/>
        <v>25</v>
      </c>
      <c r="BL323" s="30">
        <f t="shared" si="691"/>
        <v>12.5</v>
      </c>
      <c r="BM323" s="30">
        <f t="shared" si="691"/>
        <v>13.243</v>
      </c>
      <c r="BN323" s="29">
        <f t="shared" si="691"/>
        <v>13.495333333333333</v>
      </c>
      <c r="BO323" s="85" t="str">
        <f t="shared" si="2"/>
        <v>$$$</v>
      </c>
      <c r="BP323" s="88" t="str">
        <f t="shared" si="692"/>
        <v>$$$</v>
      </c>
      <c r="BQ323" s="88" t="str">
        <f t="shared" si="4"/>
        <v>$$$</v>
      </c>
      <c r="BR323" s="88" t="str">
        <f t="shared" si="5"/>
        <v>$$$</v>
      </c>
      <c r="BS323" s="29" t="e">
        <f t="shared" si="693"/>
        <v>#N/A</v>
      </c>
      <c r="BT323" s="29" t="e">
        <f t="shared" si="693"/>
        <v>#N/A</v>
      </c>
      <c r="BU323" s="29" t="e">
        <f t="shared" si="693"/>
        <v>#N/A</v>
      </c>
      <c r="BV323" s="29" t="e">
        <f t="shared" si="693"/>
        <v>#N/A</v>
      </c>
      <c r="BW323" s="29" t="e">
        <f t="shared" si="693"/>
        <v>#N/A</v>
      </c>
      <c r="BX323" s="29" t="e">
        <f t="shared" si="693"/>
        <v>#N/A</v>
      </c>
      <c r="BY323" s="29" t="e">
        <f t="shared" si="693"/>
        <v>#N/A</v>
      </c>
      <c r="BZ323" s="29" t="e">
        <f t="shared" si="693"/>
        <v>#N/A</v>
      </c>
      <c r="CA323" s="29" t="e">
        <f t="shared" si="693"/>
        <v>#N/A</v>
      </c>
      <c r="CB323" s="29" t="e">
        <f t="shared" si="693"/>
        <v>#N/A</v>
      </c>
      <c r="CC323" s="29" t="e">
        <f t="shared" si="693"/>
        <v>#N/A</v>
      </c>
      <c r="CD323" s="29" t="e">
        <f t="shared" si="693"/>
        <v>#N/A</v>
      </c>
      <c r="CE323" s="6" t="str">
        <f t="shared" si="550"/>
        <v/>
      </c>
      <c r="CF323" s="27" t="e">
        <f>IF(AND(CI323,NOT(AD323)),LOOKUP(CF$5,{0,750,1500},H323:J323),"")</f>
        <v>#N/A</v>
      </c>
      <c r="CG323" s="6" t="str">
        <f t="shared" si="551"/>
        <v/>
      </c>
      <c r="CH323" t="e">
        <f t="shared" si="694"/>
        <v>#N/A</v>
      </c>
      <c r="CI323" t="e">
        <f t="shared" si="695"/>
        <v>#N/A</v>
      </c>
      <c r="CJ323" s="6" t="e">
        <f t="shared" si="11"/>
        <v>#N/A</v>
      </c>
      <c r="CK323" s="6">
        <f t="shared" si="12"/>
        <v>1</v>
      </c>
      <c r="CL323" s="6">
        <f t="shared" si="26"/>
        <v>1</v>
      </c>
      <c r="CM323" s="6">
        <f t="shared" si="13"/>
        <v>1</v>
      </c>
      <c r="CN323" s="6">
        <f t="shared" si="14"/>
        <v>1</v>
      </c>
      <c r="CO323" s="6">
        <f t="shared" si="15"/>
        <v>1</v>
      </c>
      <c r="CP323" s="6">
        <f t="shared" si="16"/>
        <v>1</v>
      </c>
      <c r="CQ323" s="6">
        <f t="shared" si="696"/>
        <v>1</v>
      </c>
      <c r="CR323" s="81" t="str">
        <f t="shared" si="17"/>
        <v/>
      </c>
      <c r="CS323">
        <f t="shared" si="697"/>
        <v>0</v>
      </c>
      <c r="CT323">
        <f t="shared" si="666"/>
        <v>200</v>
      </c>
      <c r="CU323" t="str">
        <f t="shared" si="29"/>
        <v/>
      </c>
      <c r="CV323" s="81">
        <f t="shared" si="698"/>
        <v>200</v>
      </c>
      <c r="CW323" s="81">
        <f>(CV323/25)^1.5*(Calculator!$BU$4/10000)*CW$5</f>
        <v>58.426389194959008</v>
      </c>
      <c r="CX323" t="str">
        <f t="shared" si="699"/>
        <v>$200</v>
      </c>
    </row>
    <row r="324" spans="2:102" x14ac:dyDescent="0.25">
      <c r="B324" s="115" t="s">
        <v>233</v>
      </c>
      <c r="C324" s="13">
        <v>46252.407638888886</v>
      </c>
      <c r="D324">
        <v>35986</v>
      </c>
      <c r="E324" s="54" t="s">
        <v>235</v>
      </c>
      <c r="F324" s="54" t="s">
        <v>697</v>
      </c>
      <c r="G324" s="54" t="s">
        <v>666</v>
      </c>
      <c r="H324" s="55">
        <v>11.3</v>
      </c>
      <c r="I324" s="55">
        <v>10.8</v>
      </c>
      <c r="J324" s="55">
        <v>10.5</v>
      </c>
      <c r="K324" s="54"/>
      <c r="L324" s="56" t="b">
        <v>0</v>
      </c>
      <c r="M324" s="56" t="b">
        <v>0</v>
      </c>
      <c r="N324" s="54">
        <v>1</v>
      </c>
      <c r="O324" s="54" t="s">
        <v>228</v>
      </c>
      <c r="P324" s="54">
        <v>37</v>
      </c>
      <c r="Q324" s="54">
        <v>6</v>
      </c>
      <c r="R324" s="54">
        <v>100</v>
      </c>
      <c r="S324" s="54" t="s">
        <v>1672</v>
      </c>
      <c r="T324" s="54"/>
      <c r="U324" s="54" t="s">
        <v>1665</v>
      </c>
      <c r="V324" s="54" t="s">
        <v>1684</v>
      </c>
      <c r="W324" s="54" t="b">
        <v>0</v>
      </c>
      <c r="X324" s="54"/>
      <c r="Y324" s="57" t="s">
        <v>1685</v>
      </c>
      <c r="Z324" s="54" t="s">
        <v>1819</v>
      </c>
      <c r="AA324" s="54"/>
      <c r="AB324" s="54" t="s">
        <v>1675</v>
      </c>
      <c r="AC324" s="56" t="b">
        <v>1</v>
      </c>
      <c r="AD324" s="56" t="b">
        <v>0</v>
      </c>
      <c r="AE324" s="54" t="s">
        <v>302</v>
      </c>
      <c r="AF324" s="58">
        <v>46252</v>
      </c>
      <c r="AG324" s="62" t="s">
        <v>293</v>
      </c>
      <c r="AH324" s="54">
        <v>0</v>
      </c>
      <c r="AI324" s="54"/>
      <c r="AJ324" s="54"/>
      <c r="AK324" s="54"/>
      <c r="AL324" s="54"/>
      <c r="AM324" s="54">
        <v>0</v>
      </c>
      <c r="AN324" s="54"/>
      <c r="AO324" s="54"/>
      <c r="AP324" s="54"/>
      <c r="AQ324" s="54"/>
      <c r="AR324" s="54"/>
      <c r="AS324" s="54"/>
      <c r="AT324" s="54"/>
      <c r="AU324" s="54"/>
      <c r="AV324" s="54"/>
      <c r="AW324" s="54"/>
      <c r="AX324" s="59"/>
      <c r="AY324" s="59"/>
      <c r="AZ324" s="59"/>
      <c r="BA324" s="59"/>
      <c r="BB324" s="59">
        <v>5.2900000000000003E-2</v>
      </c>
      <c r="BC324" s="60">
        <v>4.9000000000000004</v>
      </c>
      <c r="BD324" s="61">
        <v>4.9811000000000001E-2</v>
      </c>
      <c r="BE324" s="62" t="s">
        <v>293</v>
      </c>
      <c r="BF324" s="35">
        <f t="shared" si="0"/>
        <v>4.9000000000000004</v>
      </c>
      <c r="BG324" s="35">
        <f t="shared" si="0"/>
        <v>4.9811000000000001E-2</v>
      </c>
      <c r="BH324" s="35" t="str">
        <f t="shared" si="689"/>
        <v>Low</v>
      </c>
      <c r="BI324" s="110">
        <f t="shared" si="690"/>
        <v>0</v>
      </c>
      <c r="BJ324" s="83" t="str">
        <f>VLOOKUP($F324,REP_Info!$D$6:$H$250,5,FALSE)</f>
        <v/>
      </c>
      <c r="BK324" s="30">
        <f t="shared" si="691"/>
        <v>11.251100000000001</v>
      </c>
      <c r="BL324" s="30">
        <f t="shared" si="691"/>
        <v>10.761100000000001</v>
      </c>
      <c r="BM324" s="30">
        <f t="shared" si="691"/>
        <v>10.5161</v>
      </c>
      <c r="BN324" s="29">
        <f t="shared" si="691"/>
        <v>10.434433333333335</v>
      </c>
      <c r="BO324" s="85" t="str">
        <f t="shared" si="2"/>
        <v>$$$</v>
      </c>
      <c r="BP324" s="88" t="str">
        <f t="shared" si="692"/>
        <v>$$$</v>
      </c>
      <c r="BQ324" s="88" t="str">
        <f t="shared" si="4"/>
        <v>$$$</v>
      </c>
      <c r="BR324" s="88" t="str">
        <f t="shared" si="5"/>
        <v>$$$</v>
      </c>
      <c r="BS324" s="29" t="e">
        <f t="shared" si="693"/>
        <v>#N/A</v>
      </c>
      <c r="BT324" s="29" t="e">
        <f t="shared" si="693"/>
        <v>#N/A</v>
      </c>
      <c r="BU324" s="29" t="e">
        <f t="shared" si="693"/>
        <v>#N/A</v>
      </c>
      <c r="BV324" s="29" t="e">
        <f t="shared" si="693"/>
        <v>#N/A</v>
      </c>
      <c r="BW324" s="29" t="e">
        <f t="shared" si="693"/>
        <v>#N/A</v>
      </c>
      <c r="BX324" s="29" t="e">
        <f t="shared" si="693"/>
        <v>#N/A</v>
      </c>
      <c r="BY324" s="29" t="e">
        <f t="shared" si="693"/>
        <v>#N/A</v>
      </c>
      <c r="BZ324" s="29" t="e">
        <f t="shared" si="693"/>
        <v>#N/A</v>
      </c>
      <c r="CA324" s="29" t="e">
        <f t="shared" si="693"/>
        <v>#N/A</v>
      </c>
      <c r="CB324" s="29" t="e">
        <f t="shared" si="693"/>
        <v>#N/A</v>
      </c>
      <c r="CC324" s="29" t="e">
        <f t="shared" si="693"/>
        <v>#N/A</v>
      </c>
      <c r="CD324" s="29" t="e">
        <f t="shared" si="693"/>
        <v>#N/A</v>
      </c>
      <c r="CE324" s="6" t="str">
        <f t="shared" si="550"/>
        <v/>
      </c>
      <c r="CF324" s="27" t="e">
        <f>IF(AND(CI324,NOT(AD324)),LOOKUP(CF$5,{0,750,1500},H324:J324),"")</f>
        <v>#N/A</v>
      </c>
      <c r="CG324" s="6" t="str">
        <f t="shared" si="551"/>
        <v/>
      </c>
      <c r="CH324" t="e">
        <f t="shared" si="694"/>
        <v>#N/A</v>
      </c>
      <c r="CI324" t="e">
        <f t="shared" si="695"/>
        <v>#N/A</v>
      </c>
      <c r="CJ324" s="6" t="e">
        <f t="shared" si="11"/>
        <v>#N/A</v>
      </c>
      <c r="CK324" s="6">
        <f t="shared" si="12"/>
        <v>1</v>
      </c>
      <c r="CL324" s="6">
        <f t="shared" si="26"/>
        <v>1</v>
      </c>
      <c r="CM324" s="6">
        <f t="shared" si="13"/>
        <v>1</v>
      </c>
      <c r="CN324" s="6">
        <f t="shared" si="14"/>
        <v>0</v>
      </c>
      <c r="CO324" s="6">
        <f t="shared" si="15"/>
        <v>1</v>
      </c>
      <c r="CP324" s="6">
        <f t="shared" si="16"/>
        <v>1</v>
      </c>
      <c r="CQ324" s="6">
        <f t="shared" si="696"/>
        <v>1</v>
      </c>
      <c r="CR324" s="81" t="str">
        <f t="shared" si="17"/>
        <v/>
      </c>
      <c r="CS324">
        <f t="shared" si="697"/>
        <v>18</v>
      </c>
      <c r="CT324">
        <f t="shared" si="666"/>
        <v>100</v>
      </c>
      <c r="CU324" t="str">
        <f t="shared" si="29"/>
        <v/>
      </c>
      <c r="CV324" s="81">
        <f t="shared" si="698"/>
        <v>100</v>
      </c>
      <c r="CW324" s="81">
        <f>(CV324/25)^1.5*(Calculator!$BU$4/10000)*CW$5</f>
        <v>20.656847999999979</v>
      </c>
      <c r="CX324" t="str">
        <f t="shared" si="699"/>
        <v>$100</v>
      </c>
    </row>
    <row r="325" spans="2:102" x14ac:dyDescent="0.25">
      <c r="B325" s="115" t="s">
        <v>233</v>
      </c>
      <c r="C325" s="13">
        <v>46252.407638888886</v>
      </c>
      <c r="D325">
        <v>35990</v>
      </c>
      <c r="E325" s="54" t="s">
        <v>237</v>
      </c>
      <c r="F325" s="54" t="s">
        <v>697</v>
      </c>
      <c r="G325" s="54" t="s">
        <v>666</v>
      </c>
      <c r="H325" s="55">
        <v>11.899999999999999</v>
      </c>
      <c r="I325" s="55">
        <v>11.5</v>
      </c>
      <c r="J325" s="55">
        <v>11.3</v>
      </c>
      <c r="K325" s="54"/>
      <c r="L325" s="56" t="b">
        <v>0</v>
      </c>
      <c r="M325" s="56" t="b">
        <v>0</v>
      </c>
      <c r="N325" s="54">
        <v>1</v>
      </c>
      <c r="O325" s="54" t="s">
        <v>228</v>
      </c>
      <c r="P325" s="54">
        <v>37</v>
      </c>
      <c r="Q325" s="54">
        <v>6</v>
      </c>
      <c r="R325" s="54">
        <v>100</v>
      </c>
      <c r="S325" s="54" t="s">
        <v>1672</v>
      </c>
      <c r="T325" s="54"/>
      <c r="U325" s="54" t="s">
        <v>1666</v>
      </c>
      <c r="V325" s="54" t="s">
        <v>1686</v>
      </c>
      <c r="W325" s="54" t="b">
        <v>0</v>
      </c>
      <c r="X325" s="54"/>
      <c r="Y325" s="57" t="s">
        <v>1687</v>
      </c>
      <c r="Z325" s="54" t="s">
        <v>1819</v>
      </c>
      <c r="AA325" s="54"/>
      <c r="AB325" s="54" t="s">
        <v>1675</v>
      </c>
      <c r="AC325" s="56" t="b">
        <v>1</v>
      </c>
      <c r="AD325" s="56" t="b">
        <v>0</v>
      </c>
      <c r="AE325" s="54" t="s">
        <v>302</v>
      </c>
      <c r="AF325" s="58">
        <v>46252</v>
      </c>
      <c r="AG325" s="62" t="s">
        <v>293</v>
      </c>
      <c r="AH325" s="54">
        <v>0</v>
      </c>
      <c r="AI325" s="54"/>
      <c r="AJ325" s="54"/>
      <c r="AK325" s="54"/>
      <c r="AL325" s="54"/>
      <c r="AM325" s="54">
        <v>0</v>
      </c>
      <c r="AN325" s="54"/>
      <c r="AO325" s="54"/>
      <c r="AP325" s="54"/>
      <c r="AQ325" s="54"/>
      <c r="AR325" s="54"/>
      <c r="AS325" s="54"/>
      <c r="AT325" s="54"/>
      <c r="AU325" s="54"/>
      <c r="AV325" s="54"/>
      <c r="AW325" s="54"/>
      <c r="AX325" s="59"/>
      <c r="AY325" s="59"/>
      <c r="AZ325" s="59"/>
      <c r="BA325" s="59"/>
      <c r="BB325" s="59">
        <v>5.0900000000000001E-2</v>
      </c>
      <c r="BC325" s="60">
        <v>4.0599999999999996</v>
      </c>
      <c r="BD325" s="61">
        <v>6.0295000000000001E-2</v>
      </c>
      <c r="BE325" s="62" t="s">
        <v>293</v>
      </c>
      <c r="BF325" s="35">
        <f t="shared" ref="BF325:BG325" si="700">IF($E325=$E$4,BF$4,IF($E325=$E$5,BF$5,""))</f>
        <v>4.0600000000000005</v>
      </c>
      <c r="BG325" s="35">
        <f t="shared" si="700"/>
        <v>6.0295000000000001E-2</v>
      </c>
      <c r="BH325" s="35" t="str">
        <f t="shared" si="689"/>
        <v>Low</v>
      </c>
      <c r="BI325" s="110">
        <f t="shared" si="690"/>
        <v>0</v>
      </c>
      <c r="BJ325" s="83" t="str">
        <f>VLOOKUP($F325,REP_Info!$D$6:$H$250,5,FALSE)</f>
        <v/>
      </c>
      <c r="BK325" s="30">
        <f t="shared" si="691"/>
        <v>11.9315</v>
      </c>
      <c r="BL325" s="30">
        <f t="shared" si="691"/>
        <v>11.525499999999999</v>
      </c>
      <c r="BM325" s="30">
        <f t="shared" si="691"/>
        <v>11.3225</v>
      </c>
      <c r="BN325" s="29">
        <f t="shared" si="691"/>
        <v>11.254833333333334</v>
      </c>
      <c r="BO325" s="85" t="str">
        <f t="shared" ref="BO325" si="701">IFERROR(SUMPRODUCT($BS$7:$CD$7,$BS325:$CD325)/100,"$$$")</f>
        <v>$$$</v>
      </c>
      <c r="BP325" s="88" t="str">
        <f t="shared" si="692"/>
        <v>$$$</v>
      </c>
      <c r="BQ325" s="88" t="str">
        <f t="shared" ref="BQ325" si="702">IFERROR(SUMPRODUCT($BS$7:$CD$7,$BS325:$CD325,--($BS$4:$CD$4&lt;=$Q325))/SUMPRODUCT(--($BS$4:$CD$4&lt;=$Q325),$BS$7:$CD$7),"$$$")</f>
        <v>$$$</v>
      </c>
      <c r="BR325" s="88" t="str">
        <f t="shared" ref="BR325" si="703">IFERROR($BQ325-$BF325*100*SUMPRODUCT(--($BS$4:$CD$4&lt;=$Q325))/SUMPRODUCT(--($BS$4:$CD$4&lt;=$Q325),$BS$7:$CD$7)-$BG325*100,"$$$")</f>
        <v>$$$</v>
      </c>
      <c r="BS325" s="29" t="e">
        <f t="shared" si="693"/>
        <v>#N/A</v>
      </c>
      <c r="BT325" s="29" t="e">
        <f t="shared" si="693"/>
        <v>#N/A</v>
      </c>
      <c r="BU325" s="29" t="e">
        <f t="shared" si="693"/>
        <v>#N/A</v>
      </c>
      <c r="BV325" s="29" t="e">
        <f t="shared" si="693"/>
        <v>#N/A</v>
      </c>
      <c r="BW325" s="29" t="e">
        <f t="shared" si="693"/>
        <v>#N/A</v>
      </c>
      <c r="BX325" s="29" t="e">
        <f t="shared" si="693"/>
        <v>#N/A</v>
      </c>
      <c r="BY325" s="29" t="e">
        <f t="shared" si="693"/>
        <v>#N/A</v>
      </c>
      <c r="BZ325" s="29" t="e">
        <f t="shared" si="693"/>
        <v>#N/A</v>
      </c>
      <c r="CA325" s="29" t="e">
        <f t="shared" si="693"/>
        <v>#N/A</v>
      </c>
      <c r="CB325" s="29" t="e">
        <f t="shared" si="693"/>
        <v>#N/A</v>
      </c>
      <c r="CC325" s="29" t="e">
        <f t="shared" si="693"/>
        <v>#N/A</v>
      </c>
      <c r="CD325" s="29" t="e">
        <f t="shared" si="693"/>
        <v>#N/A</v>
      </c>
      <c r="CE325" s="6" t="str">
        <f t="shared" si="550"/>
        <v/>
      </c>
      <c r="CF325" s="27" t="e">
        <f>IF(AND(CI325,NOT(AD325)),LOOKUP(CF$5,{0,750,1500},H325:J325),"")</f>
        <v>#N/A</v>
      </c>
      <c r="CG325" s="6" t="str">
        <f t="shared" si="551"/>
        <v/>
      </c>
      <c r="CH325" t="e">
        <f t="shared" si="694"/>
        <v>#N/A</v>
      </c>
      <c r="CI325" t="e">
        <f t="shared" si="695"/>
        <v>#N/A</v>
      </c>
      <c r="CJ325" s="6" t="e">
        <f t="shared" ref="CJ325" si="704">IF($E325=CJ$5,1,0)</f>
        <v>#N/A</v>
      </c>
      <c r="CK325" s="6">
        <f t="shared" ref="CK325" si="705">IF(CK$5="[Any]",1,IF($F325=CK$5,1,0))</f>
        <v>1</v>
      </c>
      <c r="CL325" s="6">
        <f t="shared" si="26"/>
        <v>1</v>
      </c>
      <c r="CM325" s="6">
        <f t="shared" ref="CM325" si="706">IF($O325="Fixed",1,0)</f>
        <v>1</v>
      </c>
      <c r="CN325" s="6">
        <f t="shared" ref="CN325" si="707">IF($Q325&gt;=CN$5,1,0)</f>
        <v>0</v>
      </c>
      <c r="CO325" s="6">
        <f t="shared" ref="CO325" si="708">IF($Q325&lt;=CO$5,1,0)</f>
        <v>1</v>
      </c>
      <c r="CP325" s="6">
        <f t="shared" ref="CP325" si="709">IF($P325&gt;=CP$5,1,0)</f>
        <v>1</v>
      </c>
      <c r="CQ325" s="6">
        <f t="shared" si="696"/>
        <v>1</v>
      </c>
      <c r="CR325" s="81" t="str">
        <f t="shared" ref="CR325" si="710">IF(ISNUMBER($CH325),$CH325+$CS325+$CW325,"")</f>
        <v/>
      </c>
      <c r="CS325">
        <f t="shared" si="697"/>
        <v>18</v>
      </c>
      <c r="CT325">
        <f t="shared" si="666"/>
        <v>100</v>
      </c>
      <c r="CU325" t="str">
        <f t="shared" si="29"/>
        <v/>
      </c>
      <c r="CV325" s="81">
        <f t="shared" si="698"/>
        <v>100</v>
      </c>
      <c r="CW325" s="81">
        <f>(CV325/25)^1.5*(Calculator!$BU$4/10000)*CW$5</f>
        <v>20.656847999999979</v>
      </c>
      <c r="CX325" t="str">
        <f t="shared" si="699"/>
        <v>$100</v>
      </c>
    </row>
    <row r="326" spans="2:102" x14ac:dyDescent="0.25">
      <c r="B326" s="115" t="s">
        <v>233</v>
      </c>
      <c r="C326" s="13">
        <v>46253.410416666666</v>
      </c>
      <c r="D326">
        <v>34473</v>
      </c>
      <c r="E326" s="54" t="s">
        <v>235</v>
      </c>
      <c r="F326" s="54" t="s">
        <v>699</v>
      </c>
      <c r="G326" s="54" t="s">
        <v>700</v>
      </c>
      <c r="H326" s="55">
        <v>14.799999999999999</v>
      </c>
      <c r="I326" s="55">
        <v>13.8</v>
      </c>
      <c r="J326" s="55">
        <v>13.3</v>
      </c>
      <c r="K326" s="54"/>
      <c r="L326" s="56" t="b">
        <v>0</v>
      </c>
      <c r="M326" s="56" t="b">
        <v>0</v>
      </c>
      <c r="N326" s="54">
        <v>1</v>
      </c>
      <c r="O326" s="54" t="s">
        <v>228</v>
      </c>
      <c r="P326" s="54">
        <v>100</v>
      </c>
      <c r="Q326" s="54">
        <v>12</v>
      </c>
      <c r="R326" s="54">
        <v>200</v>
      </c>
      <c r="S326" s="54" t="s">
        <v>701</v>
      </c>
      <c r="T326" s="54" t="s">
        <v>702</v>
      </c>
      <c r="U326" s="54" t="s">
        <v>703</v>
      </c>
      <c r="V326" s="54" t="s">
        <v>704</v>
      </c>
      <c r="W326" s="54" t="b">
        <v>0</v>
      </c>
      <c r="X326" s="54"/>
      <c r="Y326" s="57" t="s">
        <v>705</v>
      </c>
      <c r="Z326" s="54" t="s">
        <v>706</v>
      </c>
      <c r="AA326" s="54"/>
      <c r="AB326" s="54" t="s">
        <v>707</v>
      </c>
      <c r="AC326" s="56" t="b">
        <v>1</v>
      </c>
      <c r="AD326" s="56" t="b">
        <v>0</v>
      </c>
      <c r="AE326" s="54" t="s">
        <v>302</v>
      </c>
      <c r="AF326" s="58">
        <v>46252</v>
      </c>
      <c r="AG326" s="62" t="s">
        <v>293</v>
      </c>
      <c r="AH326" s="54">
        <v>0</v>
      </c>
      <c r="AI326" s="54"/>
      <c r="AJ326" s="54"/>
      <c r="AK326" s="54"/>
      <c r="AL326" s="54"/>
      <c r="AM326" s="54">
        <v>4.95</v>
      </c>
      <c r="AN326" s="54"/>
      <c r="AO326" s="54"/>
      <c r="AP326" s="54"/>
      <c r="AQ326" s="54"/>
      <c r="AR326" s="54"/>
      <c r="AS326" s="54"/>
      <c r="AT326" s="54"/>
      <c r="AU326" s="54"/>
      <c r="AV326" s="54"/>
      <c r="AW326" s="54"/>
      <c r="AX326" s="59"/>
      <c r="AY326" s="59"/>
      <c r="AZ326" s="59"/>
      <c r="BA326" s="59"/>
      <c r="BB326" s="59">
        <v>7.8E-2</v>
      </c>
      <c r="BC326" s="60">
        <v>4.9000000000000004</v>
      </c>
      <c r="BD326" s="61">
        <v>4.9811000000000001E-2</v>
      </c>
      <c r="BE326" s="62" t="s">
        <v>293</v>
      </c>
      <c r="BF326" s="35">
        <f t="shared" si="0"/>
        <v>4.9000000000000004</v>
      </c>
      <c r="BG326" s="35">
        <f t="shared" si="0"/>
        <v>4.9811000000000001E-2</v>
      </c>
      <c r="BH326" s="35" t="str">
        <f t="shared" ref="BH326:BH328" si="711">IF(ISTEXT(BE326),IF(AND(AV326=0,SUM(AN326:AQ326)=0),IF(AM326&lt;=0,IF(BE326="Y","Low","Flat"),"Med"),"High"),"?")</f>
        <v>Med</v>
      </c>
      <c r="BI326" s="110">
        <f t="shared" ref="BI326:BI328" si="712">IF(ISNUMBER(AH326),0*BI$5*SIN((EDATE($A$3,$Q326)-DATE(YEAR(EDATE($A$3,$Q326)),1,0)-BI$4)*2*PI()/365),"")</f>
        <v>0</v>
      </c>
      <c r="BJ326" s="83" t="str">
        <f>VLOOKUP($F326,REP_Info!$D$6:$H$250,5,FALSE)</f>
        <v/>
      </c>
      <c r="BK326" s="30">
        <f t="shared" ref="BK326:BN328" si="713">IF(BK$7&gt;0,(LOOKUP(BK$7,$AH326:$AL326,$AM326:$AQ326)+IF($AG326="Y",SUMPRODUCT($AX326:$BB326-$AW326:$BA326,BK$7-$AR326:$AV326,N(BK$7&gt;$AR326:$AV326)),BK$7*LOOKUP(BK$7,$AR326:$AV326,$AX326:$BB326))+IF($BE326="Y",$BF326,$BC326)+BK$7*IF($BE326="Y",$BG326,$BD326))*100/BK$7,"")</f>
        <v>14.751100000000001</v>
      </c>
      <c r="BL326" s="30">
        <f t="shared" si="713"/>
        <v>13.7661</v>
      </c>
      <c r="BM326" s="30">
        <f t="shared" si="713"/>
        <v>13.273599999999998</v>
      </c>
      <c r="BN326" s="29">
        <f t="shared" si="713"/>
        <v>13.109433333333333</v>
      </c>
      <c r="BO326" s="85" t="str">
        <f t="shared" si="2"/>
        <v>$$$</v>
      </c>
      <c r="BP326" s="88" t="str">
        <f t="shared" ref="BP326:BP328" si="714">IFERROR(BO326*100/BO$5,"$$$")</f>
        <v>$$$</v>
      </c>
      <c r="BQ326" s="88" t="str">
        <f t="shared" si="4"/>
        <v>$$$</v>
      </c>
      <c r="BR326" s="88" t="str">
        <f t="shared" si="5"/>
        <v>$$$</v>
      </c>
      <c r="BS326" s="29" t="e">
        <f t="shared" ref="BS326:CD328" si="715">IF($CI326,IF(BS$7&gt;0,IF(BS$4&gt;$Q326,$BF326+BS$7*(BS$5+$BG326+$BI326),LOOKUP(BS$7,$AH326:$AL326,$AM326:$AQ326)+IF($AG326="Y",SUMPRODUCT($AX326:$BB326-$AW326:$BA326,BS$7-$AR326:$AV326,N(BS$7&gt;$AR326:$AV326)),BS$7*LOOKUP(BS$7,$AR326:$AV326,$AX326:$BB326))+IF($BE326="Y",$BF326,$BC326)+BS$7*IF($BE326="Y",$BG326,$BD326))*100/BS$7,""),NA())</f>
        <v>#N/A</v>
      </c>
      <c r="BT326" s="29" t="e">
        <f t="shared" si="715"/>
        <v>#N/A</v>
      </c>
      <c r="BU326" s="29" t="e">
        <f t="shared" si="715"/>
        <v>#N/A</v>
      </c>
      <c r="BV326" s="29" t="e">
        <f t="shared" si="715"/>
        <v>#N/A</v>
      </c>
      <c r="BW326" s="29" t="e">
        <f t="shared" si="715"/>
        <v>#N/A</v>
      </c>
      <c r="BX326" s="29" t="e">
        <f t="shared" si="715"/>
        <v>#N/A</v>
      </c>
      <c r="BY326" s="29" t="e">
        <f t="shared" si="715"/>
        <v>#N/A</v>
      </c>
      <c r="BZ326" s="29" t="e">
        <f t="shared" si="715"/>
        <v>#N/A</v>
      </c>
      <c r="CA326" s="29" t="e">
        <f t="shared" si="715"/>
        <v>#N/A</v>
      </c>
      <c r="CB326" s="29" t="e">
        <f t="shared" si="715"/>
        <v>#N/A</v>
      </c>
      <c r="CC326" s="29" t="e">
        <f t="shared" si="715"/>
        <v>#N/A</v>
      </c>
      <c r="CD326" s="29" t="e">
        <f t="shared" si="715"/>
        <v>#N/A</v>
      </c>
      <c r="CE326" s="6" t="str">
        <f t="shared" si="550"/>
        <v/>
      </c>
      <c r="CF326" s="27" t="e">
        <f>IF(AND(CI326,NOT(AD326)),LOOKUP(CF$5,{0,750,1500},H326:J326),"")</f>
        <v>#N/A</v>
      </c>
      <c r="CG326" s="6" t="str">
        <f t="shared" si="551"/>
        <v/>
      </c>
      <c r="CH326" t="e">
        <f t="shared" ref="CH326:CH328" si="716">IF(CI326,IF(ISNUMBER(BO326),BO326,100000)+CV326/10000+IF(ISNUMBER(BJ326),BJ326,2)/10000-P326/100000+ROW()/10000000,"")</f>
        <v>#N/A</v>
      </c>
      <c r="CI326" t="e">
        <f t="shared" ref="CI326:CI328" si="717">PRODUCT(CJ326:CQ326)</f>
        <v>#N/A</v>
      </c>
      <c r="CJ326" s="6" t="e">
        <f t="shared" si="11"/>
        <v>#N/A</v>
      </c>
      <c r="CK326" s="6">
        <f t="shared" si="12"/>
        <v>1</v>
      </c>
      <c r="CL326" s="6">
        <f t="shared" si="26"/>
        <v>1</v>
      </c>
      <c r="CM326" s="6">
        <f t="shared" si="13"/>
        <v>1</v>
      </c>
      <c r="CN326" s="6">
        <f t="shared" si="14"/>
        <v>1</v>
      </c>
      <c r="CO326" s="6">
        <f t="shared" si="15"/>
        <v>1</v>
      </c>
      <c r="CP326" s="6">
        <f t="shared" si="16"/>
        <v>1</v>
      </c>
      <c r="CQ326" s="6">
        <f t="shared" ref="CQ326:CQ328" si="718">IF(CQ$5="Any",1,IF(AND(CQ$5="Med",AV326=0,SUM(AN326:AQ326)=0),1,IF(AND(CQ$5="Low",AV326=0,SUM(AN326:AQ326)=0,AM326=0),1,IF(AND(CQ$5="Flat",AV326=0,SUM(AN326:AQ326)=0,AM326=0,IFERROR(NOT(BE326="Y"),0)),1,0))))</f>
        <v>1</v>
      </c>
      <c r="CR326" s="81" t="str">
        <f t="shared" si="17"/>
        <v/>
      </c>
      <c r="CS326">
        <f t="shared" ref="CS326:CS328" si="719">CS$5*(12/(MIN(12,Q326))-1)</f>
        <v>0</v>
      </c>
      <c r="CT326">
        <f t="shared" si="666"/>
        <v>200</v>
      </c>
      <c r="CU326" t="str">
        <f t="shared" si="29"/>
        <v/>
      </c>
      <c r="CV326" s="81">
        <f t="shared" ref="CV326:CV328" si="720">CT326*IF(CU326="",1,Q326)</f>
        <v>200</v>
      </c>
      <c r="CW326" s="81">
        <f>(CV326/25)^1.5*(Calculator!$BU$4/10000)*CW$5</f>
        <v>58.426389194959008</v>
      </c>
      <c r="CX326" t="str">
        <f t="shared" ref="CX326:CX328" si="721">"$"&amp;IF(LEFT(CU326,1)="r",CT326&amp;"/"&amp;CU326,CV326)</f>
        <v>$200</v>
      </c>
    </row>
    <row r="327" spans="2:102" x14ac:dyDescent="0.25">
      <c r="B327" s="115" t="s">
        <v>233</v>
      </c>
      <c r="C327" s="13">
        <v>46237.767361111109</v>
      </c>
      <c r="D327">
        <v>34475</v>
      </c>
      <c r="E327" s="54" t="s">
        <v>237</v>
      </c>
      <c r="F327" s="54" t="s">
        <v>699</v>
      </c>
      <c r="G327" s="54" t="s">
        <v>700</v>
      </c>
      <c r="H327" s="55">
        <v>15.6</v>
      </c>
      <c r="I327" s="55">
        <v>14.7</v>
      </c>
      <c r="J327" s="55">
        <v>14.299999999999999</v>
      </c>
      <c r="K327" s="54"/>
      <c r="L327" s="56" t="b">
        <v>0</v>
      </c>
      <c r="M327" s="56" t="b">
        <v>0</v>
      </c>
      <c r="N327" s="54">
        <v>1</v>
      </c>
      <c r="O327" s="54" t="s">
        <v>228</v>
      </c>
      <c r="P327" s="54">
        <v>100</v>
      </c>
      <c r="Q327" s="54">
        <v>12</v>
      </c>
      <c r="R327" s="54">
        <v>200</v>
      </c>
      <c r="S327" s="54" t="s">
        <v>701</v>
      </c>
      <c r="T327" s="54" t="s">
        <v>702</v>
      </c>
      <c r="U327" s="54" t="s">
        <v>703</v>
      </c>
      <c r="V327" s="54" t="s">
        <v>704</v>
      </c>
      <c r="W327" s="54" t="b">
        <v>0</v>
      </c>
      <c r="X327" s="54"/>
      <c r="Y327" s="57" t="s">
        <v>708</v>
      </c>
      <c r="Z327" s="54" t="s">
        <v>706</v>
      </c>
      <c r="AA327" s="54"/>
      <c r="AB327" s="54" t="s">
        <v>707</v>
      </c>
      <c r="AC327" s="56" t="b">
        <v>1</v>
      </c>
      <c r="AD327" s="56" t="b">
        <v>0</v>
      </c>
      <c r="AE327" s="54" t="s">
        <v>302</v>
      </c>
      <c r="AF327" s="58">
        <v>46237</v>
      </c>
      <c r="AG327" s="62" t="s">
        <v>293</v>
      </c>
      <c r="AH327" s="54">
        <v>0</v>
      </c>
      <c r="AI327" s="54"/>
      <c r="AJ327" s="54"/>
      <c r="AK327" s="54"/>
      <c r="AL327" s="54"/>
      <c r="AM327" s="54">
        <v>4.95</v>
      </c>
      <c r="AN327" s="54"/>
      <c r="AO327" s="54"/>
      <c r="AP327" s="54"/>
      <c r="AQ327" s="54"/>
      <c r="AR327" s="54"/>
      <c r="AS327" s="54"/>
      <c r="AT327" s="54"/>
      <c r="AU327" s="54"/>
      <c r="AV327" s="54"/>
      <c r="AW327" s="54"/>
      <c r="AX327" s="59"/>
      <c r="AY327" s="59"/>
      <c r="AZ327" s="59"/>
      <c r="BA327" s="59"/>
      <c r="BB327" s="59">
        <v>7.8E-2</v>
      </c>
      <c r="BC327" s="60">
        <v>4.0599999999999996</v>
      </c>
      <c r="BD327" s="61">
        <v>6.0295000000000001E-2</v>
      </c>
      <c r="BE327" s="62" t="s">
        <v>293</v>
      </c>
      <c r="BF327" s="35">
        <f t="shared" si="0"/>
        <v>4.0600000000000005</v>
      </c>
      <c r="BG327" s="35">
        <f t="shared" si="0"/>
        <v>6.0295000000000001E-2</v>
      </c>
      <c r="BH327" s="35" t="str">
        <f t="shared" si="711"/>
        <v>Med</v>
      </c>
      <c r="BI327" s="110">
        <f t="shared" si="712"/>
        <v>0</v>
      </c>
      <c r="BJ327" s="83" t="str">
        <f>VLOOKUP($F327,REP_Info!$D$6:$H$250,5,FALSE)</f>
        <v/>
      </c>
      <c r="BK327" s="30">
        <f t="shared" si="713"/>
        <v>15.631500000000001</v>
      </c>
      <c r="BL327" s="30">
        <f t="shared" si="713"/>
        <v>14.730499999999999</v>
      </c>
      <c r="BM327" s="30">
        <f t="shared" si="713"/>
        <v>14.280000000000001</v>
      </c>
      <c r="BN327" s="29">
        <f t="shared" si="713"/>
        <v>14.129833333333334</v>
      </c>
      <c r="BO327" s="85" t="str">
        <f t="shared" si="2"/>
        <v>$$$</v>
      </c>
      <c r="BP327" s="88" t="str">
        <f t="shared" si="714"/>
        <v>$$$</v>
      </c>
      <c r="BQ327" s="88" t="str">
        <f t="shared" si="4"/>
        <v>$$$</v>
      </c>
      <c r="BR327" s="88" t="str">
        <f t="shared" si="5"/>
        <v>$$$</v>
      </c>
      <c r="BS327" s="29" t="e">
        <f t="shared" si="715"/>
        <v>#N/A</v>
      </c>
      <c r="BT327" s="29" t="e">
        <f t="shared" si="715"/>
        <v>#N/A</v>
      </c>
      <c r="BU327" s="29" t="e">
        <f t="shared" si="715"/>
        <v>#N/A</v>
      </c>
      <c r="BV327" s="29" t="e">
        <f t="shared" si="715"/>
        <v>#N/A</v>
      </c>
      <c r="BW327" s="29" t="e">
        <f t="shared" si="715"/>
        <v>#N/A</v>
      </c>
      <c r="BX327" s="29" t="e">
        <f t="shared" si="715"/>
        <v>#N/A</v>
      </c>
      <c r="BY327" s="29" t="e">
        <f t="shared" si="715"/>
        <v>#N/A</v>
      </c>
      <c r="BZ327" s="29" t="e">
        <f t="shared" si="715"/>
        <v>#N/A</v>
      </c>
      <c r="CA327" s="29" t="e">
        <f t="shared" si="715"/>
        <v>#N/A</v>
      </c>
      <c r="CB327" s="29" t="e">
        <f t="shared" si="715"/>
        <v>#N/A</v>
      </c>
      <c r="CC327" s="29" t="e">
        <f t="shared" si="715"/>
        <v>#N/A</v>
      </c>
      <c r="CD327" s="29" t="e">
        <f t="shared" si="715"/>
        <v>#N/A</v>
      </c>
      <c r="CE327" s="6" t="str">
        <f t="shared" si="550"/>
        <v/>
      </c>
      <c r="CF327" s="27" t="e">
        <f>IF(AND(CI327,NOT(AD327)),LOOKUP(CF$5,{0,750,1500},H327:J327),"")</f>
        <v>#N/A</v>
      </c>
      <c r="CG327" s="6" t="str">
        <f t="shared" si="551"/>
        <v/>
      </c>
      <c r="CH327" t="e">
        <f t="shared" si="716"/>
        <v>#N/A</v>
      </c>
      <c r="CI327" t="e">
        <f t="shared" si="717"/>
        <v>#N/A</v>
      </c>
      <c r="CJ327" s="6" t="e">
        <f t="shared" si="11"/>
        <v>#N/A</v>
      </c>
      <c r="CK327" s="6">
        <f t="shared" si="12"/>
        <v>1</v>
      </c>
      <c r="CL327" s="6">
        <f t="shared" si="26"/>
        <v>1</v>
      </c>
      <c r="CM327" s="6">
        <f t="shared" si="13"/>
        <v>1</v>
      </c>
      <c r="CN327" s="6">
        <f t="shared" si="14"/>
        <v>1</v>
      </c>
      <c r="CO327" s="6">
        <f t="shared" si="15"/>
        <v>1</v>
      </c>
      <c r="CP327" s="6">
        <f t="shared" si="16"/>
        <v>1</v>
      </c>
      <c r="CQ327" s="6">
        <f t="shared" si="718"/>
        <v>1</v>
      </c>
      <c r="CR327" s="81" t="str">
        <f t="shared" si="17"/>
        <v/>
      </c>
      <c r="CS327">
        <f t="shared" si="719"/>
        <v>0</v>
      </c>
      <c r="CT327">
        <f t="shared" si="666"/>
        <v>200</v>
      </c>
      <c r="CU327" t="str">
        <f t="shared" si="29"/>
        <v/>
      </c>
      <c r="CV327" s="81">
        <f t="shared" si="720"/>
        <v>200</v>
      </c>
      <c r="CW327" s="81">
        <f>(CV327/25)^1.5*(Calculator!$BU$4/10000)*CW$5</f>
        <v>58.426389194959008</v>
      </c>
      <c r="CX327" t="str">
        <f t="shared" si="721"/>
        <v>$200</v>
      </c>
    </row>
    <row r="328" spans="2:102" x14ac:dyDescent="0.25">
      <c r="B328" s="115" t="s">
        <v>233</v>
      </c>
      <c r="C328" s="13">
        <v>46253.410416666666</v>
      </c>
      <c r="D328">
        <v>34489</v>
      </c>
      <c r="E328" s="54" t="s">
        <v>235</v>
      </c>
      <c r="F328" s="54" t="s">
        <v>699</v>
      </c>
      <c r="G328" s="54" t="s">
        <v>709</v>
      </c>
      <c r="H328" s="55">
        <v>15.4</v>
      </c>
      <c r="I328" s="55">
        <v>14.399999999999999</v>
      </c>
      <c r="J328" s="55">
        <v>13.900000000000002</v>
      </c>
      <c r="K328" s="54"/>
      <c r="L328" s="56" t="b">
        <v>0</v>
      </c>
      <c r="M328" s="56" t="b">
        <v>0</v>
      </c>
      <c r="N328" s="54">
        <v>1</v>
      </c>
      <c r="O328" s="54" t="s">
        <v>228</v>
      </c>
      <c r="P328" s="54">
        <v>100</v>
      </c>
      <c r="Q328" s="54">
        <v>24</v>
      </c>
      <c r="R328" s="54">
        <v>200</v>
      </c>
      <c r="S328" s="54" t="s">
        <v>701</v>
      </c>
      <c r="T328" s="54" t="s">
        <v>710</v>
      </c>
      <c r="U328" s="54" t="s">
        <v>703</v>
      </c>
      <c r="V328" s="54" t="s">
        <v>704</v>
      </c>
      <c r="W328" s="54" t="b">
        <v>0</v>
      </c>
      <c r="X328" s="54"/>
      <c r="Y328" s="57" t="s">
        <v>711</v>
      </c>
      <c r="Z328" s="54" t="s">
        <v>706</v>
      </c>
      <c r="AA328" s="54"/>
      <c r="AB328" s="54" t="s">
        <v>707</v>
      </c>
      <c r="AC328" s="56" t="b">
        <v>1</v>
      </c>
      <c r="AD328" s="56" t="b">
        <v>0</v>
      </c>
      <c r="AE328" s="54" t="s">
        <v>302</v>
      </c>
      <c r="AF328" s="58">
        <v>46252</v>
      </c>
      <c r="AG328" s="62" t="s">
        <v>293</v>
      </c>
      <c r="AH328" s="54">
        <v>0</v>
      </c>
      <c r="AI328" s="54"/>
      <c r="AJ328" s="54"/>
      <c r="AK328" s="54"/>
      <c r="AL328" s="54"/>
      <c r="AM328" s="54">
        <v>4.95</v>
      </c>
      <c r="AN328" s="54"/>
      <c r="AO328" s="54"/>
      <c r="AP328" s="54"/>
      <c r="AQ328" s="54"/>
      <c r="AR328" s="54"/>
      <c r="AS328" s="54"/>
      <c r="AT328" s="54"/>
      <c r="AU328" s="54"/>
      <c r="AV328" s="54"/>
      <c r="AW328" s="54"/>
      <c r="AX328" s="59"/>
      <c r="AY328" s="59"/>
      <c r="AZ328" s="59"/>
      <c r="BA328" s="59"/>
      <c r="BB328" s="59">
        <v>8.4000000000000005E-2</v>
      </c>
      <c r="BC328" s="60">
        <v>4.9000000000000004</v>
      </c>
      <c r="BD328" s="61">
        <v>4.9811000000000001E-2</v>
      </c>
      <c r="BE328" s="62" t="s">
        <v>293</v>
      </c>
      <c r="BF328" s="35">
        <f t="shared" si="0"/>
        <v>4.9000000000000004</v>
      </c>
      <c r="BG328" s="35">
        <f t="shared" si="0"/>
        <v>4.9811000000000001E-2</v>
      </c>
      <c r="BH328" s="35" t="str">
        <f t="shared" si="711"/>
        <v>Med</v>
      </c>
      <c r="BI328" s="110">
        <f t="shared" si="712"/>
        <v>0</v>
      </c>
      <c r="BJ328" s="83" t="str">
        <f>VLOOKUP($F328,REP_Info!$D$6:$H$250,5,FALSE)</f>
        <v/>
      </c>
      <c r="BK328" s="30">
        <f t="shared" si="713"/>
        <v>15.351100000000001</v>
      </c>
      <c r="BL328" s="30">
        <f t="shared" si="713"/>
        <v>14.366100000000001</v>
      </c>
      <c r="BM328" s="30">
        <f t="shared" si="713"/>
        <v>13.873599999999998</v>
      </c>
      <c r="BN328" s="29">
        <f t="shared" si="713"/>
        <v>13.709433333333335</v>
      </c>
      <c r="BO328" s="85" t="str">
        <f t="shared" si="2"/>
        <v>$$$</v>
      </c>
      <c r="BP328" s="88" t="str">
        <f t="shared" si="714"/>
        <v>$$$</v>
      </c>
      <c r="BQ328" s="88" t="str">
        <f t="shared" si="4"/>
        <v>$$$</v>
      </c>
      <c r="BR328" s="88" t="str">
        <f t="shared" si="5"/>
        <v>$$$</v>
      </c>
      <c r="BS328" s="29" t="e">
        <f t="shared" si="715"/>
        <v>#N/A</v>
      </c>
      <c r="BT328" s="29" t="e">
        <f t="shared" si="715"/>
        <v>#N/A</v>
      </c>
      <c r="BU328" s="29" t="e">
        <f t="shared" si="715"/>
        <v>#N/A</v>
      </c>
      <c r="BV328" s="29" t="e">
        <f t="shared" si="715"/>
        <v>#N/A</v>
      </c>
      <c r="BW328" s="29" t="e">
        <f t="shared" si="715"/>
        <v>#N/A</v>
      </c>
      <c r="BX328" s="29" t="e">
        <f t="shared" si="715"/>
        <v>#N/A</v>
      </c>
      <c r="BY328" s="29" t="e">
        <f t="shared" si="715"/>
        <v>#N/A</v>
      </c>
      <c r="BZ328" s="29" t="e">
        <f t="shared" si="715"/>
        <v>#N/A</v>
      </c>
      <c r="CA328" s="29" t="e">
        <f t="shared" si="715"/>
        <v>#N/A</v>
      </c>
      <c r="CB328" s="29" t="e">
        <f t="shared" si="715"/>
        <v>#N/A</v>
      </c>
      <c r="CC328" s="29" t="e">
        <f t="shared" si="715"/>
        <v>#N/A</v>
      </c>
      <c r="CD328" s="29" t="e">
        <f t="shared" si="715"/>
        <v>#N/A</v>
      </c>
      <c r="CE328" s="6" t="str">
        <f t="shared" si="550"/>
        <v/>
      </c>
      <c r="CF328" s="27" t="e">
        <f>IF(AND(CI328,NOT(AD328)),LOOKUP(CF$5,{0,750,1500},H328:J328),"")</f>
        <v>#N/A</v>
      </c>
      <c r="CG328" s="6" t="str">
        <f t="shared" si="551"/>
        <v/>
      </c>
      <c r="CH328" t="e">
        <f t="shared" si="716"/>
        <v>#N/A</v>
      </c>
      <c r="CI328" t="e">
        <f t="shared" si="717"/>
        <v>#N/A</v>
      </c>
      <c r="CJ328" s="6" t="e">
        <f t="shared" si="11"/>
        <v>#N/A</v>
      </c>
      <c r="CK328" s="6">
        <f t="shared" si="12"/>
        <v>1</v>
      </c>
      <c r="CL328" s="6">
        <f t="shared" si="26"/>
        <v>1</v>
      </c>
      <c r="CM328" s="6">
        <f t="shared" si="13"/>
        <v>1</v>
      </c>
      <c r="CN328" s="6">
        <f t="shared" si="14"/>
        <v>1</v>
      </c>
      <c r="CO328" s="6">
        <f t="shared" si="15"/>
        <v>0</v>
      </c>
      <c r="CP328" s="6">
        <f t="shared" si="16"/>
        <v>1</v>
      </c>
      <c r="CQ328" s="6">
        <f t="shared" si="718"/>
        <v>1</v>
      </c>
      <c r="CR328" s="81" t="str">
        <f t="shared" si="17"/>
        <v/>
      </c>
      <c r="CS328">
        <f t="shared" si="719"/>
        <v>0</v>
      </c>
      <c r="CT328">
        <f t="shared" si="666"/>
        <v>200</v>
      </c>
      <c r="CU328" t="str">
        <f t="shared" si="29"/>
        <v/>
      </c>
      <c r="CV328" s="81">
        <f t="shared" si="720"/>
        <v>200</v>
      </c>
      <c r="CW328" s="81">
        <f>(CV328/25)^1.5*(Calculator!$BU$4/10000)*CW$5</f>
        <v>58.426389194959008</v>
      </c>
      <c r="CX328" t="str">
        <f t="shared" si="721"/>
        <v>$200</v>
      </c>
    </row>
    <row r="329" spans="2:102" x14ac:dyDescent="0.25">
      <c r="B329" s="115" t="s">
        <v>233</v>
      </c>
      <c r="C329" s="13">
        <v>46237.767361111109</v>
      </c>
      <c r="D329">
        <v>34491</v>
      </c>
      <c r="E329" s="54" t="s">
        <v>237</v>
      </c>
      <c r="F329" s="54" t="s">
        <v>699</v>
      </c>
      <c r="G329" s="54" t="s">
        <v>709</v>
      </c>
      <c r="H329" s="55">
        <v>16.2</v>
      </c>
      <c r="I329" s="55">
        <v>15.299999999999999</v>
      </c>
      <c r="J329" s="55">
        <v>14.899999999999999</v>
      </c>
      <c r="K329" s="54"/>
      <c r="L329" s="56" t="b">
        <v>0</v>
      </c>
      <c r="M329" s="56" t="b">
        <v>0</v>
      </c>
      <c r="N329" s="54">
        <v>1</v>
      </c>
      <c r="O329" s="54" t="s">
        <v>228</v>
      </c>
      <c r="P329" s="54">
        <v>100</v>
      </c>
      <c r="Q329" s="54">
        <v>24</v>
      </c>
      <c r="R329" s="54">
        <v>200</v>
      </c>
      <c r="S329" s="54" t="s">
        <v>701</v>
      </c>
      <c r="T329" s="54" t="s">
        <v>710</v>
      </c>
      <c r="U329" s="54" t="s">
        <v>703</v>
      </c>
      <c r="V329" s="54" t="s">
        <v>704</v>
      </c>
      <c r="W329" s="54" t="b">
        <v>0</v>
      </c>
      <c r="X329" s="54"/>
      <c r="Y329" s="57" t="s">
        <v>712</v>
      </c>
      <c r="Z329" s="54" t="s">
        <v>706</v>
      </c>
      <c r="AA329" s="54"/>
      <c r="AB329" s="54" t="s">
        <v>707</v>
      </c>
      <c r="AC329" s="56" t="b">
        <v>1</v>
      </c>
      <c r="AD329" s="56" t="b">
        <v>0</v>
      </c>
      <c r="AE329" s="54" t="s">
        <v>302</v>
      </c>
      <c r="AF329" s="58">
        <v>46237</v>
      </c>
      <c r="AG329" s="62" t="s">
        <v>293</v>
      </c>
      <c r="AH329" s="54">
        <v>0</v>
      </c>
      <c r="AI329" s="54"/>
      <c r="AJ329" s="54"/>
      <c r="AK329" s="54"/>
      <c r="AL329" s="54"/>
      <c r="AM329" s="54">
        <v>4.95</v>
      </c>
      <c r="AN329" s="54"/>
      <c r="AO329" s="54"/>
      <c r="AP329" s="54"/>
      <c r="AQ329" s="54"/>
      <c r="AR329" s="54"/>
      <c r="AS329" s="54"/>
      <c r="AT329" s="54"/>
      <c r="AU329" s="54"/>
      <c r="AV329" s="54"/>
      <c r="AW329" s="54"/>
      <c r="AX329" s="59"/>
      <c r="AY329" s="59"/>
      <c r="AZ329" s="59"/>
      <c r="BA329" s="59"/>
      <c r="BB329" s="59">
        <v>8.4000000000000005E-2</v>
      </c>
      <c r="BC329" s="60">
        <v>4.0599999999999996</v>
      </c>
      <c r="BD329" s="61">
        <v>6.0295000000000001E-2</v>
      </c>
      <c r="BE329" s="62" t="s">
        <v>293</v>
      </c>
      <c r="BF329" s="35">
        <f t="shared" si="0"/>
        <v>4.0600000000000005</v>
      </c>
      <c r="BG329" s="35">
        <f t="shared" si="0"/>
        <v>6.0295000000000001E-2</v>
      </c>
      <c r="BH329" s="35" t="str">
        <f t="shared" ref="BH329:BH330" si="722">IF(ISTEXT(BE329),IF(AND(AV329=0,SUM(AN329:AQ329)=0),IF(AM329&lt;=0,IF(BE329="Y","Low","Flat"),"Med"),"High"),"?")</f>
        <v>Med</v>
      </c>
      <c r="BI329" s="110">
        <f t="shared" ref="BI329:BI330" si="723">IF(ISNUMBER(AH329),0*BI$5*SIN((EDATE($A$3,$Q329)-DATE(YEAR(EDATE($A$3,$Q329)),1,0)-BI$4)*2*PI()/365),"")</f>
        <v>0</v>
      </c>
      <c r="BJ329" s="83" t="str">
        <f>VLOOKUP($F329,REP_Info!$D$6:$H$250,5,FALSE)</f>
        <v/>
      </c>
      <c r="BK329" s="30">
        <f t="shared" ref="BK329:BN330" si="724">IF(BK$7&gt;0,(LOOKUP(BK$7,$AH329:$AL329,$AM329:$AQ329)+IF($AG329="Y",SUMPRODUCT($AX329:$BB329-$AW329:$BA329,BK$7-$AR329:$AV329,N(BK$7&gt;$AR329:$AV329)),BK$7*LOOKUP(BK$7,$AR329:$AV329,$AX329:$BB329))+IF($BE329="Y",$BF329,$BC329)+BK$7*IF($BE329="Y",$BG329,$BD329))*100/BK$7,"")</f>
        <v>16.2315</v>
      </c>
      <c r="BL329" s="30">
        <f t="shared" si="724"/>
        <v>15.330500000000001</v>
      </c>
      <c r="BM329" s="30">
        <f t="shared" si="724"/>
        <v>14.880000000000003</v>
      </c>
      <c r="BN329" s="29">
        <f t="shared" si="724"/>
        <v>14.729833333333335</v>
      </c>
      <c r="BO329" s="85" t="str">
        <f t="shared" si="2"/>
        <v>$$$</v>
      </c>
      <c r="BP329" s="88" t="str">
        <f t="shared" ref="BP329:BP330" si="725">IFERROR(BO329*100/BO$5,"$$$")</f>
        <v>$$$</v>
      </c>
      <c r="BQ329" s="88" t="str">
        <f t="shared" si="4"/>
        <v>$$$</v>
      </c>
      <c r="BR329" s="88" t="str">
        <f t="shared" si="5"/>
        <v>$$$</v>
      </c>
      <c r="BS329" s="29" t="e">
        <f t="shared" ref="BS329:CD330" si="726">IF($CI329,IF(BS$7&gt;0,IF(BS$4&gt;$Q329,$BF329+BS$7*(BS$5+$BG329+$BI329),LOOKUP(BS$7,$AH329:$AL329,$AM329:$AQ329)+IF($AG329="Y",SUMPRODUCT($AX329:$BB329-$AW329:$BA329,BS$7-$AR329:$AV329,N(BS$7&gt;$AR329:$AV329)),BS$7*LOOKUP(BS$7,$AR329:$AV329,$AX329:$BB329))+IF($BE329="Y",$BF329,$BC329)+BS$7*IF($BE329="Y",$BG329,$BD329))*100/BS$7,""),NA())</f>
        <v>#N/A</v>
      </c>
      <c r="BT329" s="29" t="e">
        <f t="shared" si="726"/>
        <v>#N/A</v>
      </c>
      <c r="BU329" s="29" t="e">
        <f t="shared" si="726"/>
        <v>#N/A</v>
      </c>
      <c r="BV329" s="29" t="e">
        <f t="shared" si="726"/>
        <v>#N/A</v>
      </c>
      <c r="BW329" s="29" t="e">
        <f t="shared" si="726"/>
        <v>#N/A</v>
      </c>
      <c r="BX329" s="29" t="e">
        <f t="shared" si="726"/>
        <v>#N/A</v>
      </c>
      <c r="BY329" s="29" t="e">
        <f t="shared" si="726"/>
        <v>#N/A</v>
      </c>
      <c r="BZ329" s="29" t="e">
        <f t="shared" si="726"/>
        <v>#N/A</v>
      </c>
      <c r="CA329" s="29" t="e">
        <f t="shared" si="726"/>
        <v>#N/A</v>
      </c>
      <c r="CB329" s="29" t="e">
        <f t="shared" si="726"/>
        <v>#N/A</v>
      </c>
      <c r="CC329" s="29" t="e">
        <f t="shared" si="726"/>
        <v>#N/A</v>
      </c>
      <c r="CD329" s="29" t="e">
        <f t="shared" si="726"/>
        <v>#N/A</v>
      </c>
      <c r="CE329" s="6" t="str">
        <f t="shared" si="550"/>
        <v/>
      </c>
      <c r="CF329" s="27" t="e">
        <f>IF(AND(CI329,NOT(AD329)),LOOKUP(CF$5,{0,750,1500},H329:J329),"")</f>
        <v>#N/A</v>
      </c>
      <c r="CG329" s="6" t="str">
        <f t="shared" si="551"/>
        <v/>
      </c>
      <c r="CH329" t="e">
        <f t="shared" ref="CH329:CH330" si="727">IF(CI329,IF(ISNUMBER(BO329),BO329,100000)+CV329/10000+IF(ISNUMBER(BJ329),BJ329,2)/10000-P329/100000+ROW()/10000000,"")</f>
        <v>#N/A</v>
      </c>
      <c r="CI329" t="e">
        <f t="shared" ref="CI329:CI330" si="728">PRODUCT(CJ329:CQ329)</f>
        <v>#N/A</v>
      </c>
      <c r="CJ329" s="6" t="e">
        <f t="shared" si="11"/>
        <v>#N/A</v>
      </c>
      <c r="CK329" s="6">
        <f t="shared" si="12"/>
        <v>1</v>
      </c>
      <c r="CL329" s="6">
        <f t="shared" si="26"/>
        <v>1</v>
      </c>
      <c r="CM329" s="6">
        <f t="shared" si="13"/>
        <v>1</v>
      </c>
      <c r="CN329" s="6">
        <f t="shared" si="14"/>
        <v>1</v>
      </c>
      <c r="CO329" s="6">
        <f t="shared" si="15"/>
        <v>0</v>
      </c>
      <c r="CP329" s="6">
        <f t="shared" si="16"/>
        <v>1</v>
      </c>
      <c r="CQ329" s="6">
        <f t="shared" ref="CQ329:CQ330" si="729">IF(CQ$5="Any",1,IF(AND(CQ$5="Med",AV329=0,SUM(AN329:AQ329)=0),1,IF(AND(CQ$5="Low",AV329=0,SUM(AN329:AQ329)=0,AM329=0),1,IF(AND(CQ$5="Flat",AV329=0,SUM(AN329:AQ329)=0,AM329=0,IFERROR(NOT(BE329="Y"),0)),1,0))))</f>
        <v>1</v>
      </c>
      <c r="CR329" s="81" t="str">
        <f t="shared" si="17"/>
        <v/>
      </c>
      <c r="CS329">
        <f t="shared" ref="CS329:CS330" si="730">CS$5*(12/(MIN(12,Q329))-1)</f>
        <v>0</v>
      </c>
      <c r="CT329">
        <f t="shared" si="666"/>
        <v>200</v>
      </c>
      <c r="CU329" t="str">
        <f t="shared" si="29"/>
        <v/>
      </c>
      <c r="CV329" s="81">
        <f t="shared" ref="CV329:CV330" si="731">CT329*IF(CU329="",1,Q329)</f>
        <v>200</v>
      </c>
      <c r="CW329" s="81">
        <f>(CV329/25)^1.5*(Calculator!$BU$4/10000)*CW$5</f>
        <v>58.426389194959008</v>
      </c>
      <c r="CX329" t="str">
        <f t="shared" ref="CX329:CX330" si="732">"$"&amp;IF(LEFT(CU329,1)="r",CT329&amp;"/"&amp;CU329,CV329)</f>
        <v>$200</v>
      </c>
    </row>
    <row r="330" spans="2:102" x14ac:dyDescent="0.25">
      <c r="B330" s="115" t="s">
        <v>233</v>
      </c>
      <c r="C330" s="13">
        <v>46253.410416666666</v>
      </c>
      <c r="D330">
        <v>34702</v>
      </c>
      <c r="E330" s="54" t="s">
        <v>235</v>
      </c>
      <c r="F330" s="54" t="s">
        <v>699</v>
      </c>
      <c r="G330" s="54" t="s">
        <v>713</v>
      </c>
      <c r="H330" s="55">
        <v>12.8</v>
      </c>
      <c r="I330" s="55">
        <v>12.8</v>
      </c>
      <c r="J330" s="55">
        <v>12.8</v>
      </c>
      <c r="K330" s="54"/>
      <c r="L330" s="56" t="b">
        <v>0</v>
      </c>
      <c r="M330" s="56" t="b">
        <v>0</v>
      </c>
      <c r="N330" s="54">
        <v>1</v>
      </c>
      <c r="O330" s="54" t="s">
        <v>228</v>
      </c>
      <c r="P330" s="54">
        <v>100</v>
      </c>
      <c r="Q330" s="54">
        <v>12</v>
      </c>
      <c r="R330" s="54">
        <v>200</v>
      </c>
      <c r="S330" s="54" t="s">
        <v>701</v>
      </c>
      <c r="T330" s="54" t="s">
        <v>714</v>
      </c>
      <c r="U330" s="54" t="s">
        <v>703</v>
      </c>
      <c r="V330" s="54" t="s">
        <v>704</v>
      </c>
      <c r="W330" s="54" t="b">
        <v>0</v>
      </c>
      <c r="X330" s="54"/>
      <c r="Y330" s="57" t="s">
        <v>715</v>
      </c>
      <c r="Z330" s="54" t="s">
        <v>706</v>
      </c>
      <c r="AA330" s="54"/>
      <c r="AB330" s="54" t="s">
        <v>707</v>
      </c>
      <c r="AC330" s="56" t="b">
        <v>1</v>
      </c>
      <c r="AD330" s="56" t="b">
        <v>0</v>
      </c>
      <c r="AE330" s="54" t="s">
        <v>302</v>
      </c>
      <c r="AF330" s="58">
        <v>46252</v>
      </c>
      <c r="AG330" s="62" t="s">
        <v>293</v>
      </c>
      <c r="AH330" s="54">
        <v>0</v>
      </c>
      <c r="AI330" s="54"/>
      <c r="AJ330" s="54"/>
      <c r="AK330" s="54"/>
      <c r="AL330" s="54"/>
      <c r="AM330" s="54">
        <v>-5.05</v>
      </c>
      <c r="AN330" s="54"/>
      <c r="AO330" s="54"/>
      <c r="AP330" s="54"/>
      <c r="AQ330" s="54"/>
      <c r="AR330" s="54"/>
      <c r="AS330" s="54"/>
      <c r="AT330" s="54"/>
      <c r="AU330" s="54"/>
      <c r="AV330" s="54"/>
      <c r="AW330" s="54"/>
      <c r="AX330" s="59"/>
      <c r="AY330" s="59"/>
      <c r="AZ330" s="59"/>
      <c r="BA330" s="59"/>
      <c r="BB330" s="59">
        <v>7.8E-2</v>
      </c>
      <c r="BC330" s="60">
        <v>4.9000000000000004</v>
      </c>
      <c r="BD330" s="61">
        <v>4.9811000000000001E-2</v>
      </c>
      <c r="BE330" s="62" t="s">
        <v>293</v>
      </c>
      <c r="BF330" s="35">
        <f t="shared" si="0"/>
        <v>4.9000000000000004</v>
      </c>
      <c r="BG330" s="35">
        <f t="shared" si="0"/>
        <v>4.9811000000000001E-2</v>
      </c>
      <c r="BH330" s="35" t="str">
        <f t="shared" si="722"/>
        <v>Low</v>
      </c>
      <c r="BI330" s="110">
        <f t="shared" si="723"/>
        <v>0</v>
      </c>
      <c r="BJ330" s="83" t="str">
        <f>VLOOKUP($F330,REP_Info!$D$6:$H$250,5,FALSE)</f>
        <v/>
      </c>
      <c r="BK330" s="30">
        <f t="shared" si="724"/>
        <v>12.751100000000001</v>
      </c>
      <c r="BL330" s="30">
        <f t="shared" si="724"/>
        <v>12.7661</v>
      </c>
      <c r="BM330" s="30">
        <f t="shared" si="724"/>
        <v>12.773599999999998</v>
      </c>
      <c r="BN330" s="29">
        <f t="shared" si="724"/>
        <v>12.776100000000001</v>
      </c>
      <c r="BO330" s="85" t="str">
        <f t="shared" si="2"/>
        <v>$$$</v>
      </c>
      <c r="BP330" s="88" t="str">
        <f t="shared" si="725"/>
        <v>$$$</v>
      </c>
      <c r="BQ330" s="88" t="str">
        <f t="shared" si="4"/>
        <v>$$$</v>
      </c>
      <c r="BR330" s="88" t="str">
        <f t="shared" si="5"/>
        <v>$$$</v>
      </c>
      <c r="BS330" s="29" t="e">
        <f t="shared" si="726"/>
        <v>#N/A</v>
      </c>
      <c r="BT330" s="29" t="e">
        <f t="shared" si="726"/>
        <v>#N/A</v>
      </c>
      <c r="BU330" s="29" t="e">
        <f t="shared" si="726"/>
        <v>#N/A</v>
      </c>
      <c r="BV330" s="29" t="e">
        <f t="shared" si="726"/>
        <v>#N/A</v>
      </c>
      <c r="BW330" s="29" t="e">
        <f t="shared" si="726"/>
        <v>#N/A</v>
      </c>
      <c r="BX330" s="29" t="e">
        <f t="shared" si="726"/>
        <v>#N/A</v>
      </c>
      <c r="BY330" s="29" t="e">
        <f t="shared" si="726"/>
        <v>#N/A</v>
      </c>
      <c r="BZ330" s="29" t="e">
        <f t="shared" si="726"/>
        <v>#N/A</v>
      </c>
      <c r="CA330" s="29" t="e">
        <f t="shared" si="726"/>
        <v>#N/A</v>
      </c>
      <c r="CB330" s="29" t="e">
        <f t="shared" si="726"/>
        <v>#N/A</v>
      </c>
      <c r="CC330" s="29" t="e">
        <f t="shared" si="726"/>
        <v>#N/A</v>
      </c>
      <c r="CD330" s="29" t="e">
        <f t="shared" si="726"/>
        <v>#N/A</v>
      </c>
      <c r="CE330" s="6" t="str">
        <f t="shared" si="550"/>
        <v/>
      </c>
      <c r="CF330" s="27" t="e">
        <f>IF(AND(CI330,NOT(AD330)),LOOKUP(CF$5,{0,750,1500},H330:J330),"")</f>
        <v>#N/A</v>
      </c>
      <c r="CG330" s="6" t="str">
        <f t="shared" si="551"/>
        <v/>
      </c>
      <c r="CH330" t="e">
        <f t="shared" si="727"/>
        <v>#N/A</v>
      </c>
      <c r="CI330" t="e">
        <f t="shared" si="728"/>
        <v>#N/A</v>
      </c>
      <c r="CJ330" s="6" t="e">
        <f t="shared" si="11"/>
        <v>#N/A</v>
      </c>
      <c r="CK330" s="6">
        <f t="shared" si="12"/>
        <v>1</v>
      </c>
      <c r="CL330" s="6">
        <f t="shared" si="26"/>
        <v>1</v>
      </c>
      <c r="CM330" s="6">
        <f t="shared" si="13"/>
        <v>1</v>
      </c>
      <c r="CN330" s="6">
        <f t="shared" si="14"/>
        <v>1</v>
      </c>
      <c r="CO330" s="6">
        <f t="shared" si="15"/>
        <v>1</v>
      </c>
      <c r="CP330" s="6">
        <f t="shared" si="16"/>
        <v>1</v>
      </c>
      <c r="CQ330" s="6">
        <f t="shared" si="729"/>
        <v>1</v>
      </c>
      <c r="CR330" s="81" t="str">
        <f t="shared" si="17"/>
        <v/>
      </c>
      <c r="CS330">
        <f t="shared" si="730"/>
        <v>0</v>
      </c>
      <c r="CT330">
        <f t="shared" si="666"/>
        <v>200</v>
      </c>
      <c r="CU330" t="str">
        <f t="shared" si="29"/>
        <v/>
      </c>
      <c r="CV330" s="81">
        <f t="shared" si="731"/>
        <v>200</v>
      </c>
      <c r="CW330" s="81">
        <f>(CV330/25)^1.5*(Calculator!$BU$4/10000)*CW$5</f>
        <v>58.426389194959008</v>
      </c>
      <c r="CX330" t="str">
        <f t="shared" si="732"/>
        <v>$200</v>
      </c>
    </row>
    <row r="331" spans="2:102" x14ac:dyDescent="0.25">
      <c r="B331" s="115" t="s">
        <v>233</v>
      </c>
      <c r="C331" s="13">
        <v>46237.767361111109</v>
      </c>
      <c r="D331">
        <v>34706</v>
      </c>
      <c r="E331" s="54" t="s">
        <v>237</v>
      </c>
      <c r="F331" s="54" t="s">
        <v>699</v>
      </c>
      <c r="G331" s="54" t="s">
        <v>713</v>
      </c>
      <c r="H331" s="55">
        <v>13.600000000000001</v>
      </c>
      <c r="I331" s="55">
        <v>13.700000000000001</v>
      </c>
      <c r="J331" s="55">
        <v>13.8</v>
      </c>
      <c r="K331" s="54"/>
      <c r="L331" s="56" t="b">
        <v>0</v>
      </c>
      <c r="M331" s="56" t="b">
        <v>0</v>
      </c>
      <c r="N331" s="54">
        <v>1</v>
      </c>
      <c r="O331" s="54" t="s">
        <v>228</v>
      </c>
      <c r="P331" s="54">
        <v>100</v>
      </c>
      <c r="Q331" s="54">
        <v>12</v>
      </c>
      <c r="R331" s="54">
        <v>200</v>
      </c>
      <c r="S331" s="54" t="s">
        <v>701</v>
      </c>
      <c r="T331" s="54" t="s">
        <v>714</v>
      </c>
      <c r="U331" s="54" t="s">
        <v>703</v>
      </c>
      <c r="V331" s="54" t="s">
        <v>704</v>
      </c>
      <c r="W331" s="54" t="b">
        <v>0</v>
      </c>
      <c r="X331" s="54"/>
      <c r="Y331" s="57" t="s">
        <v>716</v>
      </c>
      <c r="Z331" s="54" t="s">
        <v>706</v>
      </c>
      <c r="AA331" s="54"/>
      <c r="AB331" s="54" t="s">
        <v>707</v>
      </c>
      <c r="AC331" s="56" t="b">
        <v>1</v>
      </c>
      <c r="AD331" s="56" t="b">
        <v>0</v>
      </c>
      <c r="AE331" s="54" t="s">
        <v>302</v>
      </c>
      <c r="AF331" s="58">
        <v>46237</v>
      </c>
      <c r="AG331" s="62" t="s">
        <v>293</v>
      </c>
      <c r="AH331" s="54">
        <v>0</v>
      </c>
      <c r="AI331" s="54"/>
      <c r="AJ331" s="54"/>
      <c r="AK331" s="54"/>
      <c r="AL331" s="54"/>
      <c r="AM331" s="54">
        <v>-5.05</v>
      </c>
      <c r="AN331" s="54"/>
      <c r="AO331" s="54"/>
      <c r="AP331" s="54"/>
      <c r="AQ331" s="54"/>
      <c r="AR331" s="54"/>
      <c r="AS331" s="54"/>
      <c r="AT331" s="54"/>
      <c r="AU331" s="54"/>
      <c r="AV331" s="54"/>
      <c r="AW331" s="54"/>
      <c r="AX331" s="59"/>
      <c r="AY331" s="59"/>
      <c r="AZ331" s="59"/>
      <c r="BA331" s="59"/>
      <c r="BB331" s="59">
        <v>7.8E-2</v>
      </c>
      <c r="BC331" s="60">
        <v>4.0599999999999996</v>
      </c>
      <c r="BD331" s="61">
        <v>6.0295000000000001E-2</v>
      </c>
      <c r="BE331" s="62" t="s">
        <v>293</v>
      </c>
      <c r="BF331" s="35">
        <f t="shared" si="0"/>
        <v>4.0600000000000005</v>
      </c>
      <c r="BG331" s="35">
        <f t="shared" si="0"/>
        <v>6.0295000000000001E-2</v>
      </c>
      <c r="BH331" s="35" t="str">
        <f t="shared" ref="BH331:BH334" si="733">IF(ISTEXT(BE331),IF(AND(AV331=0,SUM(AN331:AQ331)=0),IF(AM331&lt;=0,IF(BE331="Y","Low","Flat"),"Med"),"High"),"?")</f>
        <v>Low</v>
      </c>
      <c r="BI331" s="110">
        <f t="shared" ref="BI331:BI334" si="734">IF(ISNUMBER(AH331),0*BI$5*SIN((EDATE($A$3,$Q331)-DATE(YEAR(EDATE($A$3,$Q331)),1,0)-BI$4)*2*PI()/365),"")</f>
        <v>0</v>
      </c>
      <c r="BJ331" s="83" t="str">
        <f>VLOOKUP($F331,REP_Info!$D$6:$H$250,5,FALSE)</f>
        <v/>
      </c>
      <c r="BK331" s="30">
        <f t="shared" ref="BK331:BN334" si="735">IF(BK$7&gt;0,(LOOKUP(BK$7,$AH331:$AL331,$AM331:$AQ331)+IF($AG331="Y",SUMPRODUCT($AX331:$BB331-$AW331:$BA331,BK$7-$AR331:$AV331,N(BK$7&gt;$AR331:$AV331)),BK$7*LOOKUP(BK$7,$AR331:$AV331,$AX331:$BB331))+IF($BE331="Y",$BF331,$BC331)+BK$7*IF($BE331="Y",$BG331,$BD331))*100/BK$7,"")</f>
        <v>13.631500000000001</v>
      </c>
      <c r="BL331" s="30">
        <f t="shared" si="735"/>
        <v>13.730499999999999</v>
      </c>
      <c r="BM331" s="30">
        <f t="shared" si="735"/>
        <v>13.780000000000001</v>
      </c>
      <c r="BN331" s="29">
        <f t="shared" si="735"/>
        <v>13.7965</v>
      </c>
      <c r="BO331" s="85" t="str">
        <f t="shared" si="2"/>
        <v>$$$</v>
      </c>
      <c r="BP331" s="88" t="str">
        <f t="shared" ref="BP331:BP334" si="736">IFERROR(BO331*100/BO$5,"$$$")</f>
        <v>$$$</v>
      </c>
      <c r="BQ331" s="88" t="str">
        <f t="shared" si="4"/>
        <v>$$$</v>
      </c>
      <c r="BR331" s="88" t="str">
        <f t="shared" si="5"/>
        <v>$$$</v>
      </c>
      <c r="BS331" s="29" t="e">
        <f t="shared" ref="BS331:CD334" si="737">IF($CI331,IF(BS$7&gt;0,IF(BS$4&gt;$Q331,$BF331+BS$7*(BS$5+$BG331+$BI331),LOOKUP(BS$7,$AH331:$AL331,$AM331:$AQ331)+IF($AG331="Y",SUMPRODUCT($AX331:$BB331-$AW331:$BA331,BS$7-$AR331:$AV331,N(BS$7&gt;$AR331:$AV331)),BS$7*LOOKUP(BS$7,$AR331:$AV331,$AX331:$BB331))+IF($BE331="Y",$BF331,$BC331)+BS$7*IF($BE331="Y",$BG331,$BD331))*100/BS$7,""),NA())</f>
        <v>#N/A</v>
      </c>
      <c r="BT331" s="29" t="e">
        <f t="shared" si="737"/>
        <v>#N/A</v>
      </c>
      <c r="BU331" s="29" t="e">
        <f t="shared" si="737"/>
        <v>#N/A</v>
      </c>
      <c r="BV331" s="29" t="e">
        <f t="shared" si="737"/>
        <v>#N/A</v>
      </c>
      <c r="BW331" s="29" t="e">
        <f t="shared" si="737"/>
        <v>#N/A</v>
      </c>
      <c r="BX331" s="29" t="e">
        <f t="shared" si="737"/>
        <v>#N/A</v>
      </c>
      <c r="BY331" s="29" t="e">
        <f t="shared" si="737"/>
        <v>#N/A</v>
      </c>
      <c r="BZ331" s="29" t="e">
        <f t="shared" si="737"/>
        <v>#N/A</v>
      </c>
      <c r="CA331" s="29" t="e">
        <f t="shared" si="737"/>
        <v>#N/A</v>
      </c>
      <c r="CB331" s="29" t="e">
        <f t="shared" si="737"/>
        <v>#N/A</v>
      </c>
      <c r="CC331" s="29" t="e">
        <f t="shared" si="737"/>
        <v>#N/A</v>
      </c>
      <c r="CD331" s="29" t="e">
        <f t="shared" si="737"/>
        <v>#N/A</v>
      </c>
      <c r="CE331" s="6" t="str">
        <f t="shared" si="550"/>
        <v/>
      </c>
      <c r="CF331" s="27" t="e">
        <f>IF(AND(CI331,NOT(AD331)),LOOKUP(CF$5,{0,750,1500},H331:J331),"")</f>
        <v>#N/A</v>
      </c>
      <c r="CG331" s="6" t="str">
        <f t="shared" si="551"/>
        <v/>
      </c>
      <c r="CH331" t="e">
        <f t="shared" ref="CH331:CH334" si="738">IF(CI331,IF(ISNUMBER(BO331),BO331,100000)+CV331/10000+IF(ISNUMBER(BJ331),BJ331,2)/10000-P331/100000+ROW()/10000000,"")</f>
        <v>#N/A</v>
      </c>
      <c r="CI331" t="e">
        <f t="shared" ref="CI331:CI334" si="739">PRODUCT(CJ331:CQ331)</f>
        <v>#N/A</v>
      </c>
      <c r="CJ331" s="6" t="e">
        <f t="shared" si="11"/>
        <v>#N/A</v>
      </c>
      <c r="CK331" s="6">
        <f t="shared" si="12"/>
        <v>1</v>
      </c>
      <c r="CL331" s="6">
        <f t="shared" si="26"/>
        <v>1</v>
      </c>
      <c r="CM331" s="6">
        <f t="shared" si="13"/>
        <v>1</v>
      </c>
      <c r="CN331" s="6">
        <f t="shared" si="14"/>
        <v>1</v>
      </c>
      <c r="CO331" s="6">
        <f t="shared" si="15"/>
        <v>1</v>
      </c>
      <c r="CP331" s="6">
        <f t="shared" si="16"/>
        <v>1</v>
      </c>
      <c r="CQ331" s="6">
        <f t="shared" ref="CQ331:CQ334" si="740">IF(CQ$5="Any",1,IF(AND(CQ$5="Med",AV331=0,SUM(AN331:AQ331)=0),1,IF(AND(CQ$5="Low",AV331=0,SUM(AN331:AQ331)=0,AM331=0),1,IF(AND(CQ$5="Flat",AV331=0,SUM(AN331:AQ331)=0,AM331=0,IFERROR(NOT(BE331="Y"),0)),1,0))))</f>
        <v>1</v>
      </c>
      <c r="CR331" s="81" t="str">
        <f t="shared" si="17"/>
        <v/>
      </c>
      <c r="CS331">
        <f t="shared" ref="CS331:CS334" si="741">CS$5*(12/(MIN(12,Q331))-1)</f>
        <v>0</v>
      </c>
      <c r="CT331">
        <f t="shared" si="666"/>
        <v>200</v>
      </c>
      <c r="CU331" t="str">
        <f t="shared" si="29"/>
        <v/>
      </c>
      <c r="CV331" s="81">
        <f t="shared" ref="CV331:CV334" si="742">CT331*IF(CU331="",1,Q331)</f>
        <v>200</v>
      </c>
      <c r="CW331" s="81">
        <f>(CV331/25)^1.5*(Calculator!$BU$4/10000)*CW$5</f>
        <v>58.426389194959008</v>
      </c>
      <c r="CX331" t="str">
        <f t="shared" ref="CX331:CX334" si="743">"$"&amp;IF(LEFT(CU331,1)="r",CT331&amp;"/"&amp;CU331,CV331)</f>
        <v>$200</v>
      </c>
    </row>
    <row r="332" spans="2:102" x14ac:dyDescent="0.25">
      <c r="B332" s="115" t="s">
        <v>233</v>
      </c>
      <c r="C332" s="13">
        <v>46253.410416666666</v>
      </c>
      <c r="D332">
        <v>36003</v>
      </c>
      <c r="E332" s="54" t="s">
        <v>235</v>
      </c>
      <c r="F332" s="54" t="s">
        <v>699</v>
      </c>
      <c r="G332" s="54" t="s">
        <v>717</v>
      </c>
      <c r="H332" s="55">
        <v>13.4</v>
      </c>
      <c r="I332" s="55">
        <v>13.4</v>
      </c>
      <c r="J332" s="55">
        <v>13.4</v>
      </c>
      <c r="K332" s="54"/>
      <c r="L332" s="56" t="b">
        <v>0</v>
      </c>
      <c r="M332" s="56" t="b">
        <v>0</v>
      </c>
      <c r="N332" s="54">
        <v>1</v>
      </c>
      <c r="O332" s="54" t="s">
        <v>228</v>
      </c>
      <c r="P332" s="54">
        <v>100</v>
      </c>
      <c r="Q332" s="54">
        <v>24</v>
      </c>
      <c r="R332" s="54">
        <v>200</v>
      </c>
      <c r="S332" s="54" t="s">
        <v>701</v>
      </c>
      <c r="T332" s="54" t="s">
        <v>714</v>
      </c>
      <c r="U332" s="54" t="s">
        <v>703</v>
      </c>
      <c r="V332" s="54" t="s">
        <v>704</v>
      </c>
      <c r="W332" s="54" t="b">
        <v>0</v>
      </c>
      <c r="X332" s="54"/>
      <c r="Y332" s="57" t="s">
        <v>718</v>
      </c>
      <c r="Z332" s="54" t="s">
        <v>701</v>
      </c>
      <c r="AA332" s="54"/>
      <c r="AB332" s="54" t="s">
        <v>707</v>
      </c>
      <c r="AC332" s="56" t="b">
        <v>1</v>
      </c>
      <c r="AD332" s="56" t="b">
        <v>0</v>
      </c>
      <c r="AE332" s="54" t="s">
        <v>302</v>
      </c>
      <c r="AF332" s="58">
        <v>46252</v>
      </c>
      <c r="AG332" s="62" t="s">
        <v>293</v>
      </c>
      <c r="AH332" s="54">
        <v>0</v>
      </c>
      <c r="AI332" s="54"/>
      <c r="AJ332" s="54"/>
      <c r="AK332" s="54"/>
      <c r="AL332" s="54"/>
      <c r="AM332" s="54">
        <v>-5.05</v>
      </c>
      <c r="AN332" s="54"/>
      <c r="AO332" s="54"/>
      <c r="AP332" s="54"/>
      <c r="AQ332" s="54"/>
      <c r="AR332" s="54"/>
      <c r="AS332" s="54"/>
      <c r="AT332" s="54"/>
      <c r="AU332" s="54"/>
      <c r="AV332" s="54"/>
      <c r="AW332" s="54"/>
      <c r="AX332" s="59"/>
      <c r="AY332" s="59"/>
      <c r="AZ332" s="59"/>
      <c r="BA332" s="59"/>
      <c r="BB332" s="59">
        <v>8.4000000000000005E-2</v>
      </c>
      <c r="BC332" s="60">
        <v>4.9000000000000004</v>
      </c>
      <c r="BD332" s="61">
        <v>4.9811000000000001E-2</v>
      </c>
      <c r="BE332" s="62" t="s">
        <v>293</v>
      </c>
      <c r="BF332" s="35">
        <f t="shared" si="0"/>
        <v>4.9000000000000004</v>
      </c>
      <c r="BG332" s="35">
        <f t="shared" si="0"/>
        <v>4.9811000000000001E-2</v>
      </c>
      <c r="BH332" s="35" t="str">
        <f t="shared" si="733"/>
        <v>Low</v>
      </c>
      <c r="BI332" s="110">
        <f t="shared" si="734"/>
        <v>0</v>
      </c>
      <c r="BJ332" s="83" t="str">
        <f>VLOOKUP($F332,REP_Info!$D$6:$H$250,5,FALSE)</f>
        <v/>
      </c>
      <c r="BK332" s="30">
        <f t="shared" si="735"/>
        <v>13.351100000000001</v>
      </c>
      <c r="BL332" s="30">
        <f t="shared" si="735"/>
        <v>13.366100000000001</v>
      </c>
      <c r="BM332" s="30">
        <f t="shared" si="735"/>
        <v>13.373599999999998</v>
      </c>
      <c r="BN332" s="29">
        <f t="shared" si="735"/>
        <v>13.376100000000001</v>
      </c>
      <c r="BO332" s="85" t="str">
        <f t="shared" si="2"/>
        <v>$$$</v>
      </c>
      <c r="BP332" s="88" t="str">
        <f t="shared" si="736"/>
        <v>$$$</v>
      </c>
      <c r="BQ332" s="88" t="str">
        <f t="shared" si="4"/>
        <v>$$$</v>
      </c>
      <c r="BR332" s="88" t="str">
        <f t="shared" si="5"/>
        <v>$$$</v>
      </c>
      <c r="BS332" s="29" t="e">
        <f t="shared" si="737"/>
        <v>#N/A</v>
      </c>
      <c r="BT332" s="29" t="e">
        <f t="shared" si="737"/>
        <v>#N/A</v>
      </c>
      <c r="BU332" s="29" t="e">
        <f t="shared" si="737"/>
        <v>#N/A</v>
      </c>
      <c r="BV332" s="29" t="e">
        <f t="shared" si="737"/>
        <v>#N/A</v>
      </c>
      <c r="BW332" s="29" t="e">
        <f t="shared" si="737"/>
        <v>#N/A</v>
      </c>
      <c r="BX332" s="29" t="e">
        <f t="shared" si="737"/>
        <v>#N/A</v>
      </c>
      <c r="BY332" s="29" t="e">
        <f t="shared" si="737"/>
        <v>#N/A</v>
      </c>
      <c r="BZ332" s="29" t="e">
        <f t="shared" si="737"/>
        <v>#N/A</v>
      </c>
      <c r="CA332" s="29" t="e">
        <f t="shared" si="737"/>
        <v>#N/A</v>
      </c>
      <c r="CB332" s="29" t="e">
        <f t="shared" si="737"/>
        <v>#N/A</v>
      </c>
      <c r="CC332" s="29" t="e">
        <f t="shared" si="737"/>
        <v>#N/A</v>
      </c>
      <c r="CD332" s="29" t="e">
        <f t="shared" si="737"/>
        <v>#N/A</v>
      </c>
      <c r="CE332" s="6" t="str">
        <f t="shared" si="550"/>
        <v/>
      </c>
      <c r="CF332" s="27" t="e">
        <f>IF(AND(CI332,NOT(AD332)),LOOKUP(CF$5,{0,750,1500},H332:J332),"")</f>
        <v>#N/A</v>
      </c>
      <c r="CG332" s="6" t="str">
        <f t="shared" si="551"/>
        <v/>
      </c>
      <c r="CH332" t="e">
        <f t="shared" si="738"/>
        <v>#N/A</v>
      </c>
      <c r="CI332" t="e">
        <f t="shared" si="739"/>
        <v>#N/A</v>
      </c>
      <c r="CJ332" s="6" t="e">
        <f t="shared" si="11"/>
        <v>#N/A</v>
      </c>
      <c r="CK332" s="6">
        <f t="shared" si="12"/>
        <v>1</v>
      </c>
      <c r="CL332" s="6">
        <f t="shared" si="26"/>
        <v>1</v>
      </c>
      <c r="CM332" s="6">
        <f t="shared" si="13"/>
        <v>1</v>
      </c>
      <c r="CN332" s="6">
        <f t="shared" si="14"/>
        <v>1</v>
      </c>
      <c r="CO332" s="6">
        <f t="shared" si="15"/>
        <v>0</v>
      </c>
      <c r="CP332" s="6">
        <f t="shared" si="16"/>
        <v>1</v>
      </c>
      <c r="CQ332" s="6">
        <f t="shared" si="740"/>
        <v>1</v>
      </c>
      <c r="CR332" s="81" t="str">
        <f t="shared" si="17"/>
        <v/>
      </c>
      <c r="CS332">
        <f t="shared" si="741"/>
        <v>0</v>
      </c>
      <c r="CT332">
        <f t="shared" si="666"/>
        <v>200</v>
      </c>
      <c r="CU332" t="str">
        <f t="shared" si="29"/>
        <v/>
      </c>
      <c r="CV332" s="81">
        <f t="shared" si="742"/>
        <v>200</v>
      </c>
      <c r="CW332" s="81">
        <f>(CV332/25)^1.5*(Calculator!$BU$4/10000)*CW$5</f>
        <v>58.426389194959008</v>
      </c>
      <c r="CX332" t="str">
        <f t="shared" si="743"/>
        <v>$200</v>
      </c>
    </row>
    <row r="333" spans="2:102" x14ac:dyDescent="0.25">
      <c r="B333" s="115" t="s">
        <v>233</v>
      </c>
      <c r="C333" s="13">
        <v>46237.767361111109</v>
      </c>
      <c r="D333">
        <v>36007</v>
      </c>
      <c r="E333" s="54" t="s">
        <v>237</v>
      </c>
      <c r="F333" s="54" t="s">
        <v>699</v>
      </c>
      <c r="G333" s="54" t="s">
        <v>717</v>
      </c>
      <c r="H333" s="55">
        <v>14.2</v>
      </c>
      <c r="I333" s="55">
        <v>14.299999999999999</v>
      </c>
      <c r="J333" s="55">
        <v>14.399999999999999</v>
      </c>
      <c r="K333" s="54"/>
      <c r="L333" s="56" t="b">
        <v>0</v>
      </c>
      <c r="M333" s="56" t="b">
        <v>0</v>
      </c>
      <c r="N333" s="54">
        <v>1</v>
      </c>
      <c r="O333" s="54" t="s">
        <v>228</v>
      </c>
      <c r="P333" s="54">
        <v>100</v>
      </c>
      <c r="Q333" s="54">
        <v>24</v>
      </c>
      <c r="R333" s="54">
        <v>200</v>
      </c>
      <c r="S333" s="54" t="s">
        <v>701</v>
      </c>
      <c r="T333" s="54" t="s">
        <v>714</v>
      </c>
      <c r="U333" s="54" t="s">
        <v>703</v>
      </c>
      <c r="V333" s="54" t="s">
        <v>704</v>
      </c>
      <c r="W333" s="54" t="b">
        <v>0</v>
      </c>
      <c r="X333" s="54"/>
      <c r="Y333" s="57" t="s">
        <v>719</v>
      </c>
      <c r="Z333" s="54" t="s">
        <v>701</v>
      </c>
      <c r="AA333" s="54"/>
      <c r="AB333" s="54" t="s">
        <v>707</v>
      </c>
      <c r="AC333" s="56" t="b">
        <v>1</v>
      </c>
      <c r="AD333" s="56" t="b">
        <v>0</v>
      </c>
      <c r="AE333" s="54" t="s">
        <v>302</v>
      </c>
      <c r="AF333" s="58">
        <v>46237</v>
      </c>
      <c r="AG333" s="62" t="s">
        <v>293</v>
      </c>
      <c r="AH333" s="54">
        <v>0</v>
      </c>
      <c r="AI333" s="54"/>
      <c r="AJ333" s="54"/>
      <c r="AK333" s="54"/>
      <c r="AL333" s="54"/>
      <c r="AM333" s="54">
        <v>-5.05</v>
      </c>
      <c r="AN333" s="54"/>
      <c r="AO333" s="54"/>
      <c r="AP333" s="54"/>
      <c r="AQ333" s="54"/>
      <c r="AR333" s="54"/>
      <c r="AS333" s="54"/>
      <c r="AT333" s="54"/>
      <c r="AU333" s="54"/>
      <c r="AV333" s="54"/>
      <c r="AW333" s="54"/>
      <c r="AX333" s="59"/>
      <c r="AY333" s="59"/>
      <c r="AZ333" s="59"/>
      <c r="BA333" s="59"/>
      <c r="BB333" s="59">
        <v>8.4000000000000005E-2</v>
      </c>
      <c r="BC333" s="60">
        <v>4.0599999999999996</v>
      </c>
      <c r="BD333" s="61">
        <v>6.0295000000000001E-2</v>
      </c>
      <c r="BE333" s="62" t="s">
        <v>293</v>
      </c>
      <c r="BF333" s="35">
        <f t="shared" si="0"/>
        <v>4.0600000000000005</v>
      </c>
      <c r="BG333" s="35">
        <f t="shared" si="0"/>
        <v>6.0295000000000001E-2</v>
      </c>
      <c r="BH333" s="35" t="str">
        <f t="shared" si="733"/>
        <v>Low</v>
      </c>
      <c r="BI333" s="110">
        <f t="shared" si="734"/>
        <v>0</v>
      </c>
      <c r="BJ333" s="83" t="str">
        <f>VLOOKUP($F333,REP_Info!$D$6:$H$250,5,FALSE)</f>
        <v/>
      </c>
      <c r="BK333" s="30">
        <f t="shared" si="735"/>
        <v>14.2315</v>
      </c>
      <c r="BL333" s="30">
        <f t="shared" si="735"/>
        <v>14.330500000000001</v>
      </c>
      <c r="BM333" s="30">
        <f t="shared" si="735"/>
        <v>14.380000000000003</v>
      </c>
      <c r="BN333" s="29">
        <f t="shared" si="735"/>
        <v>14.3965</v>
      </c>
      <c r="BO333" s="85" t="str">
        <f t="shared" si="2"/>
        <v>$$$</v>
      </c>
      <c r="BP333" s="88" t="str">
        <f t="shared" si="736"/>
        <v>$$$</v>
      </c>
      <c r="BQ333" s="88" t="str">
        <f t="shared" si="4"/>
        <v>$$$</v>
      </c>
      <c r="BR333" s="88" t="str">
        <f t="shared" si="5"/>
        <v>$$$</v>
      </c>
      <c r="BS333" s="29" t="e">
        <f t="shared" si="737"/>
        <v>#N/A</v>
      </c>
      <c r="BT333" s="29" t="e">
        <f t="shared" si="737"/>
        <v>#N/A</v>
      </c>
      <c r="BU333" s="29" t="e">
        <f t="shared" si="737"/>
        <v>#N/A</v>
      </c>
      <c r="BV333" s="29" t="e">
        <f t="shared" si="737"/>
        <v>#N/A</v>
      </c>
      <c r="BW333" s="29" t="e">
        <f t="shared" si="737"/>
        <v>#N/A</v>
      </c>
      <c r="BX333" s="29" t="e">
        <f t="shared" si="737"/>
        <v>#N/A</v>
      </c>
      <c r="BY333" s="29" t="e">
        <f t="shared" si="737"/>
        <v>#N/A</v>
      </c>
      <c r="BZ333" s="29" t="e">
        <f t="shared" si="737"/>
        <v>#N/A</v>
      </c>
      <c r="CA333" s="29" t="e">
        <f t="shared" si="737"/>
        <v>#N/A</v>
      </c>
      <c r="CB333" s="29" t="e">
        <f t="shared" si="737"/>
        <v>#N/A</v>
      </c>
      <c r="CC333" s="29" t="e">
        <f t="shared" si="737"/>
        <v>#N/A</v>
      </c>
      <c r="CD333" s="29" t="e">
        <f t="shared" si="737"/>
        <v>#N/A</v>
      </c>
      <c r="CE333" s="6" t="str">
        <f t="shared" si="550"/>
        <v/>
      </c>
      <c r="CF333" s="27" t="e">
        <f>IF(AND(CI333,NOT(AD333)),LOOKUP(CF$5,{0,750,1500},H333:J333),"")</f>
        <v>#N/A</v>
      </c>
      <c r="CG333" s="6" t="str">
        <f t="shared" si="551"/>
        <v/>
      </c>
      <c r="CH333" t="e">
        <f t="shared" si="738"/>
        <v>#N/A</v>
      </c>
      <c r="CI333" t="e">
        <f t="shared" si="739"/>
        <v>#N/A</v>
      </c>
      <c r="CJ333" s="6" t="e">
        <f t="shared" si="11"/>
        <v>#N/A</v>
      </c>
      <c r="CK333" s="6">
        <f t="shared" si="12"/>
        <v>1</v>
      </c>
      <c r="CL333" s="6">
        <f t="shared" si="26"/>
        <v>1</v>
      </c>
      <c r="CM333" s="6">
        <f t="shared" si="13"/>
        <v>1</v>
      </c>
      <c r="CN333" s="6">
        <f t="shared" si="14"/>
        <v>1</v>
      </c>
      <c r="CO333" s="6">
        <f t="shared" si="15"/>
        <v>0</v>
      </c>
      <c r="CP333" s="6">
        <f t="shared" si="16"/>
        <v>1</v>
      </c>
      <c r="CQ333" s="6">
        <f t="shared" si="740"/>
        <v>1</v>
      </c>
      <c r="CR333" s="81" t="str">
        <f t="shared" si="17"/>
        <v/>
      </c>
      <c r="CS333">
        <f t="shared" si="741"/>
        <v>0</v>
      </c>
      <c r="CT333">
        <f t="shared" si="666"/>
        <v>200</v>
      </c>
      <c r="CU333" t="str">
        <f t="shared" si="29"/>
        <v/>
      </c>
      <c r="CV333" s="81">
        <f t="shared" si="742"/>
        <v>200</v>
      </c>
      <c r="CW333" s="81">
        <f>(CV333/25)^1.5*(Calculator!$BU$4/10000)*CW$5</f>
        <v>58.426389194959008</v>
      </c>
      <c r="CX333" t="str">
        <f t="shared" si="743"/>
        <v>$200</v>
      </c>
    </row>
    <row r="334" spans="2:102" x14ac:dyDescent="0.25">
      <c r="B334" s="115" t="s">
        <v>233</v>
      </c>
      <c r="C334" s="13">
        <v>46218.518055555556</v>
      </c>
      <c r="D334">
        <v>29511</v>
      </c>
      <c r="E334" s="54" t="s">
        <v>237</v>
      </c>
      <c r="F334" s="54" t="s">
        <v>720</v>
      </c>
      <c r="G334" s="54" t="s">
        <v>721</v>
      </c>
      <c r="H334" s="55">
        <v>18</v>
      </c>
      <c r="I334" s="55">
        <v>14.499999999999998</v>
      </c>
      <c r="J334" s="55">
        <v>15.7</v>
      </c>
      <c r="K334" s="54" t="s">
        <v>722</v>
      </c>
      <c r="L334" s="56" t="b">
        <v>0</v>
      </c>
      <c r="M334" s="56" t="b">
        <v>0</v>
      </c>
      <c r="N334" s="54">
        <v>1</v>
      </c>
      <c r="O334" s="54" t="s">
        <v>228</v>
      </c>
      <c r="P334" s="54">
        <v>3</v>
      </c>
      <c r="Q334" s="54">
        <v>36</v>
      </c>
      <c r="R334" s="54" t="s">
        <v>723</v>
      </c>
      <c r="S334" s="54" t="s">
        <v>724</v>
      </c>
      <c r="T334" s="54" t="s">
        <v>725</v>
      </c>
      <c r="U334" s="54" t="s">
        <v>726</v>
      </c>
      <c r="V334" s="54" t="s">
        <v>727</v>
      </c>
      <c r="W334" s="54" t="b">
        <v>0</v>
      </c>
      <c r="X334" s="54"/>
      <c r="Y334" s="57" t="s">
        <v>728</v>
      </c>
      <c r="Z334" s="54" t="s">
        <v>729</v>
      </c>
      <c r="AA334" s="54"/>
      <c r="AB334" s="54" t="s">
        <v>730</v>
      </c>
      <c r="AC334" s="56" t="b">
        <v>0</v>
      </c>
      <c r="AD334" s="56" t="b">
        <v>1</v>
      </c>
      <c r="AE334" s="54" t="s">
        <v>302</v>
      </c>
      <c r="AF334" s="58">
        <v>46218</v>
      </c>
      <c r="AG334" s="62" t="s">
        <v>293</v>
      </c>
      <c r="AH334" s="54">
        <v>0</v>
      </c>
      <c r="AI334" s="54">
        <v>1000</v>
      </c>
      <c r="AJ334" s="54"/>
      <c r="AK334" s="54"/>
      <c r="AL334" s="54"/>
      <c r="AM334" s="54">
        <v>4.95</v>
      </c>
      <c r="AN334" s="54">
        <v>-25.05</v>
      </c>
      <c r="AO334" s="54"/>
      <c r="AP334" s="54"/>
      <c r="AQ334" s="54"/>
      <c r="AR334" s="54"/>
      <c r="AS334" s="54"/>
      <c r="AT334" s="54"/>
      <c r="AU334" s="54"/>
      <c r="AV334" s="54"/>
      <c r="AW334" s="54"/>
      <c r="AX334" s="59"/>
      <c r="AY334" s="59"/>
      <c r="AZ334" s="59"/>
      <c r="BA334" s="59"/>
      <c r="BB334" s="59">
        <v>0.17</v>
      </c>
      <c r="BC334" s="60"/>
      <c r="BD334" s="61"/>
      <c r="BE334" s="62" t="s">
        <v>731</v>
      </c>
      <c r="BF334" s="35">
        <f t="shared" si="0"/>
        <v>4.0600000000000005</v>
      </c>
      <c r="BG334" s="35">
        <f t="shared" si="0"/>
        <v>6.0295000000000001E-2</v>
      </c>
      <c r="BH334" s="35" t="str">
        <f t="shared" si="733"/>
        <v>High</v>
      </c>
      <c r="BI334" s="110">
        <f t="shared" si="734"/>
        <v>0</v>
      </c>
      <c r="BJ334" s="83">
        <f>VLOOKUP($F334,REP_Info!$D$6:$H$250,5,FALSE)</f>
        <v>1.272</v>
      </c>
      <c r="BK334" s="30">
        <f t="shared" si="735"/>
        <v>17.989999999999998</v>
      </c>
      <c r="BL334" s="30">
        <f t="shared" si="735"/>
        <v>14.494999999999997</v>
      </c>
      <c r="BM334" s="30">
        <f t="shared" si="735"/>
        <v>15.7475</v>
      </c>
      <c r="BN334" s="29">
        <f t="shared" si="735"/>
        <v>16.165000000000003</v>
      </c>
      <c r="BO334" s="85" t="str">
        <f t="shared" si="2"/>
        <v>$$$</v>
      </c>
      <c r="BP334" s="88" t="str">
        <f t="shared" si="736"/>
        <v>$$$</v>
      </c>
      <c r="BQ334" s="88" t="str">
        <f t="shared" si="4"/>
        <v>$$$</v>
      </c>
      <c r="BR334" s="88" t="str">
        <f t="shared" si="5"/>
        <v>$$$</v>
      </c>
      <c r="BS334" s="29" t="e">
        <f t="shared" si="737"/>
        <v>#N/A</v>
      </c>
      <c r="BT334" s="29" t="e">
        <f t="shared" si="737"/>
        <v>#N/A</v>
      </c>
      <c r="BU334" s="29" t="e">
        <f t="shared" si="737"/>
        <v>#N/A</v>
      </c>
      <c r="BV334" s="29" t="e">
        <f t="shared" si="737"/>
        <v>#N/A</v>
      </c>
      <c r="BW334" s="29" t="e">
        <f t="shared" si="737"/>
        <v>#N/A</v>
      </c>
      <c r="BX334" s="29" t="e">
        <f t="shared" si="737"/>
        <v>#N/A</v>
      </c>
      <c r="BY334" s="29" t="e">
        <f t="shared" si="737"/>
        <v>#N/A</v>
      </c>
      <c r="BZ334" s="29" t="e">
        <f t="shared" si="737"/>
        <v>#N/A</v>
      </c>
      <c r="CA334" s="29" t="e">
        <f t="shared" si="737"/>
        <v>#N/A</v>
      </c>
      <c r="CB334" s="29" t="e">
        <f t="shared" si="737"/>
        <v>#N/A</v>
      </c>
      <c r="CC334" s="29" t="e">
        <f t="shared" si="737"/>
        <v>#N/A</v>
      </c>
      <c r="CD334" s="29" t="e">
        <f t="shared" si="737"/>
        <v>#N/A</v>
      </c>
      <c r="CE334" s="6" t="str">
        <f t="shared" si="550"/>
        <v/>
      </c>
      <c r="CF334" s="27" t="e">
        <f>IF(AND(CI334,NOT(AD334)),LOOKUP(CF$5,{0,750,1500},H334:J334),"")</f>
        <v>#N/A</v>
      </c>
      <c r="CG334" s="6" t="str">
        <f t="shared" si="551"/>
        <v/>
      </c>
      <c r="CH334" t="e">
        <f t="shared" si="738"/>
        <v>#N/A</v>
      </c>
      <c r="CI334" t="e">
        <f t="shared" si="739"/>
        <v>#N/A</v>
      </c>
      <c r="CJ334" s="6" t="e">
        <f t="shared" si="11"/>
        <v>#N/A</v>
      </c>
      <c r="CK334" s="6">
        <f t="shared" si="12"/>
        <v>1</v>
      </c>
      <c r="CL334" s="6">
        <f t="shared" si="26"/>
        <v>1</v>
      </c>
      <c r="CM334" s="6">
        <f t="shared" si="13"/>
        <v>1</v>
      </c>
      <c r="CN334" s="6">
        <f t="shared" si="14"/>
        <v>1</v>
      </c>
      <c r="CO334" s="6">
        <f t="shared" si="15"/>
        <v>0</v>
      </c>
      <c r="CP334" s="6">
        <f t="shared" si="16"/>
        <v>1</v>
      </c>
      <c r="CQ334" s="6">
        <f t="shared" si="740"/>
        <v>1</v>
      </c>
      <c r="CR334" s="81" t="str">
        <f t="shared" si="17"/>
        <v/>
      </c>
      <c r="CS334">
        <f t="shared" si="741"/>
        <v>0</v>
      </c>
      <c r="CT334">
        <f t="shared" si="666"/>
        <v>20</v>
      </c>
      <c r="CU334" t="str">
        <f t="shared" si="29"/>
        <v>rm</v>
      </c>
      <c r="CV334" s="81">
        <f t="shared" si="742"/>
        <v>720</v>
      </c>
      <c r="CW334" s="81">
        <f>(CV334/25)^1.5*(Calculator!$BU$4/10000)*CW$5</f>
        <v>399.08260508152779</v>
      </c>
      <c r="CX334" t="str">
        <f t="shared" si="743"/>
        <v>$20/rm</v>
      </c>
    </row>
    <row r="335" spans="2:102" x14ac:dyDescent="0.25">
      <c r="B335" s="115" t="s">
        <v>233</v>
      </c>
      <c r="C335" s="13">
        <v>46218.518055555556</v>
      </c>
      <c r="D335">
        <v>29512</v>
      </c>
      <c r="E335" s="54" t="s">
        <v>235</v>
      </c>
      <c r="F335" s="54" t="s">
        <v>720</v>
      </c>
      <c r="G335" s="54" t="s">
        <v>721</v>
      </c>
      <c r="H335" s="55">
        <v>16.400000000000002</v>
      </c>
      <c r="I335" s="55">
        <v>12.9</v>
      </c>
      <c r="J335" s="55">
        <v>14.099999999999998</v>
      </c>
      <c r="K335" s="54" t="s">
        <v>722</v>
      </c>
      <c r="L335" s="56" t="b">
        <v>0</v>
      </c>
      <c r="M335" s="56" t="b">
        <v>0</v>
      </c>
      <c r="N335" s="54">
        <v>1</v>
      </c>
      <c r="O335" s="54" t="s">
        <v>228</v>
      </c>
      <c r="P335" s="54">
        <v>3</v>
      </c>
      <c r="Q335" s="54">
        <v>36</v>
      </c>
      <c r="R335" s="54" t="s">
        <v>723</v>
      </c>
      <c r="S335" s="54" t="s">
        <v>724</v>
      </c>
      <c r="T335" s="54" t="s">
        <v>725</v>
      </c>
      <c r="U335" s="54" t="s">
        <v>732</v>
      </c>
      <c r="V335" s="54" t="s">
        <v>733</v>
      </c>
      <c r="W335" s="54" t="b">
        <v>0</v>
      </c>
      <c r="X335" s="54"/>
      <c r="Y335" s="57" t="s">
        <v>734</v>
      </c>
      <c r="Z335" s="54" t="s">
        <v>729</v>
      </c>
      <c r="AA335" s="54"/>
      <c r="AB335" s="54" t="s">
        <v>730</v>
      </c>
      <c r="AC335" s="56" t="b">
        <v>0</v>
      </c>
      <c r="AD335" s="56" t="b">
        <v>1</v>
      </c>
      <c r="AE335" s="54" t="s">
        <v>302</v>
      </c>
      <c r="AF335" s="58">
        <v>46218</v>
      </c>
      <c r="AG335" s="62" t="s">
        <v>293</v>
      </c>
      <c r="AH335" s="54">
        <v>0</v>
      </c>
      <c r="AI335" s="54">
        <v>1000</v>
      </c>
      <c r="AJ335" s="54"/>
      <c r="AK335" s="54"/>
      <c r="AL335" s="54"/>
      <c r="AM335" s="54">
        <v>4.95</v>
      </c>
      <c r="AN335" s="54">
        <v>-25.05</v>
      </c>
      <c r="AO335" s="54"/>
      <c r="AP335" s="54"/>
      <c r="AQ335" s="54"/>
      <c r="AR335" s="54"/>
      <c r="AS335" s="54"/>
      <c r="AT335" s="54"/>
      <c r="AU335" s="54"/>
      <c r="AV335" s="54"/>
      <c r="AW335" s="54"/>
      <c r="AX335" s="59"/>
      <c r="AY335" s="59"/>
      <c r="AZ335" s="59"/>
      <c r="BA335" s="59"/>
      <c r="BB335" s="59">
        <v>0.154</v>
      </c>
      <c r="BC335" s="60"/>
      <c r="BD335" s="61"/>
      <c r="BE335" s="62" t="s">
        <v>731</v>
      </c>
      <c r="BF335" s="35">
        <f t="shared" ref="BF335:BG336" si="744">IF($E335=$E$4,BF$4,IF($E335=$E$5,BF$5,""))</f>
        <v>4.9000000000000004</v>
      </c>
      <c r="BG335" s="35">
        <f t="shared" si="744"/>
        <v>4.9811000000000001E-2</v>
      </c>
      <c r="BH335" s="35" t="str">
        <f t="shared" ref="BH335:BH336" si="745">IF(ISTEXT(BE335),IF(AND(AV335=0,SUM(AN335:AQ335)=0),IF(AM335&lt;=0,IF(BE335="Y","Low","Flat"),"Med"),"High"),"?")</f>
        <v>High</v>
      </c>
      <c r="BI335" s="110">
        <f t="shared" ref="BI335:BI336" si="746">IF(ISNUMBER(AH335),0*BI$5*SIN((EDATE($A$3,$Q335)-DATE(YEAR(EDATE($A$3,$Q335)),1,0)-BI$4)*2*PI()/365),"")</f>
        <v>0</v>
      </c>
      <c r="BJ335" s="83">
        <f>VLOOKUP($F335,REP_Info!$D$6:$H$250,5,FALSE)</f>
        <v>1.272</v>
      </c>
      <c r="BK335" s="30">
        <f t="shared" ref="BK335:BN336" si="747">IF(BK$7&gt;0,(LOOKUP(BK$7,$AH335:$AL335,$AM335:$AQ335)+IF($AG335="Y",SUMPRODUCT($AX335:$BB335-$AW335:$BA335,BK$7-$AR335:$AV335,N(BK$7&gt;$AR335:$AV335)),BK$7*LOOKUP(BK$7,$AR335:$AV335,$AX335:$BB335))+IF($BE335="Y",$BF335,$BC335)+BK$7*IF($BE335="Y",$BG335,$BD335))*100/BK$7,"")</f>
        <v>16.39</v>
      </c>
      <c r="BL335" s="30">
        <f t="shared" si="747"/>
        <v>12.894999999999998</v>
      </c>
      <c r="BM335" s="30">
        <f t="shared" si="747"/>
        <v>14.147500000000001</v>
      </c>
      <c r="BN335" s="29">
        <f t="shared" si="747"/>
        <v>14.565</v>
      </c>
      <c r="BO335" s="85" t="str">
        <f t="shared" ref="BO335:BO336" si="748">IFERROR(SUMPRODUCT($BS$7:$CD$7,$BS335:$CD335)/100,"$$$")</f>
        <v>$$$</v>
      </c>
      <c r="BP335" s="88" t="str">
        <f t="shared" ref="BP335:BP336" si="749">IFERROR(BO335*100/BO$5,"$$$")</f>
        <v>$$$</v>
      </c>
      <c r="BQ335" s="88" t="str">
        <f t="shared" ref="BQ335:BQ336" si="750">IFERROR(SUMPRODUCT($BS$7:$CD$7,$BS335:$CD335,--($BS$4:$CD$4&lt;=$Q335))/SUMPRODUCT(--($BS$4:$CD$4&lt;=$Q335),$BS$7:$CD$7),"$$$")</f>
        <v>$$$</v>
      </c>
      <c r="BR335" s="88" t="str">
        <f t="shared" ref="BR335:BR336" si="751">IFERROR($BQ335-$BF335*100*SUMPRODUCT(--($BS$4:$CD$4&lt;=$Q335))/SUMPRODUCT(--($BS$4:$CD$4&lt;=$Q335),$BS$7:$CD$7)-$BG335*100,"$$$")</f>
        <v>$$$</v>
      </c>
      <c r="BS335" s="29" t="e">
        <f t="shared" ref="BS335:CD336" si="752">IF($CI335,IF(BS$7&gt;0,IF(BS$4&gt;$Q335,$BF335+BS$7*(BS$5+$BG335+$BI335),LOOKUP(BS$7,$AH335:$AL335,$AM335:$AQ335)+IF($AG335="Y",SUMPRODUCT($AX335:$BB335-$AW335:$BA335,BS$7-$AR335:$AV335,N(BS$7&gt;$AR335:$AV335)),BS$7*LOOKUP(BS$7,$AR335:$AV335,$AX335:$BB335))+IF($BE335="Y",$BF335,$BC335)+BS$7*IF($BE335="Y",$BG335,$BD335))*100/BS$7,""),NA())</f>
        <v>#N/A</v>
      </c>
      <c r="BT335" s="29" t="e">
        <f t="shared" si="752"/>
        <v>#N/A</v>
      </c>
      <c r="BU335" s="29" t="e">
        <f t="shared" si="752"/>
        <v>#N/A</v>
      </c>
      <c r="BV335" s="29" t="e">
        <f t="shared" si="752"/>
        <v>#N/A</v>
      </c>
      <c r="BW335" s="29" t="e">
        <f t="shared" si="752"/>
        <v>#N/A</v>
      </c>
      <c r="BX335" s="29" t="e">
        <f t="shared" si="752"/>
        <v>#N/A</v>
      </c>
      <c r="BY335" s="29" t="e">
        <f t="shared" si="752"/>
        <v>#N/A</v>
      </c>
      <c r="BZ335" s="29" t="e">
        <f t="shared" si="752"/>
        <v>#N/A</v>
      </c>
      <c r="CA335" s="29" t="e">
        <f t="shared" si="752"/>
        <v>#N/A</v>
      </c>
      <c r="CB335" s="29" t="e">
        <f t="shared" si="752"/>
        <v>#N/A</v>
      </c>
      <c r="CC335" s="29" t="e">
        <f t="shared" si="752"/>
        <v>#N/A</v>
      </c>
      <c r="CD335" s="29" t="e">
        <f t="shared" si="752"/>
        <v>#N/A</v>
      </c>
      <c r="CE335" s="6" t="str">
        <f t="shared" ref="CE335:CE398" si="753">IF(ISNUMBER(CF335),RANK($CF335,$CF$8:$CF$357,1),"")</f>
        <v/>
      </c>
      <c r="CF335" s="27" t="e">
        <f>IF(AND(CI335,NOT(AD335)),LOOKUP(CF$5,{0,750,1500},H335:J335),"")</f>
        <v>#N/A</v>
      </c>
      <c r="CG335" s="6" t="str">
        <f t="shared" ref="CG335:CG398" si="754">IF(ISNUMBER(CH335),RANK($CH335,$CH$8:$CH$357,1),"")</f>
        <v/>
      </c>
      <c r="CH335" t="e">
        <f t="shared" ref="CH335:CH336" si="755">IF(CI335,IF(ISNUMBER(BO335),BO335,100000)+CV335/10000+IF(ISNUMBER(BJ335),BJ335,2)/10000-P335/100000+ROW()/10000000,"")</f>
        <v>#N/A</v>
      </c>
      <c r="CI335" t="e">
        <f t="shared" ref="CI335:CI336" si="756">PRODUCT(CJ335:CQ335)</f>
        <v>#N/A</v>
      </c>
      <c r="CJ335" s="6" t="e">
        <f t="shared" ref="CJ335:CJ336" si="757">IF($E335=CJ$5,1,0)</f>
        <v>#N/A</v>
      </c>
      <c r="CK335" s="6">
        <f t="shared" ref="CK335:CK336" si="758">IF(CK$5="[Any]",1,IF($F335=CK$5,1,0))</f>
        <v>1</v>
      </c>
      <c r="CL335" s="6">
        <f t="shared" si="26"/>
        <v>1</v>
      </c>
      <c r="CM335" s="6">
        <f t="shared" ref="CM335:CM336" si="759">IF($O335="Fixed",1,0)</f>
        <v>1</v>
      </c>
      <c r="CN335" s="6">
        <f t="shared" ref="CN335:CN336" si="760">IF($Q335&gt;=CN$5,1,0)</f>
        <v>1</v>
      </c>
      <c r="CO335" s="6">
        <f t="shared" ref="CO335:CO336" si="761">IF($Q335&lt;=CO$5,1,0)</f>
        <v>0</v>
      </c>
      <c r="CP335" s="6">
        <f t="shared" ref="CP335:CP336" si="762">IF($P335&gt;=CP$5,1,0)</f>
        <v>1</v>
      </c>
      <c r="CQ335" s="6">
        <f t="shared" ref="CQ335:CQ336" si="763">IF(CQ$5="Any",1,IF(AND(CQ$5="Med",AV335=0,SUM(AN335:AQ335)=0),1,IF(AND(CQ$5="Low",AV335=0,SUM(AN335:AQ335)=0,AM335=0),1,IF(AND(CQ$5="Flat",AV335=0,SUM(AN335:AQ335)=0,AM335=0,IFERROR(NOT(BE335="Y"),0)),1,0))))</f>
        <v>1</v>
      </c>
      <c r="CR335" s="81" t="str">
        <f t="shared" ref="CR335:CR336" si="764">IF(ISNUMBER($CH335),$CH335+$CS335+$CW335,"")</f>
        <v/>
      </c>
      <c r="CS335">
        <f t="shared" ref="CS335:CS336" si="765">CS$5*(12/(MIN(12,Q335))-1)</f>
        <v>0</v>
      </c>
      <c r="CT335">
        <f t="shared" si="666"/>
        <v>20</v>
      </c>
      <c r="CU335" t="str">
        <f t="shared" si="29"/>
        <v>rm</v>
      </c>
      <c r="CV335" s="81">
        <f t="shared" ref="CV335:CV336" si="766">CT335*IF(CU335="",1,Q335)</f>
        <v>720</v>
      </c>
      <c r="CW335" s="81">
        <f>(CV335/25)^1.5*(Calculator!$BU$4/10000)*CW$5</f>
        <v>399.08260508152779</v>
      </c>
      <c r="CX335" t="str">
        <f t="shared" ref="CX335:CX336" si="767">"$"&amp;IF(LEFT(CU335,1)="r",CT335&amp;"/"&amp;CU335,CV335)</f>
        <v>$20/rm</v>
      </c>
    </row>
    <row r="336" spans="2:102" x14ac:dyDescent="0.25">
      <c r="B336" s="115" t="s">
        <v>233</v>
      </c>
      <c r="C336" s="13">
        <v>46218.518055555556</v>
      </c>
      <c r="D336">
        <v>31481</v>
      </c>
      <c r="E336" s="54" t="s">
        <v>237</v>
      </c>
      <c r="F336" s="54" t="s">
        <v>720</v>
      </c>
      <c r="G336" s="54" t="s">
        <v>735</v>
      </c>
      <c r="H336" s="55">
        <v>16.3</v>
      </c>
      <c r="I336" s="55">
        <v>15.8</v>
      </c>
      <c r="J336" s="55">
        <v>15.5</v>
      </c>
      <c r="K336" s="54"/>
      <c r="L336" s="56" t="b">
        <v>0</v>
      </c>
      <c r="M336" s="56" t="b">
        <v>0</v>
      </c>
      <c r="N336" s="54">
        <v>1</v>
      </c>
      <c r="O336" s="54" t="s">
        <v>228</v>
      </c>
      <c r="P336" s="54">
        <v>3</v>
      </c>
      <c r="Q336" s="54">
        <v>36</v>
      </c>
      <c r="R336" s="54" t="s">
        <v>723</v>
      </c>
      <c r="S336" s="54" t="s">
        <v>724</v>
      </c>
      <c r="T336" s="54" t="s">
        <v>725</v>
      </c>
      <c r="U336" s="54" t="s">
        <v>736</v>
      </c>
      <c r="V336" s="54" t="s">
        <v>737</v>
      </c>
      <c r="W336" s="54" t="b">
        <v>0</v>
      </c>
      <c r="X336" s="54"/>
      <c r="Y336" s="57" t="s">
        <v>738</v>
      </c>
      <c r="Z336" s="54" t="s">
        <v>729</v>
      </c>
      <c r="AA336" s="54"/>
      <c r="AB336" s="54" t="s">
        <v>730</v>
      </c>
      <c r="AC336" s="56" t="b">
        <v>0</v>
      </c>
      <c r="AD336" s="56" t="b">
        <v>0</v>
      </c>
      <c r="AE336" s="54" t="s">
        <v>302</v>
      </c>
      <c r="AF336" s="58">
        <v>46218</v>
      </c>
      <c r="AG336" s="62" t="s">
        <v>293</v>
      </c>
      <c r="AH336" s="54">
        <v>0</v>
      </c>
      <c r="AI336" s="54"/>
      <c r="AJ336" s="54"/>
      <c r="AK336" s="54"/>
      <c r="AL336" s="54"/>
      <c r="AM336" s="54">
        <v>4.95</v>
      </c>
      <c r="AN336" s="54"/>
      <c r="AO336" s="54"/>
      <c r="AP336" s="54"/>
      <c r="AQ336" s="54"/>
      <c r="AR336" s="54"/>
      <c r="AS336" s="54"/>
      <c r="AT336" s="54"/>
      <c r="AU336" s="54"/>
      <c r="AV336" s="54"/>
      <c r="AW336" s="54"/>
      <c r="AX336" s="59"/>
      <c r="AY336" s="59"/>
      <c r="AZ336" s="59"/>
      <c r="BA336" s="59"/>
      <c r="BB336" s="59">
        <v>0.153</v>
      </c>
      <c r="BC336" s="60"/>
      <c r="BD336" s="61"/>
      <c r="BE336" s="62" t="s">
        <v>731</v>
      </c>
      <c r="BF336" s="35">
        <f t="shared" si="744"/>
        <v>4.0600000000000005</v>
      </c>
      <c r="BG336" s="35">
        <f t="shared" si="744"/>
        <v>6.0295000000000001E-2</v>
      </c>
      <c r="BH336" s="35" t="str">
        <f t="shared" si="745"/>
        <v>Med</v>
      </c>
      <c r="BI336" s="110">
        <f t="shared" si="746"/>
        <v>0</v>
      </c>
      <c r="BJ336" s="83">
        <f>VLOOKUP($F336,REP_Info!$D$6:$H$250,5,FALSE)</f>
        <v>1.272</v>
      </c>
      <c r="BK336" s="30">
        <f t="shared" si="747"/>
        <v>16.29</v>
      </c>
      <c r="BL336" s="30">
        <f t="shared" si="747"/>
        <v>15.794999999999998</v>
      </c>
      <c r="BM336" s="30">
        <f t="shared" si="747"/>
        <v>15.547499999999999</v>
      </c>
      <c r="BN336" s="29">
        <f t="shared" si="747"/>
        <v>15.465</v>
      </c>
      <c r="BO336" s="85" t="str">
        <f t="shared" si="748"/>
        <v>$$$</v>
      </c>
      <c r="BP336" s="88" t="str">
        <f t="shared" si="749"/>
        <v>$$$</v>
      </c>
      <c r="BQ336" s="88" t="str">
        <f t="shared" si="750"/>
        <v>$$$</v>
      </c>
      <c r="BR336" s="88" t="str">
        <f t="shared" si="751"/>
        <v>$$$</v>
      </c>
      <c r="BS336" s="29" t="e">
        <f t="shared" si="752"/>
        <v>#N/A</v>
      </c>
      <c r="BT336" s="29" t="e">
        <f t="shared" si="752"/>
        <v>#N/A</v>
      </c>
      <c r="BU336" s="29" t="e">
        <f t="shared" si="752"/>
        <v>#N/A</v>
      </c>
      <c r="BV336" s="29" t="e">
        <f t="shared" si="752"/>
        <v>#N/A</v>
      </c>
      <c r="BW336" s="29" t="e">
        <f t="shared" si="752"/>
        <v>#N/A</v>
      </c>
      <c r="BX336" s="29" t="e">
        <f t="shared" si="752"/>
        <v>#N/A</v>
      </c>
      <c r="BY336" s="29" t="e">
        <f t="shared" si="752"/>
        <v>#N/A</v>
      </c>
      <c r="BZ336" s="29" t="e">
        <f t="shared" si="752"/>
        <v>#N/A</v>
      </c>
      <c r="CA336" s="29" t="e">
        <f t="shared" si="752"/>
        <v>#N/A</v>
      </c>
      <c r="CB336" s="29" t="e">
        <f t="shared" si="752"/>
        <v>#N/A</v>
      </c>
      <c r="CC336" s="29" t="e">
        <f t="shared" si="752"/>
        <v>#N/A</v>
      </c>
      <c r="CD336" s="29" t="e">
        <f t="shared" si="752"/>
        <v>#N/A</v>
      </c>
      <c r="CE336" s="6" t="str">
        <f t="shared" si="753"/>
        <v/>
      </c>
      <c r="CF336" s="27" t="e">
        <f>IF(AND(CI336,NOT(AD336)),LOOKUP(CF$5,{0,750,1500},H336:J336),"")</f>
        <v>#N/A</v>
      </c>
      <c r="CG336" s="6" t="str">
        <f t="shared" si="754"/>
        <v/>
      </c>
      <c r="CH336" t="e">
        <f t="shared" si="755"/>
        <v>#N/A</v>
      </c>
      <c r="CI336" t="e">
        <f t="shared" si="756"/>
        <v>#N/A</v>
      </c>
      <c r="CJ336" s="6" t="e">
        <f t="shared" si="757"/>
        <v>#N/A</v>
      </c>
      <c r="CK336" s="6">
        <f t="shared" si="758"/>
        <v>1</v>
      </c>
      <c r="CL336" s="6">
        <f t="shared" si="26"/>
        <v>1</v>
      </c>
      <c r="CM336" s="6">
        <f t="shared" si="759"/>
        <v>1</v>
      </c>
      <c r="CN336" s="6">
        <f t="shared" si="760"/>
        <v>1</v>
      </c>
      <c r="CO336" s="6">
        <f t="shared" si="761"/>
        <v>0</v>
      </c>
      <c r="CP336" s="6">
        <f t="shared" si="762"/>
        <v>1</v>
      </c>
      <c r="CQ336" s="6">
        <f t="shared" si="763"/>
        <v>1</v>
      </c>
      <c r="CR336" s="81" t="str">
        <f t="shared" si="764"/>
        <v/>
      </c>
      <c r="CS336">
        <f t="shared" si="765"/>
        <v>0</v>
      </c>
      <c r="CT336">
        <f t="shared" si="666"/>
        <v>20</v>
      </c>
      <c r="CU336" t="str">
        <f t="shared" si="29"/>
        <v>rm</v>
      </c>
      <c r="CV336" s="81">
        <f t="shared" si="766"/>
        <v>720</v>
      </c>
      <c r="CW336" s="81">
        <f>(CV336/25)^1.5*(Calculator!$BU$4/10000)*CW$5</f>
        <v>399.08260508152779</v>
      </c>
      <c r="CX336" t="str">
        <f t="shared" si="767"/>
        <v>$20/rm</v>
      </c>
    </row>
    <row r="337" spans="2:102" x14ac:dyDescent="0.25">
      <c r="B337" s="115" t="s">
        <v>233</v>
      </c>
      <c r="C337" s="13">
        <v>46218.518055555556</v>
      </c>
      <c r="D337">
        <v>31482</v>
      </c>
      <c r="E337" s="54" t="s">
        <v>235</v>
      </c>
      <c r="F337" s="54" t="s">
        <v>720</v>
      </c>
      <c r="G337" s="54" t="s">
        <v>735</v>
      </c>
      <c r="H337" s="55">
        <v>15.299999999999999</v>
      </c>
      <c r="I337" s="55">
        <v>14.799999999999999</v>
      </c>
      <c r="J337" s="55">
        <v>14.499999999999998</v>
      </c>
      <c r="K337" s="54"/>
      <c r="L337" s="56" t="b">
        <v>0</v>
      </c>
      <c r="M337" s="56" t="b">
        <v>0</v>
      </c>
      <c r="N337" s="54">
        <v>1</v>
      </c>
      <c r="O337" s="54" t="s">
        <v>228</v>
      </c>
      <c r="P337" s="54">
        <v>3</v>
      </c>
      <c r="Q337" s="54">
        <v>36</v>
      </c>
      <c r="R337" s="54" t="s">
        <v>723</v>
      </c>
      <c r="S337" s="54" t="s">
        <v>724</v>
      </c>
      <c r="T337" s="54" t="s">
        <v>725</v>
      </c>
      <c r="U337" s="54" t="s">
        <v>739</v>
      </c>
      <c r="V337" s="54" t="s">
        <v>740</v>
      </c>
      <c r="W337" s="54" t="b">
        <v>0</v>
      </c>
      <c r="X337" s="54"/>
      <c r="Y337" s="57" t="s">
        <v>741</v>
      </c>
      <c r="Z337" s="54" t="s">
        <v>729</v>
      </c>
      <c r="AA337" s="54"/>
      <c r="AB337" s="54" t="s">
        <v>730</v>
      </c>
      <c r="AC337" s="56" t="b">
        <v>0</v>
      </c>
      <c r="AD337" s="56" t="b">
        <v>0</v>
      </c>
      <c r="AE337" s="54" t="s">
        <v>302</v>
      </c>
      <c r="AF337" s="58">
        <v>46218</v>
      </c>
      <c r="AG337" s="62" t="s">
        <v>293</v>
      </c>
      <c r="AH337" s="54">
        <v>0</v>
      </c>
      <c r="AI337" s="54"/>
      <c r="AJ337" s="54"/>
      <c r="AK337" s="54"/>
      <c r="AL337" s="54"/>
      <c r="AM337" s="54">
        <v>4.95</v>
      </c>
      <c r="AN337" s="54"/>
      <c r="AO337" s="54"/>
      <c r="AP337" s="54"/>
      <c r="AQ337" s="54"/>
      <c r="AR337" s="54"/>
      <c r="AS337" s="54"/>
      <c r="AT337" s="54"/>
      <c r="AU337" s="54"/>
      <c r="AV337" s="54"/>
      <c r="AW337" s="54"/>
      <c r="AX337" s="59"/>
      <c r="AY337" s="59"/>
      <c r="AZ337" s="59"/>
      <c r="BA337" s="59"/>
      <c r="BB337" s="59">
        <v>0.14299999999999999</v>
      </c>
      <c r="BC337" s="60"/>
      <c r="BD337" s="61"/>
      <c r="BE337" s="62" t="s">
        <v>731</v>
      </c>
      <c r="BF337" s="35">
        <f t="shared" si="0"/>
        <v>4.9000000000000004</v>
      </c>
      <c r="BG337" s="35">
        <f t="shared" si="0"/>
        <v>4.9811000000000001E-2</v>
      </c>
      <c r="BH337" s="35" t="str">
        <f t="shared" ref="BH337:BH343" si="768">IF(ISTEXT(BE337),IF(AND(AV337=0,SUM(AN337:AQ337)=0),IF(AM337&lt;=0,IF(BE337="Y","Low","Flat"),"Med"),"High"),"?")</f>
        <v>Med</v>
      </c>
      <c r="BI337" s="110">
        <f t="shared" ref="BI337:BI343" si="769">IF(ISNUMBER(AH337),0*BI$5*SIN((EDATE($A$3,$Q337)-DATE(YEAR(EDATE($A$3,$Q337)),1,0)-BI$4)*2*PI()/365),"")</f>
        <v>0</v>
      </c>
      <c r="BJ337" s="83">
        <f>VLOOKUP($F337,REP_Info!$D$6:$H$250,5,FALSE)</f>
        <v>1.272</v>
      </c>
      <c r="BK337" s="30">
        <f t="shared" ref="BK337:BN343" si="770">IF(BK$7&gt;0,(LOOKUP(BK$7,$AH337:$AL337,$AM337:$AQ337)+IF($AG337="Y",SUMPRODUCT($AX337:$BB337-$AW337:$BA337,BK$7-$AR337:$AV337,N(BK$7&gt;$AR337:$AV337)),BK$7*LOOKUP(BK$7,$AR337:$AV337,$AX337:$BB337))+IF($BE337="Y",$BF337,$BC337)+BK$7*IF($BE337="Y",$BG337,$BD337))*100/BK$7,"")</f>
        <v>15.29</v>
      </c>
      <c r="BL337" s="30">
        <f t="shared" si="770"/>
        <v>14.794999999999998</v>
      </c>
      <c r="BM337" s="30">
        <f t="shared" si="770"/>
        <v>14.547499999999999</v>
      </c>
      <c r="BN337" s="29">
        <f t="shared" si="770"/>
        <v>14.464999999999998</v>
      </c>
      <c r="BO337" s="85" t="str">
        <f t="shared" si="2"/>
        <v>$$$</v>
      </c>
      <c r="BP337" s="88" t="str">
        <f t="shared" ref="BP337:BP343" si="771">IFERROR(BO337*100/BO$5,"$$$")</f>
        <v>$$$</v>
      </c>
      <c r="BQ337" s="88" t="str">
        <f t="shared" si="4"/>
        <v>$$$</v>
      </c>
      <c r="BR337" s="88" t="str">
        <f t="shared" si="5"/>
        <v>$$$</v>
      </c>
      <c r="BS337" s="29" t="e">
        <f t="shared" ref="BS337:CD343" si="772">IF($CI337,IF(BS$7&gt;0,IF(BS$4&gt;$Q337,$BF337+BS$7*(BS$5+$BG337+$BI337),LOOKUP(BS$7,$AH337:$AL337,$AM337:$AQ337)+IF($AG337="Y",SUMPRODUCT($AX337:$BB337-$AW337:$BA337,BS$7-$AR337:$AV337,N(BS$7&gt;$AR337:$AV337)),BS$7*LOOKUP(BS$7,$AR337:$AV337,$AX337:$BB337))+IF($BE337="Y",$BF337,$BC337)+BS$7*IF($BE337="Y",$BG337,$BD337))*100/BS$7,""),NA())</f>
        <v>#N/A</v>
      </c>
      <c r="BT337" s="29" t="e">
        <f t="shared" si="772"/>
        <v>#N/A</v>
      </c>
      <c r="BU337" s="29" t="e">
        <f t="shared" si="772"/>
        <v>#N/A</v>
      </c>
      <c r="BV337" s="29" t="e">
        <f t="shared" si="772"/>
        <v>#N/A</v>
      </c>
      <c r="BW337" s="29" t="e">
        <f t="shared" si="772"/>
        <v>#N/A</v>
      </c>
      <c r="BX337" s="29" t="e">
        <f t="shared" si="772"/>
        <v>#N/A</v>
      </c>
      <c r="BY337" s="29" t="e">
        <f t="shared" si="772"/>
        <v>#N/A</v>
      </c>
      <c r="BZ337" s="29" t="e">
        <f t="shared" si="772"/>
        <v>#N/A</v>
      </c>
      <c r="CA337" s="29" t="e">
        <f t="shared" si="772"/>
        <v>#N/A</v>
      </c>
      <c r="CB337" s="29" t="e">
        <f t="shared" si="772"/>
        <v>#N/A</v>
      </c>
      <c r="CC337" s="29" t="e">
        <f t="shared" si="772"/>
        <v>#N/A</v>
      </c>
      <c r="CD337" s="29" t="e">
        <f t="shared" si="772"/>
        <v>#N/A</v>
      </c>
      <c r="CE337" s="6" t="str">
        <f t="shared" si="753"/>
        <v/>
      </c>
      <c r="CF337" s="27" t="e">
        <f>IF(AND(CI337,NOT(AD337)),LOOKUP(CF$5,{0,750,1500},H337:J337),"")</f>
        <v>#N/A</v>
      </c>
      <c r="CG337" s="6" t="str">
        <f t="shared" si="754"/>
        <v/>
      </c>
      <c r="CH337" t="e">
        <f t="shared" ref="CH337:CH343" si="773">IF(CI337,IF(ISNUMBER(BO337),BO337,100000)+CV337/10000+IF(ISNUMBER(BJ337),BJ337,2)/10000-P337/100000+ROW()/10000000,"")</f>
        <v>#N/A</v>
      </c>
      <c r="CI337" t="e">
        <f t="shared" ref="CI337:CI343" si="774">PRODUCT(CJ337:CQ337)</f>
        <v>#N/A</v>
      </c>
      <c r="CJ337" s="6" t="e">
        <f t="shared" si="11"/>
        <v>#N/A</v>
      </c>
      <c r="CK337" s="6">
        <f t="shared" si="12"/>
        <v>1</v>
      </c>
      <c r="CL337" s="6">
        <f t="shared" si="26"/>
        <v>1</v>
      </c>
      <c r="CM337" s="6">
        <f t="shared" si="13"/>
        <v>1</v>
      </c>
      <c r="CN337" s="6">
        <f t="shared" si="14"/>
        <v>1</v>
      </c>
      <c r="CO337" s="6">
        <f t="shared" si="15"/>
        <v>0</v>
      </c>
      <c r="CP337" s="6">
        <f t="shared" si="16"/>
        <v>1</v>
      </c>
      <c r="CQ337" s="6">
        <f t="shared" ref="CQ337:CQ343" si="775">IF(CQ$5="Any",1,IF(AND(CQ$5="Med",AV337=0,SUM(AN337:AQ337)=0),1,IF(AND(CQ$5="Low",AV337=0,SUM(AN337:AQ337)=0,AM337=0),1,IF(AND(CQ$5="Flat",AV337=0,SUM(AN337:AQ337)=0,AM337=0,IFERROR(NOT(BE337="Y"),0)),1,0))))</f>
        <v>1</v>
      </c>
      <c r="CR337" s="81" t="str">
        <f t="shared" si="17"/>
        <v/>
      </c>
      <c r="CS337">
        <f t="shared" ref="CS337:CS343" si="776">CS$5*(12/(MIN(12,Q337))-1)</f>
        <v>0</v>
      </c>
      <c r="CT337">
        <f t="shared" si="666"/>
        <v>20</v>
      </c>
      <c r="CU337" t="str">
        <f t="shared" si="29"/>
        <v>rm</v>
      </c>
      <c r="CV337" s="81">
        <f t="shared" ref="CV337:CV343" si="777">CT337*IF(CU337="",1,Q337)</f>
        <v>720</v>
      </c>
      <c r="CW337" s="81">
        <f>(CV337/25)^1.5*(Calculator!$BU$4/10000)*CW$5</f>
        <v>399.08260508152779</v>
      </c>
      <c r="CX337" t="str">
        <f t="shared" ref="CX337:CX343" si="778">"$"&amp;IF(LEFT(CU337,1)="r",CT337&amp;"/"&amp;CU337,CV337)</f>
        <v>$20/rm</v>
      </c>
    </row>
    <row r="338" spans="2:102" x14ac:dyDescent="0.25">
      <c r="B338" s="115" t="s">
        <v>233</v>
      </c>
      <c r="C338" s="13">
        <v>46218.518055555556</v>
      </c>
      <c r="D338">
        <v>31494</v>
      </c>
      <c r="E338" s="54" t="s">
        <v>237</v>
      </c>
      <c r="F338" s="54" t="s">
        <v>720</v>
      </c>
      <c r="G338" s="54" t="s">
        <v>742</v>
      </c>
      <c r="H338" s="55">
        <v>15.7</v>
      </c>
      <c r="I338" s="55">
        <v>15.2</v>
      </c>
      <c r="J338" s="55">
        <v>14.899999999999999</v>
      </c>
      <c r="K338" s="54"/>
      <c r="L338" s="56" t="b">
        <v>0</v>
      </c>
      <c r="M338" s="56" t="b">
        <v>0</v>
      </c>
      <c r="N338" s="54">
        <v>1</v>
      </c>
      <c r="O338" s="54" t="s">
        <v>228</v>
      </c>
      <c r="P338" s="54">
        <v>3</v>
      </c>
      <c r="Q338" s="54">
        <v>12</v>
      </c>
      <c r="R338" s="54" t="s">
        <v>723</v>
      </c>
      <c r="S338" s="54" t="s">
        <v>724</v>
      </c>
      <c r="T338" s="54" t="s">
        <v>725</v>
      </c>
      <c r="U338" s="54" t="s">
        <v>743</v>
      </c>
      <c r="V338" s="54" t="s">
        <v>744</v>
      </c>
      <c r="W338" s="54" t="b">
        <v>0</v>
      </c>
      <c r="X338" s="54"/>
      <c r="Y338" s="57" t="s">
        <v>745</v>
      </c>
      <c r="Z338" s="54" t="s">
        <v>729</v>
      </c>
      <c r="AA338" s="54"/>
      <c r="AB338" s="54" t="s">
        <v>730</v>
      </c>
      <c r="AC338" s="56" t="b">
        <v>0</v>
      </c>
      <c r="AD338" s="56" t="b">
        <v>0</v>
      </c>
      <c r="AE338" s="54" t="s">
        <v>302</v>
      </c>
      <c r="AF338" s="58">
        <v>46218</v>
      </c>
      <c r="AG338" s="62" t="s">
        <v>293</v>
      </c>
      <c r="AH338" s="54">
        <v>0</v>
      </c>
      <c r="AI338" s="54"/>
      <c r="AJ338" s="54"/>
      <c r="AK338" s="54"/>
      <c r="AL338" s="54"/>
      <c r="AM338" s="54">
        <v>4.95</v>
      </c>
      <c r="AN338" s="54"/>
      <c r="AO338" s="54"/>
      <c r="AP338" s="54"/>
      <c r="AQ338" s="54"/>
      <c r="AR338" s="54"/>
      <c r="AS338" s="54"/>
      <c r="AT338" s="54"/>
      <c r="AU338" s="54"/>
      <c r="AV338" s="54"/>
      <c r="AW338" s="54"/>
      <c r="AX338" s="59"/>
      <c r="AY338" s="59"/>
      <c r="AZ338" s="59"/>
      <c r="BA338" s="59"/>
      <c r="BB338" s="59">
        <v>0.14699999999999999</v>
      </c>
      <c r="BC338" s="60"/>
      <c r="BD338" s="61"/>
      <c r="BE338" s="62" t="s">
        <v>731</v>
      </c>
      <c r="BF338" s="35">
        <f t="shared" si="0"/>
        <v>4.0600000000000005</v>
      </c>
      <c r="BG338" s="35">
        <f t="shared" si="0"/>
        <v>6.0295000000000001E-2</v>
      </c>
      <c r="BH338" s="35" t="str">
        <f t="shared" si="768"/>
        <v>Med</v>
      </c>
      <c r="BI338" s="110">
        <f t="shared" si="769"/>
        <v>0</v>
      </c>
      <c r="BJ338" s="83">
        <f>VLOOKUP($F338,REP_Info!$D$6:$H$250,5,FALSE)</f>
        <v>1.272</v>
      </c>
      <c r="BK338" s="30">
        <f t="shared" si="770"/>
        <v>15.69</v>
      </c>
      <c r="BL338" s="30">
        <f t="shared" si="770"/>
        <v>15.194999999999999</v>
      </c>
      <c r="BM338" s="30">
        <f t="shared" si="770"/>
        <v>14.9475</v>
      </c>
      <c r="BN338" s="29">
        <f t="shared" si="770"/>
        <v>14.865</v>
      </c>
      <c r="BO338" s="85" t="str">
        <f t="shared" si="2"/>
        <v>$$$</v>
      </c>
      <c r="BP338" s="88" t="str">
        <f t="shared" si="771"/>
        <v>$$$</v>
      </c>
      <c r="BQ338" s="88" t="str">
        <f t="shared" si="4"/>
        <v>$$$</v>
      </c>
      <c r="BR338" s="88" t="str">
        <f t="shared" si="5"/>
        <v>$$$</v>
      </c>
      <c r="BS338" s="29" t="e">
        <f t="shared" si="772"/>
        <v>#N/A</v>
      </c>
      <c r="BT338" s="29" t="e">
        <f t="shared" si="772"/>
        <v>#N/A</v>
      </c>
      <c r="BU338" s="29" t="e">
        <f t="shared" si="772"/>
        <v>#N/A</v>
      </c>
      <c r="BV338" s="29" t="e">
        <f t="shared" si="772"/>
        <v>#N/A</v>
      </c>
      <c r="BW338" s="29" t="e">
        <f t="shared" si="772"/>
        <v>#N/A</v>
      </c>
      <c r="BX338" s="29" t="e">
        <f t="shared" si="772"/>
        <v>#N/A</v>
      </c>
      <c r="BY338" s="29" t="e">
        <f t="shared" si="772"/>
        <v>#N/A</v>
      </c>
      <c r="BZ338" s="29" t="e">
        <f t="shared" si="772"/>
        <v>#N/A</v>
      </c>
      <c r="CA338" s="29" t="e">
        <f t="shared" si="772"/>
        <v>#N/A</v>
      </c>
      <c r="CB338" s="29" t="e">
        <f t="shared" si="772"/>
        <v>#N/A</v>
      </c>
      <c r="CC338" s="29" t="e">
        <f t="shared" si="772"/>
        <v>#N/A</v>
      </c>
      <c r="CD338" s="29" t="e">
        <f t="shared" si="772"/>
        <v>#N/A</v>
      </c>
      <c r="CE338" s="6" t="str">
        <f t="shared" si="753"/>
        <v/>
      </c>
      <c r="CF338" s="27" t="e">
        <f>IF(AND(CI338,NOT(AD338)),LOOKUP(CF$5,{0,750,1500},H338:J338),"")</f>
        <v>#N/A</v>
      </c>
      <c r="CG338" s="6" t="str">
        <f t="shared" si="754"/>
        <v/>
      </c>
      <c r="CH338" t="e">
        <f t="shared" si="773"/>
        <v>#N/A</v>
      </c>
      <c r="CI338" t="e">
        <f t="shared" si="774"/>
        <v>#N/A</v>
      </c>
      <c r="CJ338" s="6" t="e">
        <f t="shared" si="11"/>
        <v>#N/A</v>
      </c>
      <c r="CK338" s="6">
        <f t="shared" si="12"/>
        <v>1</v>
      </c>
      <c r="CL338" s="6">
        <f t="shared" si="26"/>
        <v>1</v>
      </c>
      <c r="CM338" s="6">
        <f t="shared" si="13"/>
        <v>1</v>
      </c>
      <c r="CN338" s="6">
        <f t="shared" si="14"/>
        <v>1</v>
      </c>
      <c r="CO338" s="6">
        <f t="shared" si="15"/>
        <v>1</v>
      </c>
      <c r="CP338" s="6">
        <f t="shared" si="16"/>
        <v>1</v>
      </c>
      <c r="CQ338" s="6">
        <f t="shared" si="775"/>
        <v>1</v>
      </c>
      <c r="CR338" s="81" t="str">
        <f t="shared" si="17"/>
        <v/>
      </c>
      <c r="CS338">
        <f t="shared" si="776"/>
        <v>0</v>
      </c>
      <c r="CT338">
        <f t="shared" si="666"/>
        <v>20</v>
      </c>
      <c r="CU338" t="str">
        <f t="shared" si="29"/>
        <v>rm</v>
      </c>
      <c r="CV338" s="81">
        <f t="shared" si="777"/>
        <v>240</v>
      </c>
      <c r="CW338" s="81">
        <f>(CV338/25)^1.5*(Calculator!$BU$4/10000)*CW$5</f>
        <v>76.803483157572401</v>
      </c>
      <c r="CX338" t="str">
        <f t="shared" si="778"/>
        <v>$20/rm</v>
      </c>
    </row>
    <row r="339" spans="2:102" x14ac:dyDescent="0.25">
      <c r="B339" s="115" t="s">
        <v>233</v>
      </c>
      <c r="C339" s="13">
        <v>46218.518055555556</v>
      </c>
      <c r="D339">
        <v>31495</v>
      </c>
      <c r="E339" s="54" t="s">
        <v>235</v>
      </c>
      <c r="F339" s="54" t="s">
        <v>720</v>
      </c>
      <c r="G339" s="54" t="s">
        <v>742</v>
      </c>
      <c r="H339" s="55">
        <v>14.7</v>
      </c>
      <c r="I339" s="55">
        <v>14.2</v>
      </c>
      <c r="J339" s="55">
        <v>13.900000000000002</v>
      </c>
      <c r="K339" s="54"/>
      <c r="L339" s="56" t="b">
        <v>0</v>
      </c>
      <c r="M339" s="56" t="b">
        <v>0</v>
      </c>
      <c r="N339" s="54">
        <v>1</v>
      </c>
      <c r="O339" s="54" t="s">
        <v>228</v>
      </c>
      <c r="P339" s="54">
        <v>3</v>
      </c>
      <c r="Q339" s="54">
        <v>12</v>
      </c>
      <c r="R339" s="54" t="s">
        <v>723</v>
      </c>
      <c r="S339" s="54" t="s">
        <v>724</v>
      </c>
      <c r="T339" s="54" t="s">
        <v>725</v>
      </c>
      <c r="U339" s="54" t="s">
        <v>746</v>
      </c>
      <c r="V339" s="54" t="s">
        <v>747</v>
      </c>
      <c r="W339" s="54" t="b">
        <v>0</v>
      </c>
      <c r="X339" s="54"/>
      <c r="Y339" s="57" t="s">
        <v>748</v>
      </c>
      <c r="Z339" s="54" t="s">
        <v>729</v>
      </c>
      <c r="AA339" s="54"/>
      <c r="AB339" s="54" t="s">
        <v>730</v>
      </c>
      <c r="AC339" s="56" t="b">
        <v>0</v>
      </c>
      <c r="AD339" s="56" t="b">
        <v>0</v>
      </c>
      <c r="AE339" s="54" t="s">
        <v>302</v>
      </c>
      <c r="AF339" s="58">
        <v>46218</v>
      </c>
      <c r="AG339" s="62" t="s">
        <v>293</v>
      </c>
      <c r="AH339" s="54">
        <v>0</v>
      </c>
      <c r="AI339" s="54"/>
      <c r="AJ339" s="54"/>
      <c r="AK339" s="54"/>
      <c r="AL339" s="54"/>
      <c r="AM339" s="54">
        <v>4.95</v>
      </c>
      <c r="AN339" s="54"/>
      <c r="AO339" s="54"/>
      <c r="AP339" s="54"/>
      <c r="AQ339" s="54"/>
      <c r="AR339" s="54"/>
      <c r="AS339" s="54"/>
      <c r="AT339" s="54"/>
      <c r="AU339" s="54"/>
      <c r="AV339" s="54"/>
      <c r="AW339" s="54"/>
      <c r="AX339" s="59"/>
      <c r="AY339" s="59"/>
      <c r="AZ339" s="59"/>
      <c r="BA339" s="59"/>
      <c r="BB339" s="59">
        <v>0.13700000000000001</v>
      </c>
      <c r="BC339" s="60"/>
      <c r="BD339" s="61"/>
      <c r="BE339" s="62" t="s">
        <v>731</v>
      </c>
      <c r="BF339" s="35">
        <f t="shared" ref="BF339:BG343" si="779">IF($E339=$E$4,BF$4,IF($E339=$E$5,BF$5,""))</f>
        <v>4.9000000000000004</v>
      </c>
      <c r="BG339" s="35">
        <f t="shared" si="779"/>
        <v>4.9811000000000001E-2</v>
      </c>
      <c r="BH339" s="35" t="str">
        <f t="shared" si="768"/>
        <v>Med</v>
      </c>
      <c r="BI339" s="110">
        <f t="shared" si="769"/>
        <v>0</v>
      </c>
      <c r="BJ339" s="83">
        <f>VLOOKUP($F339,REP_Info!$D$6:$H$250,5,FALSE)</f>
        <v>1.272</v>
      </c>
      <c r="BK339" s="30">
        <f t="shared" si="770"/>
        <v>14.69</v>
      </c>
      <c r="BL339" s="30">
        <f t="shared" si="770"/>
        <v>14.194999999999999</v>
      </c>
      <c r="BM339" s="30">
        <f t="shared" si="770"/>
        <v>13.9475</v>
      </c>
      <c r="BN339" s="29">
        <f t="shared" si="770"/>
        <v>13.865000000000002</v>
      </c>
      <c r="BO339" s="85" t="str">
        <f t="shared" si="2"/>
        <v>$$$</v>
      </c>
      <c r="BP339" s="88" t="str">
        <f t="shared" si="771"/>
        <v>$$$</v>
      </c>
      <c r="BQ339" s="88" t="str">
        <f t="shared" si="4"/>
        <v>$$$</v>
      </c>
      <c r="BR339" s="88" t="str">
        <f t="shared" si="5"/>
        <v>$$$</v>
      </c>
      <c r="BS339" s="29" t="e">
        <f t="shared" si="772"/>
        <v>#N/A</v>
      </c>
      <c r="BT339" s="29" t="e">
        <f t="shared" si="772"/>
        <v>#N/A</v>
      </c>
      <c r="BU339" s="29" t="e">
        <f t="shared" si="772"/>
        <v>#N/A</v>
      </c>
      <c r="BV339" s="29" t="e">
        <f t="shared" si="772"/>
        <v>#N/A</v>
      </c>
      <c r="BW339" s="29" t="e">
        <f t="shared" si="772"/>
        <v>#N/A</v>
      </c>
      <c r="BX339" s="29" t="e">
        <f t="shared" si="772"/>
        <v>#N/A</v>
      </c>
      <c r="BY339" s="29" t="e">
        <f t="shared" si="772"/>
        <v>#N/A</v>
      </c>
      <c r="BZ339" s="29" t="e">
        <f t="shared" si="772"/>
        <v>#N/A</v>
      </c>
      <c r="CA339" s="29" t="e">
        <f t="shared" si="772"/>
        <v>#N/A</v>
      </c>
      <c r="CB339" s="29" t="e">
        <f t="shared" si="772"/>
        <v>#N/A</v>
      </c>
      <c r="CC339" s="29" t="e">
        <f t="shared" si="772"/>
        <v>#N/A</v>
      </c>
      <c r="CD339" s="29" t="e">
        <f t="shared" si="772"/>
        <v>#N/A</v>
      </c>
      <c r="CE339" s="6" t="str">
        <f t="shared" si="753"/>
        <v/>
      </c>
      <c r="CF339" s="27" t="e">
        <f>IF(AND(CI339,NOT(AD339)),LOOKUP(CF$5,{0,750,1500},H339:J339),"")</f>
        <v>#N/A</v>
      </c>
      <c r="CG339" s="6" t="str">
        <f t="shared" si="754"/>
        <v/>
      </c>
      <c r="CH339" t="e">
        <f t="shared" si="773"/>
        <v>#N/A</v>
      </c>
      <c r="CI339" t="e">
        <f t="shared" si="774"/>
        <v>#N/A</v>
      </c>
      <c r="CJ339" s="6" t="e">
        <f t="shared" si="11"/>
        <v>#N/A</v>
      </c>
      <c r="CK339" s="6">
        <f t="shared" si="12"/>
        <v>1</v>
      </c>
      <c r="CL339" s="6">
        <f t="shared" si="26"/>
        <v>1</v>
      </c>
      <c r="CM339" s="6">
        <f t="shared" si="13"/>
        <v>1</v>
      </c>
      <c r="CN339" s="6">
        <f t="shared" si="14"/>
        <v>1</v>
      </c>
      <c r="CO339" s="6">
        <f t="shared" si="15"/>
        <v>1</v>
      </c>
      <c r="CP339" s="6">
        <f t="shared" si="16"/>
        <v>1</v>
      </c>
      <c r="CQ339" s="6">
        <f t="shared" si="775"/>
        <v>1</v>
      </c>
      <c r="CR339" s="81" t="str">
        <f t="shared" si="17"/>
        <v/>
      </c>
      <c r="CS339">
        <f t="shared" si="776"/>
        <v>0</v>
      </c>
      <c r="CT339">
        <f t="shared" si="666"/>
        <v>20</v>
      </c>
      <c r="CU339" t="str">
        <f t="shared" si="29"/>
        <v>rm</v>
      </c>
      <c r="CV339" s="81">
        <f t="shared" si="777"/>
        <v>240</v>
      </c>
      <c r="CW339" s="81">
        <f>(CV339/25)^1.5*(Calculator!$BU$4/10000)*CW$5</f>
        <v>76.803483157572401</v>
      </c>
      <c r="CX339" t="str">
        <f t="shared" si="778"/>
        <v>$20/rm</v>
      </c>
    </row>
    <row r="340" spans="2:102" x14ac:dyDescent="0.25">
      <c r="B340" s="115" t="s">
        <v>233</v>
      </c>
      <c r="C340" s="13">
        <v>46087.583333333336</v>
      </c>
      <c r="D340">
        <v>33171</v>
      </c>
      <c r="E340" s="54" t="s">
        <v>235</v>
      </c>
      <c r="F340" s="54" t="s">
        <v>720</v>
      </c>
      <c r="G340" s="54" t="s">
        <v>749</v>
      </c>
      <c r="H340" s="55">
        <v>14.299999999999999</v>
      </c>
      <c r="I340" s="55">
        <v>13.8</v>
      </c>
      <c r="J340" s="55">
        <v>13.5</v>
      </c>
      <c r="K340" s="54"/>
      <c r="L340" s="56" t="b">
        <v>0</v>
      </c>
      <c r="M340" s="56" t="b">
        <v>0</v>
      </c>
      <c r="N340" s="54">
        <v>1</v>
      </c>
      <c r="O340" s="54" t="s">
        <v>228</v>
      </c>
      <c r="P340" s="54">
        <v>3</v>
      </c>
      <c r="Q340" s="54">
        <v>28</v>
      </c>
      <c r="R340" s="54" t="s">
        <v>723</v>
      </c>
      <c r="S340" s="54" t="s">
        <v>724</v>
      </c>
      <c r="T340" s="54" t="s">
        <v>725</v>
      </c>
      <c r="U340" s="54" t="s">
        <v>750</v>
      </c>
      <c r="V340" s="54" t="s">
        <v>751</v>
      </c>
      <c r="W340" s="54" t="b">
        <v>0</v>
      </c>
      <c r="X340" s="54"/>
      <c r="Y340" s="57" t="s">
        <v>752</v>
      </c>
      <c r="Z340" s="54" t="s">
        <v>729</v>
      </c>
      <c r="AA340" s="54"/>
      <c r="AB340" s="54" t="s">
        <v>730</v>
      </c>
      <c r="AC340" s="56" t="b">
        <v>0</v>
      </c>
      <c r="AD340" s="56" t="b">
        <v>0</v>
      </c>
      <c r="AE340" s="54" t="s">
        <v>302</v>
      </c>
      <c r="AF340" s="58">
        <v>46087</v>
      </c>
      <c r="AG340" s="62" t="s">
        <v>293</v>
      </c>
      <c r="AH340" s="54">
        <v>0</v>
      </c>
      <c r="AI340" s="54"/>
      <c r="AJ340" s="54"/>
      <c r="AK340" s="54"/>
      <c r="AL340" s="54"/>
      <c r="AM340" s="54">
        <v>4.95</v>
      </c>
      <c r="AN340" s="54"/>
      <c r="AO340" s="54"/>
      <c r="AP340" s="54"/>
      <c r="AQ340" s="54"/>
      <c r="AR340" s="54"/>
      <c r="AS340" s="54"/>
      <c r="AT340" s="54"/>
      <c r="AU340" s="54"/>
      <c r="AV340" s="54"/>
      <c r="AW340" s="54"/>
      <c r="AX340" s="59"/>
      <c r="AY340" s="59"/>
      <c r="AZ340" s="59"/>
      <c r="BA340" s="59"/>
      <c r="BB340" s="59">
        <v>0.13300000000000001</v>
      </c>
      <c r="BC340" s="60"/>
      <c r="BD340" s="61"/>
      <c r="BE340" s="62" t="s">
        <v>731</v>
      </c>
      <c r="BF340" s="35">
        <f t="shared" si="779"/>
        <v>4.9000000000000004</v>
      </c>
      <c r="BG340" s="35">
        <f t="shared" si="779"/>
        <v>4.9811000000000001E-2</v>
      </c>
      <c r="BH340" s="35" t="str">
        <f t="shared" si="768"/>
        <v>Med</v>
      </c>
      <c r="BI340" s="110">
        <f t="shared" si="769"/>
        <v>0</v>
      </c>
      <c r="BJ340" s="83">
        <f>VLOOKUP($F340,REP_Info!$D$6:$H$250,5,FALSE)</f>
        <v>1.272</v>
      </c>
      <c r="BK340" s="30">
        <f t="shared" si="770"/>
        <v>14.29</v>
      </c>
      <c r="BL340" s="30">
        <f t="shared" si="770"/>
        <v>13.794999999999998</v>
      </c>
      <c r="BM340" s="30">
        <f t="shared" si="770"/>
        <v>13.547499999999999</v>
      </c>
      <c r="BN340" s="29">
        <f t="shared" si="770"/>
        <v>13.465</v>
      </c>
      <c r="BO340" s="85" t="str">
        <f t="shared" si="2"/>
        <v>$$$</v>
      </c>
      <c r="BP340" s="88" t="str">
        <f t="shared" si="771"/>
        <v>$$$</v>
      </c>
      <c r="BQ340" s="88" t="str">
        <f t="shared" si="4"/>
        <v>$$$</v>
      </c>
      <c r="BR340" s="88" t="str">
        <f t="shared" si="5"/>
        <v>$$$</v>
      </c>
      <c r="BS340" s="29" t="e">
        <f t="shared" si="772"/>
        <v>#N/A</v>
      </c>
      <c r="BT340" s="29" t="e">
        <f t="shared" si="772"/>
        <v>#N/A</v>
      </c>
      <c r="BU340" s="29" t="e">
        <f t="shared" si="772"/>
        <v>#N/A</v>
      </c>
      <c r="BV340" s="29" t="e">
        <f t="shared" si="772"/>
        <v>#N/A</v>
      </c>
      <c r="BW340" s="29" t="e">
        <f t="shared" si="772"/>
        <v>#N/A</v>
      </c>
      <c r="BX340" s="29" t="e">
        <f t="shared" si="772"/>
        <v>#N/A</v>
      </c>
      <c r="BY340" s="29" t="e">
        <f t="shared" si="772"/>
        <v>#N/A</v>
      </c>
      <c r="BZ340" s="29" t="e">
        <f t="shared" si="772"/>
        <v>#N/A</v>
      </c>
      <c r="CA340" s="29" t="e">
        <f t="shared" si="772"/>
        <v>#N/A</v>
      </c>
      <c r="CB340" s="29" t="e">
        <f t="shared" si="772"/>
        <v>#N/A</v>
      </c>
      <c r="CC340" s="29" t="e">
        <f t="shared" si="772"/>
        <v>#N/A</v>
      </c>
      <c r="CD340" s="29" t="e">
        <f t="shared" si="772"/>
        <v>#N/A</v>
      </c>
      <c r="CE340" s="6" t="str">
        <f t="shared" si="753"/>
        <v/>
      </c>
      <c r="CF340" s="27" t="e">
        <f>IF(AND(CI340,NOT(AD340)),LOOKUP(CF$5,{0,750,1500},H340:J340),"")</f>
        <v>#N/A</v>
      </c>
      <c r="CG340" s="6" t="str">
        <f t="shared" si="754"/>
        <v/>
      </c>
      <c r="CH340" t="e">
        <f t="shared" si="773"/>
        <v>#N/A</v>
      </c>
      <c r="CI340" t="e">
        <f t="shared" si="774"/>
        <v>#N/A</v>
      </c>
      <c r="CJ340" s="6" t="e">
        <f t="shared" si="11"/>
        <v>#N/A</v>
      </c>
      <c r="CK340" s="6">
        <f t="shared" si="12"/>
        <v>1</v>
      </c>
      <c r="CL340" s="6">
        <f t="shared" si="26"/>
        <v>1</v>
      </c>
      <c r="CM340" s="6">
        <f t="shared" si="13"/>
        <v>1</v>
      </c>
      <c r="CN340" s="6">
        <f t="shared" si="14"/>
        <v>1</v>
      </c>
      <c r="CO340" s="6">
        <f t="shared" si="15"/>
        <v>0</v>
      </c>
      <c r="CP340" s="6">
        <f t="shared" si="16"/>
        <v>1</v>
      </c>
      <c r="CQ340" s="6">
        <f t="shared" si="775"/>
        <v>1</v>
      </c>
      <c r="CR340" s="81" t="str">
        <f t="shared" si="17"/>
        <v/>
      </c>
      <c r="CS340">
        <f t="shared" si="776"/>
        <v>0</v>
      </c>
      <c r="CT340">
        <f t="shared" si="666"/>
        <v>20</v>
      </c>
      <c r="CU340" t="str">
        <f t="shared" si="29"/>
        <v>rm</v>
      </c>
      <c r="CV340" s="81">
        <f t="shared" si="777"/>
        <v>560</v>
      </c>
      <c r="CW340" s="81">
        <f>(CV340/25)^1.5*(Calculator!$BU$4/10000)*CW$5</f>
        <v>273.74493627121012</v>
      </c>
      <c r="CX340" t="str">
        <f t="shared" si="778"/>
        <v>$20/rm</v>
      </c>
    </row>
    <row r="341" spans="2:102" x14ac:dyDescent="0.25">
      <c r="B341" s="115" t="s">
        <v>233</v>
      </c>
      <c r="C341" s="13">
        <v>46218.518055555556</v>
      </c>
      <c r="D341">
        <v>34469</v>
      </c>
      <c r="E341" s="54" t="s">
        <v>237</v>
      </c>
      <c r="F341" s="54" t="s">
        <v>720</v>
      </c>
      <c r="G341" s="54" t="s">
        <v>749</v>
      </c>
      <c r="H341" s="55">
        <v>15.299999999999999</v>
      </c>
      <c r="I341" s="55">
        <v>14.799999999999999</v>
      </c>
      <c r="J341" s="55">
        <v>14.499999999999998</v>
      </c>
      <c r="K341" s="54"/>
      <c r="L341" s="56" t="b">
        <v>0</v>
      </c>
      <c r="M341" s="56" t="b">
        <v>0</v>
      </c>
      <c r="N341" s="54">
        <v>1</v>
      </c>
      <c r="O341" s="54" t="s">
        <v>228</v>
      </c>
      <c r="P341" s="54">
        <v>3</v>
      </c>
      <c r="Q341" s="54">
        <v>28</v>
      </c>
      <c r="R341" s="54" t="s">
        <v>723</v>
      </c>
      <c r="S341" s="54" t="s">
        <v>724</v>
      </c>
      <c r="T341" s="54" t="s">
        <v>725</v>
      </c>
      <c r="U341" s="54" t="s">
        <v>753</v>
      </c>
      <c r="V341" s="54" t="s">
        <v>754</v>
      </c>
      <c r="W341" s="54" t="b">
        <v>0</v>
      </c>
      <c r="X341" s="54"/>
      <c r="Y341" s="57" t="s">
        <v>755</v>
      </c>
      <c r="Z341" s="54" t="s">
        <v>729</v>
      </c>
      <c r="AA341" s="54"/>
      <c r="AB341" s="54" t="s">
        <v>730</v>
      </c>
      <c r="AC341" s="56" t="b">
        <v>0</v>
      </c>
      <c r="AD341" s="56" t="b">
        <v>0</v>
      </c>
      <c r="AE341" s="54" t="s">
        <v>302</v>
      </c>
      <c r="AF341" s="58">
        <v>46218</v>
      </c>
      <c r="AG341" s="62" t="s">
        <v>293</v>
      </c>
      <c r="AH341" s="54">
        <v>0</v>
      </c>
      <c r="AI341" s="54"/>
      <c r="AJ341" s="54"/>
      <c r="AK341" s="54"/>
      <c r="AL341" s="54"/>
      <c r="AM341" s="54">
        <v>4.95</v>
      </c>
      <c r="AN341" s="54"/>
      <c r="AO341" s="54"/>
      <c r="AP341" s="54"/>
      <c r="AQ341" s="54"/>
      <c r="AR341" s="54"/>
      <c r="AS341" s="54"/>
      <c r="AT341" s="54"/>
      <c r="AU341" s="54"/>
      <c r="AV341" s="54"/>
      <c r="AW341" s="54"/>
      <c r="AX341" s="59"/>
      <c r="AY341" s="59"/>
      <c r="AZ341" s="59"/>
      <c r="BA341" s="59"/>
      <c r="BB341" s="59">
        <v>0.14299999999999999</v>
      </c>
      <c r="BC341" s="60"/>
      <c r="BD341" s="61"/>
      <c r="BE341" s="62" t="s">
        <v>731</v>
      </c>
      <c r="BF341" s="35">
        <f t="shared" si="779"/>
        <v>4.0600000000000005</v>
      </c>
      <c r="BG341" s="35">
        <f t="shared" si="779"/>
        <v>6.0295000000000001E-2</v>
      </c>
      <c r="BH341" s="35" t="str">
        <f t="shared" si="768"/>
        <v>Med</v>
      </c>
      <c r="BI341" s="110">
        <f t="shared" si="769"/>
        <v>0</v>
      </c>
      <c r="BJ341" s="83">
        <f>VLOOKUP($F341,REP_Info!$D$6:$H$250,5,FALSE)</f>
        <v>1.272</v>
      </c>
      <c r="BK341" s="30">
        <f t="shared" si="770"/>
        <v>15.29</v>
      </c>
      <c r="BL341" s="30">
        <f t="shared" si="770"/>
        <v>14.794999999999998</v>
      </c>
      <c r="BM341" s="30">
        <f t="shared" si="770"/>
        <v>14.547499999999999</v>
      </c>
      <c r="BN341" s="29">
        <f t="shared" si="770"/>
        <v>14.464999999999998</v>
      </c>
      <c r="BO341" s="85" t="str">
        <f t="shared" si="2"/>
        <v>$$$</v>
      </c>
      <c r="BP341" s="88" t="str">
        <f t="shared" si="771"/>
        <v>$$$</v>
      </c>
      <c r="BQ341" s="88" t="str">
        <f t="shared" si="4"/>
        <v>$$$</v>
      </c>
      <c r="BR341" s="88" t="str">
        <f t="shared" si="5"/>
        <v>$$$</v>
      </c>
      <c r="BS341" s="29" t="e">
        <f t="shared" si="772"/>
        <v>#N/A</v>
      </c>
      <c r="BT341" s="29" t="e">
        <f t="shared" si="772"/>
        <v>#N/A</v>
      </c>
      <c r="BU341" s="29" t="e">
        <f t="shared" si="772"/>
        <v>#N/A</v>
      </c>
      <c r="BV341" s="29" t="e">
        <f t="shared" si="772"/>
        <v>#N/A</v>
      </c>
      <c r="BW341" s="29" t="e">
        <f t="shared" si="772"/>
        <v>#N/A</v>
      </c>
      <c r="BX341" s="29" t="e">
        <f t="shared" si="772"/>
        <v>#N/A</v>
      </c>
      <c r="BY341" s="29" t="e">
        <f t="shared" si="772"/>
        <v>#N/A</v>
      </c>
      <c r="BZ341" s="29" t="e">
        <f t="shared" si="772"/>
        <v>#N/A</v>
      </c>
      <c r="CA341" s="29" t="e">
        <f t="shared" si="772"/>
        <v>#N/A</v>
      </c>
      <c r="CB341" s="29" t="e">
        <f t="shared" si="772"/>
        <v>#N/A</v>
      </c>
      <c r="CC341" s="29" t="e">
        <f t="shared" si="772"/>
        <v>#N/A</v>
      </c>
      <c r="CD341" s="29" t="e">
        <f t="shared" si="772"/>
        <v>#N/A</v>
      </c>
      <c r="CE341" s="6" t="str">
        <f t="shared" si="753"/>
        <v/>
      </c>
      <c r="CF341" s="27" t="e">
        <f>IF(AND(CI341,NOT(AD341)),LOOKUP(CF$5,{0,750,1500},H341:J341),"")</f>
        <v>#N/A</v>
      </c>
      <c r="CG341" s="6" t="str">
        <f t="shared" si="754"/>
        <v/>
      </c>
      <c r="CH341" t="e">
        <f t="shared" si="773"/>
        <v>#N/A</v>
      </c>
      <c r="CI341" t="e">
        <f t="shared" si="774"/>
        <v>#N/A</v>
      </c>
      <c r="CJ341" s="6" t="e">
        <f t="shared" si="11"/>
        <v>#N/A</v>
      </c>
      <c r="CK341" s="6">
        <f t="shared" si="12"/>
        <v>1</v>
      </c>
      <c r="CL341" s="6">
        <f t="shared" si="26"/>
        <v>1</v>
      </c>
      <c r="CM341" s="6">
        <f t="shared" si="13"/>
        <v>1</v>
      </c>
      <c r="CN341" s="6">
        <f t="shared" si="14"/>
        <v>1</v>
      </c>
      <c r="CO341" s="6">
        <f t="shared" si="15"/>
        <v>0</v>
      </c>
      <c r="CP341" s="6">
        <f t="shared" si="16"/>
        <v>1</v>
      </c>
      <c r="CQ341" s="6">
        <f t="shared" si="775"/>
        <v>1</v>
      </c>
      <c r="CR341" s="81" t="str">
        <f t="shared" si="17"/>
        <v/>
      </c>
      <c r="CS341">
        <f t="shared" si="776"/>
        <v>0</v>
      </c>
      <c r="CT341">
        <f t="shared" si="666"/>
        <v>20</v>
      </c>
      <c r="CU341" t="str">
        <f t="shared" si="29"/>
        <v>rm</v>
      </c>
      <c r="CV341" s="81">
        <f t="shared" si="777"/>
        <v>560</v>
      </c>
      <c r="CW341" s="81">
        <f>(CV341/25)^1.5*(Calculator!$BU$4/10000)*CW$5</f>
        <v>273.74493627121012</v>
      </c>
      <c r="CX341" t="str">
        <f t="shared" si="778"/>
        <v>$20/rm</v>
      </c>
    </row>
    <row r="342" spans="2:102" x14ac:dyDescent="0.25">
      <c r="B342" s="115" t="s">
        <v>233</v>
      </c>
      <c r="C342" s="13">
        <v>46251.443749999999</v>
      </c>
      <c r="D342">
        <v>37501</v>
      </c>
      <c r="E342" s="54" t="s">
        <v>237</v>
      </c>
      <c r="F342" s="54" t="s">
        <v>756</v>
      </c>
      <c r="G342" s="54" t="s">
        <v>1820</v>
      </c>
      <c r="H342" s="55">
        <v>11.4</v>
      </c>
      <c r="I342" s="55">
        <v>10.9</v>
      </c>
      <c r="J342" s="55">
        <v>10.7</v>
      </c>
      <c r="K342" s="54"/>
      <c r="L342" s="56" t="b">
        <v>0</v>
      </c>
      <c r="M342" s="56" t="b">
        <v>0</v>
      </c>
      <c r="N342" s="54">
        <v>1</v>
      </c>
      <c r="O342" s="54" t="s">
        <v>228</v>
      </c>
      <c r="P342" s="54">
        <v>15</v>
      </c>
      <c r="Q342" s="54">
        <v>10</v>
      </c>
      <c r="R342" s="54">
        <v>300</v>
      </c>
      <c r="S342" s="54" t="s">
        <v>1635</v>
      </c>
      <c r="T342" s="54"/>
      <c r="U342" s="54" t="s">
        <v>1631</v>
      </c>
      <c r="V342" s="54" t="s">
        <v>1636</v>
      </c>
      <c r="W342" s="54" t="b">
        <v>0</v>
      </c>
      <c r="X342" s="54"/>
      <c r="Y342" s="57" t="s">
        <v>2127</v>
      </c>
      <c r="Z342" s="54" t="s">
        <v>1637</v>
      </c>
      <c r="AA342" s="54"/>
      <c r="AB342" s="54" t="s">
        <v>1638</v>
      </c>
      <c r="AC342" s="56" t="b">
        <v>1</v>
      </c>
      <c r="AD342" s="56" t="b">
        <v>0</v>
      </c>
      <c r="AE342" s="54" t="s">
        <v>302</v>
      </c>
      <c r="AF342" s="58">
        <v>46249</v>
      </c>
      <c r="AG342" s="62" t="s">
        <v>293</v>
      </c>
      <c r="AH342" s="54">
        <v>0</v>
      </c>
      <c r="AI342" s="54"/>
      <c r="AJ342" s="54"/>
      <c r="AK342" s="54"/>
      <c r="AL342" s="54"/>
      <c r="AM342" s="54">
        <v>0</v>
      </c>
      <c r="AN342" s="54"/>
      <c r="AO342" s="54"/>
      <c r="AP342" s="54"/>
      <c r="AQ342" s="54"/>
      <c r="AR342" s="54"/>
      <c r="AS342" s="54"/>
      <c r="AT342" s="54"/>
      <c r="AU342" s="54"/>
      <c r="AV342" s="54"/>
      <c r="AW342" s="54"/>
      <c r="AX342" s="59"/>
      <c r="AY342" s="59"/>
      <c r="AZ342" s="59"/>
      <c r="BA342" s="59"/>
      <c r="BB342" s="59">
        <v>4.5100000000000001E-2</v>
      </c>
      <c r="BC342" s="60">
        <v>4.0599999999999996</v>
      </c>
      <c r="BD342" s="61">
        <v>6.0295000000000001E-2</v>
      </c>
      <c r="BE342" s="62" t="s">
        <v>293</v>
      </c>
      <c r="BF342" s="35">
        <f t="shared" si="779"/>
        <v>4.0600000000000005</v>
      </c>
      <c r="BG342" s="35">
        <f t="shared" si="779"/>
        <v>6.0295000000000001E-2</v>
      </c>
      <c r="BH342" s="35" t="str">
        <f t="shared" si="768"/>
        <v>Low</v>
      </c>
      <c r="BI342" s="110">
        <f t="shared" si="769"/>
        <v>0</v>
      </c>
      <c r="BJ342" s="83">
        <f>VLOOKUP($F342,REP_Info!$D$6:$H$250,5,FALSE)</f>
        <v>8.1270000000000007</v>
      </c>
      <c r="BK342" s="30">
        <f t="shared" si="770"/>
        <v>11.3515</v>
      </c>
      <c r="BL342" s="30">
        <f t="shared" si="770"/>
        <v>10.945500000000003</v>
      </c>
      <c r="BM342" s="30">
        <f t="shared" si="770"/>
        <v>10.742500000000001</v>
      </c>
      <c r="BN342" s="29">
        <f t="shared" si="770"/>
        <v>10.674833333333334</v>
      </c>
      <c r="BO342" s="85" t="str">
        <f t="shared" si="2"/>
        <v>$$$</v>
      </c>
      <c r="BP342" s="88" t="str">
        <f t="shared" si="771"/>
        <v>$$$</v>
      </c>
      <c r="BQ342" s="88" t="str">
        <f t="shared" si="4"/>
        <v>$$$</v>
      </c>
      <c r="BR342" s="88" t="str">
        <f t="shared" si="5"/>
        <v>$$$</v>
      </c>
      <c r="BS342" s="29" t="e">
        <f t="shared" si="772"/>
        <v>#N/A</v>
      </c>
      <c r="BT342" s="29" t="e">
        <f t="shared" si="772"/>
        <v>#N/A</v>
      </c>
      <c r="BU342" s="29" t="e">
        <f t="shared" si="772"/>
        <v>#N/A</v>
      </c>
      <c r="BV342" s="29" t="e">
        <f t="shared" si="772"/>
        <v>#N/A</v>
      </c>
      <c r="BW342" s="29" t="e">
        <f t="shared" si="772"/>
        <v>#N/A</v>
      </c>
      <c r="BX342" s="29" t="e">
        <f t="shared" si="772"/>
        <v>#N/A</v>
      </c>
      <c r="BY342" s="29" t="e">
        <f t="shared" si="772"/>
        <v>#N/A</v>
      </c>
      <c r="BZ342" s="29" t="e">
        <f t="shared" si="772"/>
        <v>#N/A</v>
      </c>
      <c r="CA342" s="29" t="e">
        <f t="shared" si="772"/>
        <v>#N/A</v>
      </c>
      <c r="CB342" s="29" t="e">
        <f t="shared" si="772"/>
        <v>#N/A</v>
      </c>
      <c r="CC342" s="29" t="e">
        <f t="shared" si="772"/>
        <v>#N/A</v>
      </c>
      <c r="CD342" s="29" t="e">
        <f t="shared" si="772"/>
        <v>#N/A</v>
      </c>
      <c r="CE342" s="6" t="str">
        <f t="shared" si="753"/>
        <v/>
      </c>
      <c r="CF342" s="27" t="e">
        <f>IF(AND(CI342,NOT(AD342)),LOOKUP(CF$5,{0,750,1500},H342:J342),"")</f>
        <v>#N/A</v>
      </c>
      <c r="CG342" s="6" t="str">
        <f t="shared" si="754"/>
        <v/>
      </c>
      <c r="CH342" t="e">
        <f t="shared" si="773"/>
        <v>#N/A</v>
      </c>
      <c r="CI342" t="e">
        <f t="shared" si="774"/>
        <v>#N/A</v>
      </c>
      <c r="CJ342" s="6" t="e">
        <f t="shared" si="11"/>
        <v>#N/A</v>
      </c>
      <c r="CK342" s="6">
        <f t="shared" si="12"/>
        <v>1</v>
      </c>
      <c r="CL342" s="6">
        <f t="shared" si="26"/>
        <v>1</v>
      </c>
      <c r="CM342" s="6">
        <f t="shared" si="13"/>
        <v>1</v>
      </c>
      <c r="CN342" s="6">
        <f t="shared" si="14"/>
        <v>0</v>
      </c>
      <c r="CO342" s="6">
        <f t="shared" si="15"/>
        <v>1</v>
      </c>
      <c r="CP342" s="6">
        <f t="shared" si="16"/>
        <v>1</v>
      </c>
      <c r="CQ342" s="6">
        <f t="shared" si="775"/>
        <v>1</v>
      </c>
      <c r="CR342" s="81" t="str">
        <f t="shared" si="17"/>
        <v/>
      </c>
      <c r="CS342">
        <f t="shared" si="776"/>
        <v>3.5999999999999992</v>
      </c>
      <c r="CT342">
        <f t="shared" si="666"/>
        <v>300</v>
      </c>
      <c r="CU342" t="str">
        <f t="shared" si="29"/>
        <v/>
      </c>
      <c r="CV342" s="81">
        <f t="shared" si="777"/>
        <v>300</v>
      </c>
      <c r="CW342" s="81">
        <f>(CV342/25)^1.5*(Calculator!$BU$4/10000)*CW$5</f>
        <v>107.33613078068259</v>
      </c>
      <c r="CX342" t="str">
        <f t="shared" si="778"/>
        <v>$300</v>
      </c>
    </row>
    <row r="343" spans="2:102" x14ac:dyDescent="0.25">
      <c r="B343" s="115" t="s">
        <v>233</v>
      </c>
      <c r="C343" s="13">
        <v>46254.637499999997</v>
      </c>
      <c r="D343">
        <v>37622</v>
      </c>
      <c r="E343" s="54" t="s">
        <v>237</v>
      </c>
      <c r="F343" s="54" t="s">
        <v>756</v>
      </c>
      <c r="G343" s="54" t="s">
        <v>1639</v>
      </c>
      <c r="H343" s="55">
        <v>11.600000000000001</v>
      </c>
      <c r="I343" s="55">
        <v>11.1</v>
      </c>
      <c r="J343" s="55">
        <v>10.9</v>
      </c>
      <c r="K343" s="54"/>
      <c r="L343" s="56" t="b">
        <v>0</v>
      </c>
      <c r="M343" s="56" t="b">
        <v>0</v>
      </c>
      <c r="N343" s="54">
        <v>1</v>
      </c>
      <c r="O343" s="54" t="s">
        <v>228</v>
      </c>
      <c r="P343" s="54">
        <v>15</v>
      </c>
      <c r="Q343" s="54">
        <v>12</v>
      </c>
      <c r="R343" s="54">
        <v>300</v>
      </c>
      <c r="S343" s="54" t="s">
        <v>1635</v>
      </c>
      <c r="T343" s="54"/>
      <c r="U343" s="54" t="s">
        <v>1631</v>
      </c>
      <c r="V343" s="54" t="s">
        <v>1636</v>
      </c>
      <c r="W343" s="54" t="b">
        <v>0</v>
      </c>
      <c r="X343" s="54"/>
      <c r="Y343" s="57" t="s">
        <v>2294</v>
      </c>
      <c r="Z343" s="54" t="s">
        <v>1637</v>
      </c>
      <c r="AA343" s="54"/>
      <c r="AB343" s="54" t="s">
        <v>1638</v>
      </c>
      <c r="AC343" s="56" t="b">
        <v>1</v>
      </c>
      <c r="AD343" s="56" t="b">
        <v>0</v>
      </c>
      <c r="AE343" s="54" t="s">
        <v>302</v>
      </c>
      <c r="AF343" s="58">
        <v>46253</v>
      </c>
      <c r="AG343" s="62" t="s">
        <v>293</v>
      </c>
      <c r="AH343" s="54">
        <v>0</v>
      </c>
      <c r="AI343" s="54"/>
      <c r="AJ343" s="54"/>
      <c r="AK343" s="54"/>
      <c r="AL343" s="54"/>
      <c r="AM343" s="54">
        <v>0</v>
      </c>
      <c r="AN343" s="54"/>
      <c r="AO343" s="54"/>
      <c r="AP343" s="54"/>
      <c r="AQ343" s="54"/>
      <c r="AR343" s="54"/>
      <c r="AS343" s="54"/>
      <c r="AT343" s="54"/>
      <c r="AU343" s="54"/>
      <c r="AV343" s="54"/>
      <c r="AW343" s="54"/>
      <c r="AX343" s="59"/>
      <c r="AY343" s="59"/>
      <c r="AZ343" s="59"/>
      <c r="BA343" s="59"/>
      <c r="BB343" s="59">
        <v>4.7100000000000003E-2</v>
      </c>
      <c r="BC343" s="60">
        <v>4.0599999999999996</v>
      </c>
      <c r="BD343" s="61">
        <v>6.0295000000000001E-2</v>
      </c>
      <c r="BE343" s="62" t="s">
        <v>293</v>
      </c>
      <c r="BF343" s="35">
        <f t="shared" si="779"/>
        <v>4.0600000000000005</v>
      </c>
      <c r="BG343" s="35">
        <f t="shared" si="779"/>
        <v>6.0295000000000001E-2</v>
      </c>
      <c r="BH343" s="35" t="str">
        <f t="shared" si="768"/>
        <v>Low</v>
      </c>
      <c r="BI343" s="110">
        <f t="shared" si="769"/>
        <v>0</v>
      </c>
      <c r="BJ343" s="83">
        <f>VLOOKUP($F343,REP_Info!$D$6:$H$250,5,FALSE)</f>
        <v>8.1270000000000007</v>
      </c>
      <c r="BK343" s="30">
        <f t="shared" si="770"/>
        <v>11.551500000000001</v>
      </c>
      <c r="BL343" s="30">
        <f t="shared" si="770"/>
        <v>11.145500000000002</v>
      </c>
      <c r="BM343" s="30">
        <f t="shared" si="770"/>
        <v>10.942500000000003</v>
      </c>
      <c r="BN343" s="29">
        <f t="shared" si="770"/>
        <v>10.874833333333333</v>
      </c>
      <c r="BO343" s="85" t="str">
        <f t="shared" si="2"/>
        <v>$$$</v>
      </c>
      <c r="BP343" s="88" t="str">
        <f t="shared" si="771"/>
        <v>$$$</v>
      </c>
      <c r="BQ343" s="88" t="str">
        <f t="shared" ref="BQ343" si="780">IFERROR(SUMPRODUCT($BS$7:$CD$7,$BS343:$CD343,--($BS$4:$CD$4&lt;=$Q343))/SUMPRODUCT(--($BS$4:$CD$4&lt;=$Q343),$BS$7:$CD$7),"$$$")</f>
        <v>$$$</v>
      </c>
      <c r="BR343" s="88" t="str">
        <f t="shared" ref="BR343" si="781">IFERROR($BQ343-$BF343*100*SUMPRODUCT(--($BS$4:$CD$4&lt;=$Q343))/SUMPRODUCT(--($BS$4:$CD$4&lt;=$Q343),$BS$7:$CD$7)-$BG343*100,"$$$")</f>
        <v>$$$</v>
      </c>
      <c r="BS343" s="29" t="e">
        <f t="shared" si="772"/>
        <v>#N/A</v>
      </c>
      <c r="BT343" s="29" t="e">
        <f t="shared" si="772"/>
        <v>#N/A</v>
      </c>
      <c r="BU343" s="29" t="e">
        <f t="shared" si="772"/>
        <v>#N/A</v>
      </c>
      <c r="BV343" s="29" t="e">
        <f t="shared" si="772"/>
        <v>#N/A</v>
      </c>
      <c r="BW343" s="29" t="e">
        <f t="shared" si="772"/>
        <v>#N/A</v>
      </c>
      <c r="BX343" s="29" t="e">
        <f t="shared" si="772"/>
        <v>#N/A</v>
      </c>
      <c r="BY343" s="29" t="e">
        <f t="shared" si="772"/>
        <v>#N/A</v>
      </c>
      <c r="BZ343" s="29" t="e">
        <f t="shared" si="772"/>
        <v>#N/A</v>
      </c>
      <c r="CA343" s="29" t="e">
        <f t="shared" si="772"/>
        <v>#N/A</v>
      </c>
      <c r="CB343" s="29" t="e">
        <f t="shared" si="772"/>
        <v>#N/A</v>
      </c>
      <c r="CC343" s="29" t="e">
        <f t="shared" si="772"/>
        <v>#N/A</v>
      </c>
      <c r="CD343" s="29" t="e">
        <f t="shared" si="772"/>
        <v>#N/A</v>
      </c>
      <c r="CE343" s="6" t="str">
        <f t="shared" si="753"/>
        <v/>
      </c>
      <c r="CF343" s="27" t="e">
        <f>IF(AND(CI343,NOT(AD343)),LOOKUP(CF$5,{0,750,1500},H343:J343),"")</f>
        <v>#N/A</v>
      </c>
      <c r="CG343" s="6" t="str">
        <f t="shared" si="754"/>
        <v/>
      </c>
      <c r="CH343" t="e">
        <f t="shared" si="773"/>
        <v>#N/A</v>
      </c>
      <c r="CI343" t="e">
        <f t="shared" si="774"/>
        <v>#N/A</v>
      </c>
      <c r="CJ343" s="6" t="e">
        <f t="shared" si="11"/>
        <v>#N/A</v>
      </c>
      <c r="CK343" s="6">
        <f t="shared" si="12"/>
        <v>1</v>
      </c>
      <c r="CL343" s="6">
        <f t="shared" si="26"/>
        <v>1</v>
      </c>
      <c r="CM343" s="6">
        <f t="shared" si="13"/>
        <v>1</v>
      </c>
      <c r="CN343" s="6">
        <f t="shared" si="14"/>
        <v>1</v>
      </c>
      <c r="CO343" s="6">
        <f t="shared" si="15"/>
        <v>1</v>
      </c>
      <c r="CP343" s="6">
        <f t="shared" si="16"/>
        <v>1</v>
      </c>
      <c r="CQ343" s="6">
        <f t="shared" si="775"/>
        <v>1</v>
      </c>
      <c r="CR343" s="81" t="str">
        <f t="shared" si="17"/>
        <v/>
      </c>
      <c r="CS343">
        <f t="shared" si="776"/>
        <v>0</v>
      </c>
      <c r="CT343">
        <f t="shared" si="666"/>
        <v>300</v>
      </c>
      <c r="CU343" t="str">
        <f t="shared" si="29"/>
        <v/>
      </c>
      <c r="CV343" s="81">
        <f t="shared" si="777"/>
        <v>300</v>
      </c>
      <c r="CW343" s="81">
        <f>(CV343/25)^1.5*(Calculator!$BU$4/10000)*CW$5</f>
        <v>107.33613078068259</v>
      </c>
      <c r="CX343" t="str">
        <f t="shared" si="778"/>
        <v>$300</v>
      </c>
    </row>
    <row r="344" spans="2:102" x14ac:dyDescent="0.25">
      <c r="B344" s="115" t="s">
        <v>233</v>
      </c>
      <c r="C344" s="13">
        <v>46254.637499999997</v>
      </c>
      <c r="D344">
        <v>37624</v>
      </c>
      <c r="E344" s="54" t="s">
        <v>237</v>
      </c>
      <c r="F344" s="54" t="s">
        <v>756</v>
      </c>
      <c r="G344" s="54" t="s">
        <v>1640</v>
      </c>
      <c r="H344" s="55">
        <v>12.8</v>
      </c>
      <c r="I344" s="55">
        <v>12.3</v>
      </c>
      <c r="J344" s="55">
        <v>12.1</v>
      </c>
      <c r="K344" s="54"/>
      <c r="L344" s="56" t="b">
        <v>0</v>
      </c>
      <c r="M344" s="56" t="b">
        <v>0</v>
      </c>
      <c r="N344" s="54">
        <v>1</v>
      </c>
      <c r="O344" s="54" t="s">
        <v>228</v>
      </c>
      <c r="P344" s="54">
        <v>15</v>
      </c>
      <c r="Q344" s="54">
        <v>36</v>
      </c>
      <c r="R344" s="54">
        <v>300</v>
      </c>
      <c r="S344" s="54" t="s">
        <v>1635</v>
      </c>
      <c r="T344" s="54"/>
      <c r="U344" s="54" t="s">
        <v>1631</v>
      </c>
      <c r="V344" s="54" t="s">
        <v>1636</v>
      </c>
      <c r="W344" s="54" t="b">
        <v>0</v>
      </c>
      <c r="X344" s="54"/>
      <c r="Y344" s="57" t="s">
        <v>2295</v>
      </c>
      <c r="Z344" s="54" t="s">
        <v>1637</v>
      </c>
      <c r="AA344" s="54"/>
      <c r="AB344" s="54" t="s">
        <v>1638</v>
      </c>
      <c r="AC344" s="56" t="b">
        <v>1</v>
      </c>
      <c r="AD344" s="56" t="b">
        <v>0</v>
      </c>
      <c r="AE344" s="54" t="s">
        <v>302</v>
      </c>
      <c r="AF344" s="58">
        <v>46253</v>
      </c>
      <c r="AG344" s="62" t="s">
        <v>293</v>
      </c>
      <c r="AH344" s="54">
        <v>0</v>
      </c>
      <c r="AI344" s="54"/>
      <c r="AJ344" s="54"/>
      <c r="AK344" s="54"/>
      <c r="AL344" s="54"/>
      <c r="AM344" s="54">
        <v>0</v>
      </c>
      <c r="AN344" s="54"/>
      <c r="AO344" s="54"/>
      <c r="AP344" s="54"/>
      <c r="AQ344" s="54"/>
      <c r="AR344" s="54"/>
      <c r="AS344" s="54"/>
      <c r="AT344" s="54"/>
      <c r="AU344" s="54"/>
      <c r="AV344" s="54"/>
      <c r="AW344" s="54"/>
      <c r="AX344" s="59"/>
      <c r="AY344" s="59"/>
      <c r="AZ344" s="59"/>
      <c r="BA344" s="59"/>
      <c r="BB344" s="59">
        <v>5.91E-2</v>
      </c>
      <c r="BC344" s="60">
        <v>4.0599999999999996</v>
      </c>
      <c r="BD344" s="61">
        <v>6.0295000000000001E-2</v>
      </c>
      <c r="BE344" s="62" t="s">
        <v>293</v>
      </c>
      <c r="BF344" s="35">
        <f t="shared" si="0"/>
        <v>4.0600000000000005</v>
      </c>
      <c r="BG344" s="35">
        <f t="shared" si="0"/>
        <v>6.0295000000000001E-2</v>
      </c>
      <c r="BH344" s="35" t="str">
        <f t="shared" ref="BH344:BH345" si="782">IF(ISTEXT(BE344),IF(AND(AV344=0,SUM(AN344:AQ344)=0),IF(AM344&lt;=0,IF(BE344="Y","Low","Flat"),"Med"),"High"),"?")</f>
        <v>Low</v>
      </c>
      <c r="BI344" s="110">
        <f t="shared" ref="BI344:BI345" si="783">IF(ISNUMBER(AH344),0*BI$5*SIN((EDATE($A$3,$Q344)-DATE(YEAR(EDATE($A$3,$Q344)),1,0)-BI$4)*2*PI()/365),"")</f>
        <v>0</v>
      </c>
      <c r="BJ344" s="83">
        <f>VLOOKUP($F344,REP_Info!$D$6:$H$250,5,FALSE)</f>
        <v>8.1270000000000007</v>
      </c>
      <c r="BK344" s="30">
        <f t="shared" ref="BK344:BN345" si="784">IF(BK$7&gt;0,(LOOKUP(BK$7,$AH344:$AL344,$AM344:$AQ344)+IF($AG344="Y",SUMPRODUCT($AX344:$BB344-$AW344:$BA344,BK$7-$AR344:$AV344,N(BK$7&gt;$AR344:$AV344)),BK$7*LOOKUP(BK$7,$AR344:$AV344,$AX344:$BB344))+IF($BE344="Y",$BF344,$BC344)+BK$7*IF($BE344="Y",$BG344,$BD344))*100/BK$7,"")</f>
        <v>12.7515</v>
      </c>
      <c r="BL344" s="30">
        <f t="shared" si="784"/>
        <v>12.345500000000001</v>
      </c>
      <c r="BM344" s="30">
        <f t="shared" si="784"/>
        <v>12.142500000000002</v>
      </c>
      <c r="BN344" s="29">
        <f t="shared" si="784"/>
        <v>12.074833333333334</v>
      </c>
      <c r="BO344" s="85" t="str">
        <f t="shared" si="2"/>
        <v>$$$</v>
      </c>
      <c r="BP344" s="88" t="str">
        <f t="shared" ref="BP344:BP345" si="785">IFERROR(BO344*100/BO$5,"$$$")</f>
        <v>$$$</v>
      </c>
      <c r="BQ344" s="88" t="str">
        <f t="shared" si="4"/>
        <v>$$$</v>
      </c>
      <c r="BR344" s="88" t="str">
        <f t="shared" si="5"/>
        <v>$$$</v>
      </c>
      <c r="BS344" s="29" t="e">
        <f t="shared" ref="BS344:CD345" si="786">IF($CI344,IF(BS$7&gt;0,IF(BS$4&gt;$Q344,$BF344+BS$7*(BS$5+$BG344+$BI344),LOOKUP(BS$7,$AH344:$AL344,$AM344:$AQ344)+IF($AG344="Y",SUMPRODUCT($AX344:$BB344-$AW344:$BA344,BS$7-$AR344:$AV344,N(BS$7&gt;$AR344:$AV344)),BS$7*LOOKUP(BS$7,$AR344:$AV344,$AX344:$BB344))+IF($BE344="Y",$BF344,$BC344)+BS$7*IF($BE344="Y",$BG344,$BD344))*100/BS$7,""),NA())</f>
        <v>#N/A</v>
      </c>
      <c r="BT344" s="29" t="e">
        <f t="shared" si="786"/>
        <v>#N/A</v>
      </c>
      <c r="BU344" s="29" t="e">
        <f t="shared" si="786"/>
        <v>#N/A</v>
      </c>
      <c r="BV344" s="29" t="e">
        <f t="shared" si="786"/>
        <v>#N/A</v>
      </c>
      <c r="BW344" s="29" t="e">
        <f t="shared" si="786"/>
        <v>#N/A</v>
      </c>
      <c r="BX344" s="29" t="e">
        <f t="shared" si="786"/>
        <v>#N/A</v>
      </c>
      <c r="BY344" s="29" t="e">
        <f t="shared" si="786"/>
        <v>#N/A</v>
      </c>
      <c r="BZ344" s="29" t="e">
        <f t="shared" si="786"/>
        <v>#N/A</v>
      </c>
      <c r="CA344" s="29" t="e">
        <f t="shared" si="786"/>
        <v>#N/A</v>
      </c>
      <c r="CB344" s="29" t="e">
        <f t="shared" si="786"/>
        <v>#N/A</v>
      </c>
      <c r="CC344" s="29" t="e">
        <f t="shared" si="786"/>
        <v>#N/A</v>
      </c>
      <c r="CD344" s="29" t="e">
        <f t="shared" si="786"/>
        <v>#N/A</v>
      </c>
      <c r="CE344" s="6" t="str">
        <f t="shared" si="753"/>
        <v/>
      </c>
      <c r="CF344" s="27" t="e">
        <f>IF(AND(CI344,NOT(AD344)),LOOKUP(CF$5,{0,750,1500},H344:J344),"")</f>
        <v>#N/A</v>
      </c>
      <c r="CG344" s="6" t="str">
        <f t="shared" si="754"/>
        <v/>
      </c>
      <c r="CH344" t="e">
        <f t="shared" ref="CH344:CH345" si="787">IF(CI344,IF(ISNUMBER(BO344),BO344,100000)+CV344/10000+IF(ISNUMBER(BJ344),BJ344,2)/10000-P344/100000+ROW()/10000000,"")</f>
        <v>#N/A</v>
      </c>
      <c r="CI344" t="e">
        <f t="shared" ref="CI344:CI345" si="788">PRODUCT(CJ344:CQ344)</f>
        <v>#N/A</v>
      </c>
      <c r="CJ344" s="6" t="e">
        <f t="shared" si="11"/>
        <v>#N/A</v>
      </c>
      <c r="CK344" s="6">
        <f t="shared" si="12"/>
        <v>1</v>
      </c>
      <c r="CL344" s="6">
        <f t="shared" si="26"/>
        <v>1</v>
      </c>
      <c r="CM344" s="6">
        <f t="shared" si="13"/>
        <v>1</v>
      </c>
      <c r="CN344" s="6">
        <f t="shared" si="14"/>
        <v>1</v>
      </c>
      <c r="CO344" s="6">
        <f t="shared" si="15"/>
        <v>0</v>
      </c>
      <c r="CP344" s="6">
        <f t="shared" si="16"/>
        <v>1</v>
      </c>
      <c r="CQ344" s="6">
        <f t="shared" ref="CQ344:CQ345" si="789">IF(CQ$5="Any",1,IF(AND(CQ$5="Med",AV344=0,SUM(AN344:AQ344)=0),1,IF(AND(CQ$5="Low",AV344=0,SUM(AN344:AQ344)=0,AM344=0),1,IF(AND(CQ$5="Flat",AV344=0,SUM(AN344:AQ344)=0,AM344=0,IFERROR(NOT(BE344="Y"),0)),1,0))))</f>
        <v>1</v>
      </c>
      <c r="CR344" s="81" t="str">
        <f t="shared" si="17"/>
        <v/>
      </c>
      <c r="CS344">
        <f t="shared" ref="CS344:CS345" si="790">CS$5*(12/(MIN(12,Q344))-1)</f>
        <v>0</v>
      </c>
      <c r="CT344">
        <f t="shared" si="666"/>
        <v>300</v>
      </c>
      <c r="CU344" t="str">
        <f t="shared" si="29"/>
        <v/>
      </c>
      <c r="CV344" s="81">
        <f t="shared" ref="CV344:CV345" si="791">CT344*IF(CU344="",1,Q344)</f>
        <v>300</v>
      </c>
      <c r="CW344" s="81">
        <f>(CV344/25)^1.5*(Calculator!$BU$4/10000)*CW$5</f>
        <v>107.33613078068259</v>
      </c>
      <c r="CX344" t="str">
        <f t="shared" ref="CX344:CX345" si="792">"$"&amp;IF(LEFT(CU344,1)="r",CT344&amp;"/"&amp;CU344,CV344)</f>
        <v>$300</v>
      </c>
    </row>
    <row r="345" spans="2:102" x14ac:dyDescent="0.25">
      <c r="B345" s="115" t="s">
        <v>233</v>
      </c>
      <c r="C345" s="13">
        <v>46254.637499999997</v>
      </c>
      <c r="D345">
        <v>37626</v>
      </c>
      <c r="E345" s="54" t="s">
        <v>235</v>
      </c>
      <c r="F345" s="54" t="s">
        <v>756</v>
      </c>
      <c r="G345" s="54" t="s">
        <v>1639</v>
      </c>
      <c r="H345" s="55">
        <v>10.7</v>
      </c>
      <c r="I345" s="55">
        <v>10.199999999999999</v>
      </c>
      <c r="J345" s="55">
        <v>10</v>
      </c>
      <c r="K345" s="54"/>
      <c r="L345" s="56" t="b">
        <v>0</v>
      </c>
      <c r="M345" s="56" t="b">
        <v>0</v>
      </c>
      <c r="N345" s="54">
        <v>1</v>
      </c>
      <c r="O345" s="54" t="s">
        <v>228</v>
      </c>
      <c r="P345" s="54">
        <v>15</v>
      </c>
      <c r="Q345" s="54">
        <v>12</v>
      </c>
      <c r="R345" s="54">
        <v>300</v>
      </c>
      <c r="S345" s="54" t="s">
        <v>1635</v>
      </c>
      <c r="T345" s="54"/>
      <c r="U345" s="54" t="s">
        <v>1631</v>
      </c>
      <c r="V345" s="54" t="s">
        <v>1636</v>
      </c>
      <c r="W345" s="54" t="b">
        <v>0</v>
      </c>
      <c r="X345" s="54"/>
      <c r="Y345" s="57" t="s">
        <v>2296</v>
      </c>
      <c r="Z345" s="54" t="s">
        <v>1637</v>
      </c>
      <c r="AA345" s="54"/>
      <c r="AB345" s="54" t="s">
        <v>1638</v>
      </c>
      <c r="AC345" s="56" t="b">
        <v>1</v>
      </c>
      <c r="AD345" s="56" t="b">
        <v>0</v>
      </c>
      <c r="AE345" s="54" t="s">
        <v>302</v>
      </c>
      <c r="AF345" s="58">
        <v>46253</v>
      </c>
      <c r="AG345" s="62" t="s">
        <v>293</v>
      </c>
      <c r="AH345" s="54">
        <v>0</v>
      </c>
      <c r="AI345" s="54"/>
      <c r="AJ345" s="54"/>
      <c r="AK345" s="54"/>
      <c r="AL345" s="54"/>
      <c r="AM345" s="54">
        <v>0</v>
      </c>
      <c r="AN345" s="54"/>
      <c r="AO345" s="54"/>
      <c r="AP345" s="54"/>
      <c r="AQ345" s="54"/>
      <c r="AR345" s="54"/>
      <c r="AS345" s="54"/>
      <c r="AT345" s="54"/>
      <c r="AU345" s="54"/>
      <c r="AV345" s="54"/>
      <c r="AW345" s="54"/>
      <c r="AX345" s="59"/>
      <c r="AY345" s="59"/>
      <c r="AZ345" s="59"/>
      <c r="BA345" s="59"/>
      <c r="BB345" s="59">
        <v>4.7699999999999999E-2</v>
      </c>
      <c r="BC345" s="60">
        <v>4.9000000000000004</v>
      </c>
      <c r="BD345" s="61">
        <v>4.9811000000000001E-2</v>
      </c>
      <c r="BE345" s="62" t="s">
        <v>293</v>
      </c>
      <c r="BF345" s="35">
        <f t="shared" si="0"/>
        <v>4.9000000000000004</v>
      </c>
      <c r="BG345" s="35">
        <f t="shared" si="0"/>
        <v>4.9811000000000001E-2</v>
      </c>
      <c r="BH345" s="35" t="str">
        <f t="shared" si="782"/>
        <v>Low</v>
      </c>
      <c r="BI345" s="110">
        <f t="shared" si="783"/>
        <v>0</v>
      </c>
      <c r="BJ345" s="83">
        <f>VLOOKUP($F345,REP_Info!$D$6:$H$250,5,FALSE)</f>
        <v>8.1270000000000007</v>
      </c>
      <c r="BK345" s="30">
        <f t="shared" si="784"/>
        <v>10.7311</v>
      </c>
      <c r="BL345" s="30">
        <f t="shared" si="784"/>
        <v>10.241100000000001</v>
      </c>
      <c r="BM345" s="30">
        <f t="shared" si="784"/>
        <v>9.996100000000002</v>
      </c>
      <c r="BN345" s="29">
        <f t="shared" si="784"/>
        <v>9.9144333333333332</v>
      </c>
      <c r="BO345" s="85" t="str">
        <f t="shared" si="2"/>
        <v>$$$</v>
      </c>
      <c r="BP345" s="88" t="str">
        <f t="shared" si="785"/>
        <v>$$$</v>
      </c>
      <c r="BQ345" s="88" t="str">
        <f t="shared" si="4"/>
        <v>$$$</v>
      </c>
      <c r="BR345" s="88" t="str">
        <f t="shared" si="5"/>
        <v>$$$</v>
      </c>
      <c r="BS345" s="29" t="e">
        <f t="shared" si="786"/>
        <v>#N/A</v>
      </c>
      <c r="BT345" s="29" t="e">
        <f t="shared" si="786"/>
        <v>#N/A</v>
      </c>
      <c r="BU345" s="29" t="e">
        <f t="shared" si="786"/>
        <v>#N/A</v>
      </c>
      <c r="BV345" s="29" t="e">
        <f t="shared" si="786"/>
        <v>#N/A</v>
      </c>
      <c r="BW345" s="29" t="e">
        <f t="shared" si="786"/>
        <v>#N/A</v>
      </c>
      <c r="BX345" s="29" t="e">
        <f t="shared" si="786"/>
        <v>#N/A</v>
      </c>
      <c r="BY345" s="29" t="e">
        <f t="shared" si="786"/>
        <v>#N/A</v>
      </c>
      <c r="BZ345" s="29" t="e">
        <f t="shared" si="786"/>
        <v>#N/A</v>
      </c>
      <c r="CA345" s="29" t="e">
        <f t="shared" si="786"/>
        <v>#N/A</v>
      </c>
      <c r="CB345" s="29" t="e">
        <f t="shared" si="786"/>
        <v>#N/A</v>
      </c>
      <c r="CC345" s="29" t="e">
        <f t="shared" si="786"/>
        <v>#N/A</v>
      </c>
      <c r="CD345" s="29" t="e">
        <f t="shared" si="786"/>
        <v>#N/A</v>
      </c>
      <c r="CE345" s="6" t="str">
        <f t="shared" si="753"/>
        <v/>
      </c>
      <c r="CF345" s="27" t="e">
        <f>IF(AND(CI345,NOT(AD345)),LOOKUP(CF$5,{0,750,1500},H345:J345),"")</f>
        <v>#N/A</v>
      </c>
      <c r="CG345" s="6" t="str">
        <f t="shared" si="754"/>
        <v/>
      </c>
      <c r="CH345" t="e">
        <f t="shared" si="787"/>
        <v>#N/A</v>
      </c>
      <c r="CI345" t="e">
        <f t="shared" si="788"/>
        <v>#N/A</v>
      </c>
      <c r="CJ345" s="6" t="e">
        <f t="shared" si="11"/>
        <v>#N/A</v>
      </c>
      <c r="CK345" s="6">
        <f t="shared" si="12"/>
        <v>1</v>
      </c>
      <c r="CL345" s="6">
        <f t="shared" si="26"/>
        <v>1</v>
      </c>
      <c r="CM345" s="6">
        <f t="shared" si="13"/>
        <v>1</v>
      </c>
      <c r="CN345" s="6">
        <f t="shared" si="14"/>
        <v>1</v>
      </c>
      <c r="CO345" s="6">
        <f t="shared" si="15"/>
        <v>1</v>
      </c>
      <c r="CP345" s="6">
        <f t="shared" si="16"/>
        <v>1</v>
      </c>
      <c r="CQ345" s="6">
        <f t="shared" si="789"/>
        <v>1</v>
      </c>
      <c r="CR345" s="81" t="str">
        <f t="shared" si="17"/>
        <v/>
      </c>
      <c r="CS345">
        <f t="shared" si="790"/>
        <v>0</v>
      </c>
      <c r="CT345">
        <f t="shared" si="666"/>
        <v>300</v>
      </c>
      <c r="CU345" t="str">
        <f t="shared" si="29"/>
        <v/>
      </c>
      <c r="CV345" s="81">
        <f t="shared" si="791"/>
        <v>300</v>
      </c>
      <c r="CW345" s="81">
        <f>(CV345/25)^1.5*(Calculator!$BU$4/10000)*CW$5</f>
        <v>107.33613078068259</v>
      </c>
      <c r="CX345" t="str">
        <f t="shared" si="792"/>
        <v>$300</v>
      </c>
    </row>
    <row r="346" spans="2:102" x14ac:dyDescent="0.25">
      <c r="B346" s="115" t="s">
        <v>233</v>
      </c>
      <c r="C346" s="13">
        <v>46254.637499999997</v>
      </c>
      <c r="D346">
        <v>37656</v>
      </c>
      <c r="E346" s="54" t="s">
        <v>235</v>
      </c>
      <c r="F346" s="54" t="s">
        <v>756</v>
      </c>
      <c r="G346" s="54" t="s">
        <v>1820</v>
      </c>
      <c r="H346" s="55">
        <v>10.4</v>
      </c>
      <c r="I346" s="55">
        <v>9.9</v>
      </c>
      <c r="J346" s="55">
        <v>9.7000000000000011</v>
      </c>
      <c r="K346" s="54"/>
      <c r="L346" s="56" t="b">
        <v>0</v>
      </c>
      <c r="M346" s="56" t="b">
        <v>0</v>
      </c>
      <c r="N346" s="54">
        <v>1</v>
      </c>
      <c r="O346" s="54" t="s">
        <v>228</v>
      </c>
      <c r="P346" s="54">
        <v>15</v>
      </c>
      <c r="Q346" s="54">
        <v>10</v>
      </c>
      <c r="R346" s="54">
        <v>300</v>
      </c>
      <c r="S346" s="54" t="s">
        <v>1635</v>
      </c>
      <c r="T346" s="54"/>
      <c r="U346" s="54" t="s">
        <v>1631</v>
      </c>
      <c r="V346" s="54" t="s">
        <v>1636</v>
      </c>
      <c r="W346" s="54" t="b">
        <v>0</v>
      </c>
      <c r="X346" s="54"/>
      <c r="Y346" s="57" t="s">
        <v>2297</v>
      </c>
      <c r="Z346" s="54" t="s">
        <v>1637</v>
      </c>
      <c r="AA346" s="54"/>
      <c r="AB346" s="54" t="s">
        <v>1638</v>
      </c>
      <c r="AC346" s="56" t="b">
        <v>1</v>
      </c>
      <c r="AD346" s="56" t="b">
        <v>0</v>
      </c>
      <c r="AE346" s="54" t="s">
        <v>302</v>
      </c>
      <c r="AF346" s="58">
        <v>46254</v>
      </c>
      <c r="AG346" s="62" t="s">
        <v>293</v>
      </c>
      <c r="AH346" s="54">
        <v>0</v>
      </c>
      <c r="AI346" s="54"/>
      <c r="AJ346" s="54"/>
      <c r="AK346" s="54"/>
      <c r="AL346" s="54"/>
      <c r="AM346" s="54">
        <v>0</v>
      </c>
      <c r="AN346" s="54"/>
      <c r="AO346" s="54"/>
      <c r="AP346" s="54"/>
      <c r="AQ346" s="54"/>
      <c r="AR346" s="54"/>
      <c r="AS346" s="54"/>
      <c r="AT346" s="54"/>
      <c r="AU346" s="54"/>
      <c r="AV346" s="54"/>
      <c r="AW346" s="54"/>
      <c r="AX346" s="59"/>
      <c r="AY346" s="59"/>
      <c r="AZ346" s="59"/>
      <c r="BA346" s="59"/>
      <c r="BB346" s="59">
        <v>4.4699999999999997E-2</v>
      </c>
      <c r="BC346" s="60">
        <v>4.9000000000000004</v>
      </c>
      <c r="BD346" s="61">
        <v>4.9811000000000001E-2</v>
      </c>
      <c r="BE346" s="62" t="s">
        <v>293</v>
      </c>
      <c r="BF346" s="35">
        <f t="shared" si="0"/>
        <v>4.9000000000000004</v>
      </c>
      <c r="BG346" s="35">
        <f t="shared" si="0"/>
        <v>4.9811000000000001E-2</v>
      </c>
      <c r="BH346" s="35" t="str">
        <f t="shared" ref="BH346:BH347" si="793">IF(ISTEXT(BE346),IF(AND(AV346=0,SUM(AN346:AQ346)=0),IF(AM346&lt;=0,IF(BE346="Y","Low","Flat"),"Med"),"High"),"?")</f>
        <v>Low</v>
      </c>
      <c r="BI346" s="110">
        <f t="shared" ref="BI346:BI347" si="794">IF(ISNUMBER(AH346),0*BI$5*SIN((EDATE($A$3,$Q346)-DATE(YEAR(EDATE($A$3,$Q346)),1,0)-BI$4)*2*PI()/365),"")</f>
        <v>0</v>
      </c>
      <c r="BJ346" s="83">
        <f>VLOOKUP($F346,REP_Info!$D$6:$H$250,5,FALSE)</f>
        <v>8.1270000000000007</v>
      </c>
      <c r="BK346" s="30">
        <f t="shared" ref="BK346:BN347" si="795">IF(BK$7&gt;0,(LOOKUP(BK$7,$AH346:$AL346,$AM346:$AQ346)+IF($AG346="Y",SUMPRODUCT($AX346:$BB346-$AW346:$BA346,BK$7-$AR346:$AV346,N(BK$7&gt;$AR346:$AV346)),BK$7*LOOKUP(BK$7,$AR346:$AV346,$AX346:$BB346))+IF($BE346="Y",$BF346,$BC346)+BK$7*IF($BE346="Y",$BG346,$BD346))*100/BK$7,"")</f>
        <v>10.431100000000001</v>
      </c>
      <c r="BL346" s="30">
        <f t="shared" si="795"/>
        <v>9.9411000000000005</v>
      </c>
      <c r="BM346" s="30">
        <f t="shared" si="795"/>
        <v>9.6960999999999995</v>
      </c>
      <c r="BN346" s="29">
        <f t="shared" si="795"/>
        <v>9.6144333333333325</v>
      </c>
      <c r="BO346" s="85" t="str">
        <f t="shared" si="2"/>
        <v>$$$</v>
      </c>
      <c r="BP346" s="88" t="str">
        <f t="shared" ref="BP346:BP347" si="796">IFERROR(BO346*100/BO$5,"$$$")</f>
        <v>$$$</v>
      </c>
      <c r="BQ346" s="88" t="str">
        <f t="shared" si="4"/>
        <v>$$$</v>
      </c>
      <c r="BR346" s="88" t="str">
        <f t="shared" si="5"/>
        <v>$$$</v>
      </c>
      <c r="BS346" s="29" t="e">
        <f t="shared" ref="BS346:CD347" si="797">IF($CI346,IF(BS$7&gt;0,IF(BS$4&gt;$Q346,$BF346+BS$7*(BS$5+$BG346+$BI346),LOOKUP(BS$7,$AH346:$AL346,$AM346:$AQ346)+IF($AG346="Y",SUMPRODUCT($AX346:$BB346-$AW346:$BA346,BS$7-$AR346:$AV346,N(BS$7&gt;$AR346:$AV346)),BS$7*LOOKUP(BS$7,$AR346:$AV346,$AX346:$BB346))+IF($BE346="Y",$BF346,$BC346)+BS$7*IF($BE346="Y",$BG346,$BD346))*100/BS$7,""),NA())</f>
        <v>#N/A</v>
      </c>
      <c r="BT346" s="29" t="e">
        <f t="shared" si="797"/>
        <v>#N/A</v>
      </c>
      <c r="BU346" s="29" t="e">
        <f t="shared" si="797"/>
        <v>#N/A</v>
      </c>
      <c r="BV346" s="29" t="e">
        <f t="shared" si="797"/>
        <v>#N/A</v>
      </c>
      <c r="BW346" s="29" t="e">
        <f t="shared" si="797"/>
        <v>#N/A</v>
      </c>
      <c r="BX346" s="29" t="e">
        <f t="shared" si="797"/>
        <v>#N/A</v>
      </c>
      <c r="BY346" s="29" t="e">
        <f t="shared" si="797"/>
        <v>#N/A</v>
      </c>
      <c r="BZ346" s="29" t="e">
        <f t="shared" si="797"/>
        <v>#N/A</v>
      </c>
      <c r="CA346" s="29" t="e">
        <f t="shared" si="797"/>
        <v>#N/A</v>
      </c>
      <c r="CB346" s="29" t="e">
        <f t="shared" si="797"/>
        <v>#N/A</v>
      </c>
      <c r="CC346" s="29" t="e">
        <f t="shared" si="797"/>
        <v>#N/A</v>
      </c>
      <c r="CD346" s="29" t="e">
        <f t="shared" si="797"/>
        <v>#N/A</v>
      </c>
      <c r="CE346" s="6" t="str">
        <f t="shared" si="753"/>
        <v/>
      </c>
      <c r="CF346" s="27" t="e">
        <f>IF(AND(CI346,NOT(AD346)),LOOKUP(CF$5,{0,750,1500},H346:J346),"")</f>
        <v>#N/A</v>
      </c>
      <c r="CG346" s="6" t="str">
        <f t="shared" si="754"/>
        <v/>
      </c>
      <c r="CH346" t="e">
        <f t="shared" ref="CH346:CH347" si="798">IF(CI346,IF(ISNUMBER(BO346),BO346,100000)+CV346/10000+IF(ISNUMBER(BJ346),BJ346,2)/10000-P346/100000+ROW()/10000000,"")</f>
        <v>#N/A</v>
      </c>
      <c r="CI346" t="e">
        <f t="shared" ref="CI346:CI347" si="799">PRODUCT(CJ346:CQ346)</f>
        <v>#N/A</v>
      </c>
      <c r="CJ346" s="6" t="e">
        <f t="shared" si="11"/>
        <v>#N/A</v>
      </c>
      <c r="CK346" s="6">
        <f t="shared" si="12"/>
        <v>1</v>
      </c>
      <c r="CL346" s="6">
        <f t="shared" si="26"/>
        <v>1</v>
      </c>
      <c r="CM346" s="6">
        <f t="shared" si="13"/>
        <v>1</v>
      </c>
      <c r="CN346" s="6">
        <f t="shared" si="14"/>
        <v>0</v>
      </c>
      <c r="CO346" s="6">
        <f t="shared" si="15"/>
        <v>1</v>
      </c>
      <c r="CP346" s="6">
        <f t="shared" si="16"/>
        <v>1</v>
      </c>
      <c r="CQ346" s="6">
        <f t="shared" ref="CQ346:CQ347" si="800">IF(CQ$5="Any",1,IF(AND(CQ$5="Med",AV346=0,SUM(AN346:AQ346)=0),1,IF(AND(CQ$5="Low",AV346=0,SUM(AN346:AQ346)=0,AM346=0),1,IF(AND(CQ$5="Flat",AV346=0,SUM(AN346:AQ346)=0,AM346=0,IFERROR(NOT(BE346="Y"),0)),1,0))))</f>
        <v>1</v>
      </c>
      <c r="CR346" s="81" t="str">
        <f t="shared" si="17"/>
        <v/>
      </c>
      <c r="CS346">
        <f t="shared" ref="CS346:CS347" si="801">CS$5*(12/(MIN(12,Q346))-1)</f>
        <v>3.5999999999999992</v>
      </c>
      <c r="CT346">
        <f t="shared" si="666"/>
        <v>300</v>
      </c>
      <c r="CU346" t="str">
        <f t="shared" si="29"/>
        <v/>
      </c>
      <c r="CV346" s="81">
        <f t="shared" ref="CV346:CV347" si="802">CT346*IF(CU346="",1,Q346)</f>
        <v>300</v>
      </c>
      <c r="CW346" s="81">
        <f>(CV346/25)^1.5*(Calculator!$BU$4/10000)*CW$5</f>
        <v>107.33613078068259</v>
      </c>
      <c r="CX346" t="str">
        <f t="shared" ref="CX346:CX347" si="803">"$"&amp;IF(LEFT(CU346,1)="r",CT346&amp;"/"&amp;CU346,CV346)</f>
        <v>$300</v>
      </c>
    </row>
    <row r="347" spans="2:102" x14ac:dyDescent="0.25">
      <c r="B347" s="115" t="s">
        <v>233</v>
      </c>
      <c r="C347" s="13">
        <v>46256.21597222222</v>
      </c>
      <c r="D347">
        <v>37675</v>
      </c>
      <c r="E347" s="54" t="s">
        <v>237</v>
      </c>
      <c r="F347" s="54" t="s">
        <v>756</v>
      </c>
      <c r="G347" s="54" t="s">
        <v>1634</v>
      </c>
      <c r="H347" s="55">
        <v>12.6</v>
      </c>
      <c r="I347" s="55">
        <v>12.1</v>
      </c>
      <c r="J347" s="55">
        <v>11.899999999999999</v>
      </c>
      <c r="K347" s="54"/>
      <c r="L347" s="56" t="b">
        <v>0</v>
      </c>
      <c r="M347" s="56" t="b">
        <v>0</v>
      </c>
      <c r="N347" s="54">
        <v>1</v>
      </c>
      <c r="O347" s="54" t="s">
        <v>228</v>
      </c>
      <c r="P347" s="54">
        <v>15</v>
      </c>
      <c r="Q347" s="54">
        <v>24</v>
      </c>
      <c r="R347" s="54">
        <v>300</v>
      </c>
      <c r="S347" s="54" t="s">
        <v>1635</v>
      </c>
      <c r="T347" s="54"/>
      <c r="U347" s="54" t="s">
        <v>1631</v>
      </c>
      <c r="V347" s="54" t="s">
        <v>1636</v>
      </c>
      <c r="W347" s="54" t="b">
        <v>0</v>
      </c>
      <c r="X347" s="54"/>
      <c r="Y347" s="57" t="s">
        <v>2366</v>
      </c>
      <c r="Z347" s="54" t="s">
        <v>1637</v>
      </c>
      <c r="AA347" s="54"/>
      <c r="AB347" s="54" t="s">
        <v>1638</v>
      </c>
      <c r="AC347" s="56" t="b">
        <v>1</v>
      </c>
      <c r="AD347" s="56" t="b">
        <v>0</v>
      </c>
      <c r="AE347" s="54" t="s">
        <v>302</v>
      </c>
      <c r="AF347" s="58">
        <v>46255</v>
      </c>
      <c r="AG347" s="62" t="s">
        <v>293</v>
      </c>
      <c r="AH347" s="54">
        <v>0</v>
      </c>
      <c r="AI347" s="54"/>
      <c r="AJ347" s="54"/>
      <c r="AK347" s="54"/>
      <c r="AL347" s="54"/>
      <c r="AM347" s="54">
        <v>0</v>
      </c>
      <c r="AN347" s="54"/>
      <c r="AO347" s="54"/>
      <c r="AP347" s="54"/>
      <c r="AQ347" s="54"/>
      <c r="AR347" s="54"/>
      <c r="AS347" s="54"/>
      <c r="AT347" s="54"/>
      <c r="AU347" s="54"/>
      <c r="AV347" s="54"/>
      <c r="AW347" s="54"/>
      <c r="AX347" s="59"/>
      <c r="AY347" s="59"/>
      <c r="AZ347" s="59"/>
      <c r="BA347" s="59"/>
      <c r="BB347" s="59">
        <v>5.7099999999999998E-2</v>
      </c>
      <c r="BC347" s="60">
        <v>4.0599999999999996</v>
      </c>
      <c r="BD347" s="61">
        <v>6.0295000000000001E-2</v>
      </c>
      <c r="BE347" s="62" t="s">
        <v>293</v>
      </c>
      <c r="BF347" s="35">
        <f t="shared" si="0"/>
        <v>4.0600000000000005</v>
      </c>
      <c r="BG347" s="35">
        <f t="shared" si="0"/>
        <v>6.0295000000000001E-2</v>
      </c>
      <c r="BH347" s="35" t="str">
        <f t="shared" si="793"/>
        <v>Low</v>
      </c>
      <c r="BI347" s="110">
        <f t="shared" si="794"/>
        <v>0</v>
      </c>
      <c r="BJ347" s="83">
        <f>VLOOKUP($F347,REP_Info!$D$6:$H$250,5,FALSE)</f>
        <v>8.1270000000000007</v>
      </c>
      <c r="BK347" s="30">
        <f t="shared" si="795"/>
        <v>12.551500000000001</v>
      </c>
      <c r="BL347" s="30">
        <f t="shared" si="795"/>
        <v>12.145500000000002</v>
      </c>
      <c r="BM347" s="30">
        <f t="shared" si="795"/>
        <v>11.942500000000003</v>
      </c>
      <c r="BN347" s="29">
        <f t="shared" si="795"/>
        <v>11.874833333333333</v>
      </c>
      <c r="BO347" s="85" t="str">
        <f t="shared" si="2"/>
        <v>$$$</v>
      </c>
      <c r="BP347" s="88" t="str">
        <f t="shared" si="796"/>
        <v>$$$</v>
      </c>
      <c r="BQ347" s="88" t="str">
        <f t="shared" si="4"/>
        <v>$$$</v>
      </c>
      <c r="BR347" s="88" t="str">
        <f t="shared" si="5"/>
        <v>$$$</v>
      </c>
      <c r="BS347" s="29" t="e">
        <f t="shared" si="797"/>
        <v>#N/A</v>
      </c>
      <c r="BT347" s="29" t="e">
        <f t="shared" si="797"/>
        <v>#N/A</v>
      </c>
      <c r="BU347" s="29" t="e">
        <f t="shared" si="797"/>
        <v>#N/A</v>
      </c>
      <c r="BV347" s="29" t="e">
        <f t="shared" si="797"/>
        <v>#N/A</v>
      </c>
      <c r="BW347" s="29" t="e">
        <f t="shared" si="797"/>
        <v>#N/A</v>
      </c>
      <c r="BX347" s="29" t="e">
        <f t="shared" si="797"/>
        <v>#N/A</v>
      </c>
      <c r="BY347" s="29" t="e">
        <f t="shared" si="797"/>
        <v>#N/A</v>
      </c>
      <c r="BZ347" s="29" t="e">
        <f t="shared" si="797"/>
        <v>#N/A</v>
      </c>
      <c r="CA347" s="29" t="e">
        <f t="shared" si="797"/>
        <v>#N/A</v>
      </c>
      <c r="CB347" s="29" t="e">
        <f t="shared" si="797"/>
        <v>#N/A</v>
      </c>
      <c r="CC347" s="29" t="e">
        <f t="shared" si="797"/>
        <v>#N/A</v>
      </c>
      <c r="CD347" s="29" t="e">
        <f t="shared" si="797"/>
        <v>#N/A</v>
      </c>
      <c r="CE347" s="6" t="str">
        <f t="shared" si="753"/>
        <v/>
      </c>
      <c r="CF347" s="27" t="e">
        <f>IF(AND(CI347,NOT(AD347)),LOOKUP(CF$5,{0,750,1500},H347:J347),"")</f>
        <v>#N/A</v>
      </c>
      <c r="CG347" s="6" t="str">
        <f t="shared" si="754"/>
        <v/>
      </c>
      <c r="CH347" t="e">
        <f t="shared" si="798"/>
        <v>#N/A</v>
      </c>
      <c r="CI347" t="e">
        <f t="shared" si="799"/>
        <v>#N/A</v>
      </c>
      <c r="CJ347" s="6" t="e">
        <f t="shared" si="11"/>
        <v>#N/A</v>
      </c>
      <c r="CK347" s="6">
        <f t="shared" si="12"/>
        <v>1</v>
      </c>
      <c r="CL347" s="6">
        <f t="shared" si="26"/>
        <v>1</v>
      </c>
      <c r="CM347" s="6">
        <f t="shared" si="13"/>
        <v>1</v>
      </c>
      <c r="CN347" s="6">
        <f t="shared" si="14"/>
        <v>1</v>
      </c>
      <c r="CO347" s="6">
        <f t="shared" si="15"/>
        <v>0</v>
      </c>
      <c r="CP347" s="6">
        <f t="shared" si="16"/>
        <v>1</v>
      </c>
      <c r="CQ347" s="6">
        <f t="shared" si="800"/>
        <v>1</v>
      </c>
      <c r="CR347" s="81" t="str">
        <f t="shared" si="17"/>
        <v/>
      </c>
      <c r="CS347">
        <f t="shared" si="801"/>
        <v>0</v>
      </c>
      <c r="CT347">
        <f t="shared" si="666"/>
        <v>300</v>
      </c>
      <c r="CU347" t="str">
        <f t="shared" si="29"/>
        <v/>
      </c>
      <c r="CV347" s="81">
        <f t="shared" si="802"/>
        <v>300</v>
      </c>
      <c r="CW347" s="81">
        <f>(CV347/25)^1.5*(Calculator!$BU$4/10000)*CW$5</f>
        <v>107.33613078068259</v>
      </c>
      <c r="CX347" t="str">
        <f t="shared" si="803"/>
        <v>$300</v>
      </c>
    </row>
    <row r="348" spans="2:102" x14ac:dyDescent="0.25">
      <c r="B348" s="115" t="s">
        <v>233</v>
      </c>
      <c r="C348" s="13">
        <v>46256.21597222222</v>
      </c>
      <c r="D348">
        <v>37701</v>
      </c>
      <c r="E348" s="54" t="s">
        <v>235</v>
      </c>
      <c r="F348" s="54" t="s">
        <v>756</v>
      </c>
      <c r="G348" s="54" t="s">
        <v>1640</v>
      </c>
      <c r="H348" s="55">
        <v>11.899999999999999</v>
      </c>
      <c r="I348" s="55">
        <v>11.4</v>
      </c>
      <c r="J348" s="55">
        <v>11.200000000000001</v>
      </c>
      <c r="K348" s="54"/>
      <c r="L348" s="56" t="b">
        <v>0</v>
      </c>
      <c r="M348" s="56" t="b">
        <v>0</v>
      </c>
      <c r="N348" s="54">
        <v>1</v>
      </c>
      <c r="O348" s="54" t="s">
        <v>228</v>
      </c>
      <c r="P348" s="54">
        <v>15</v>
      </c>
      <c r="Q348" s="54">
        <v>36</v>
      </c>
      <c r="R348" s="54">
        <v>300</v>
      </c>
      <c r="S348" s="54" t="s">
        <v>1635</v>
      </c>
      <c r="T348" s="54"/>
      <c r="U348" s="54" t="s">
        <v>1631</v>
      </c>
      <c r="V348" s="54" t="s">
        <v>1636</v>
      </c>
      <c r="W348" s="54" t="b">
        <v>0</v>
      </c>
      <c r="X348" s="54"/>
      <c r="Y348" s="57" t="s">
        <v>2367</v>
      </c>
      <c r="Z348" s="54" t="s">
        <v>1637</v>
      </c>
      <c r="AA348" s="54"/>
      <c r="AB348" s="54" t="s">
        <v>1638</v>
      </c>
      <c r="AC348" s="56" t="b">
        <v>1</v>
      </c>
      <c r="AD348" s="56" t="b">
        <v>0</v>
      </c>
      <c r="AE348" s="54" t="s">
        <v>302</v>
      </c>
      <c r="AF348" s="58">
        <v>46255</v>
      </c>
      <c r="AG348" s="62" t="s">
        <v>293</v>
      </c>
      <c r="AH348" s="54">
        <v>0</v>
      </c>
      <c r="AI348" s="54"/>
      <c r="AJ348" s="54"/>
      <c r="AK348" s="54"/>
      <c r="AL348" s="54"/>
      <c r="AM348" s="54">
        <v>0</v>
      </c>
      <c r="AN348" s="54"/>
      <c r="AO348" s="54"/>
      <c r="AP348" s="54"/>
      <c r="AQ348" s="54"/>
      <c r="AR348" s="54"/>
      <c r="AS348" s="54"/>
      <c r="AT348" s="54"/>
      <c r="AU348" s="54"/>
      <c r="AV348" s="54"/>
      <c r="AW348" s="54"/>
      <c r="AX348" s="59"/>
      <c r="AY348" s="59"/>
      <c r="AZ348" s="59"/>
      <c r="BA348" s="59"/>
      <c r="BB348" s="59">
        <v>5.96E-2</v>
      </c>
      <c r="BC348" s="60">
        <v>4.9000000000000004</v>
      </c>
      <c r="BD348" s="61">
        <v>4.9811000000000001E-2</v>
      </c>
      <c r="BE348" s="62" t="s">
        <v>293</v>
      </c>
      <c r="BF348" s="35">
        <f t="shared" si="0"/>
        <v>4.9000000000000004</v>
      </c>
      <c r="BG348" s="35">
        <f t="shared" si="0"/>
        <v>4.9811000000000001E-2</v>
      </c>
      <c r="BH348" s="35" t="str">
        <f t="shared" ref="BH348:BH349" si="804">IF(ISTEXT(BE348),IF(AND(AV348=0,SUM(AN348:AQ348)=0),IF(AM348&lt;=0,IF(BE348="Y","Low","Flat"),"Med"),"High"),"?")</f>
        <v>Low</v>
      </c>
      <c r="BI348" s="110">
        <f t="shared" ref="BI348:BI349" si="805">IF(ISNUMBER(AH348),0*BI$5*SIN((EDATE($A$3,$Q348)-DATE(YEAR(EDATE($A$3,$Q348)),1,0)-BI$4)*2*PI()/365),"")</f>
        <v>0</v>
      </c>
      <c r="BJ348" s="83">
        <f>VLOOKUP($F348,REP_Info!$D$6:$H$250,5,FALSE)</f>
        <v>8.1270000000000007</v>
      </c>
      <c r="BK348" s="30">
        <f t="shared" ref="BK348:BN349" si="806">IF(BK$7&gt;0,(LOOKUP(BK$7,$AH348:$AL348,$AM348:$AQ348)+IF($AG348="Y",SUMPRODUCT($AX348:$BB348-$AW348:$BA348,BK$7-$AR348:$AV348,N(BK$7&gt;$AR348:$AV348)),BK$7*LOOKUP(BK$7,$AR348:$AV348,$AX348:$BB348))+IF($BE348="Y",$BF348,$BC348)+BK$7*IF($BE348="Y",$BG348,$BD348))*100/BK$7,"")</f>
        <v>11.921100000000003</v>
      </c>
      <c r="BL348" s="30">
        <f t="shared" si="806"/>
        <v>11.431100000000001</v>
      </c>
      <c r="BM348" s="30">
        <f t="shared" si="806"/>
        <v>11.1861</v>
      </c>
      <c r="BN348" s="29">
        <f t="shared" si="806"/>
        <v>11.104433333333334</v>
      </c>
      <c r="BO348" s="85" t="str">
        <f t="shared" si="2"/>
        <v>$$$</v>
      </c>
      <c r="BP348" s="88" t="str">
        <f t="shared" ref="BP348:BP349" si="807">IFERROR(BO348*100/BO$5,"$$$")</f>
        <v>$$$</v>
      </c>
      <c r="BQ348" s="88" t="str">
        <f t="shared" si="4"/>
        <v>$$$</v>
      </c>
      <c r="BR348" s="88" t="str">
        <f t="shared" si="5"/>
        <v>$$$</v>
      </c>
      <c r="BS348" s="29" t="e">
        <f t="shared" ref="BS348:CD349" si="808">IF($CI348,IF(BS$7&gt;0,IF(BS$4&gt;$Q348,$BF348+BS$7*(BS$5+$BG348+$BI348),LOOKUP(BS$7,$AH348:$AL348,$AM348:$AQ348)+IF($AG348="Y",SUMPRODUCT($AX348:$BB348-$AW348:$BA348,BS$7-$AR348:$AV348,N(BS$7&gt;$AR348:$AV348)),BS$7*LOOKUP(BS$7,$AR348:$AV348,$AX348:$BB348))+IF($BE348="Y",$BF348,$BC348)+BS$7*IF($BE348="Y",$BG348,$BD348))*100/BS$7,""),NA())</f>
        <v>#N/A</v>
      </c>
      <c r="BT348" s="29" t="e">
        <f t="shared" si="808"/>
        <v>#N/A</v>
      </c>
      <c r="BU348" s="29" t="e">
        <f t="shared" si="808"/>
        <v>#N/A</v>
      </c>
      <c r="BV348" s="29" t="e">
        <f t="shared" si="808"/>
        <v>#N/A</v>
      </c>
      <c r="BW348" s="29" t="e">
        <f t="shared" si="808"/>
        <v>#N/A</v>
      </c>
      <c r="BX348" s="29" t="e">
        <f t="shared" si="808"/>
        <v>#N/A</v>
      </c>
      <c r="BY348" s="29" t="e">
        <f t="shared" si="808"/>
        <v>#N/A</v>
      </c>
      <c r="BZ348" s="29" t="e">
        <f t="shared" si="808"/>
        <v>#N/A</v>
      </c>
      <c r="CA348" s="29" t="e">
        <f t="shared" si="808"/>
        <v>#N/A</v>
      </c>
      <c r="CB348" s="29" t="e">
        <f t="shared" si="808"/>
        <v>#N/A</v>
      </c>
      <c r="CC348" s="29" t="e">
        <f t="shared" si="808"/>
        <v>#N/A</v>
      </c>
      <c r="CD348" s="29" t="e">
        <f t="shared" si="808"/>
        <v>#N/A</v>
      </c>
      <c r="CE348" s="6" t="str">
        <f t="shared" si="753"/>
        <v/>
      </c>
      <c r="CF348" s="27" t="e">
        <f>IF(AND(CI348,NOT(AD348)),LOOKUP(CF$5,{0,750,1500},H348:J348),"")</f>
        <v>#N/A</v>
      </c>
      <c r="CG348" s="6" t="str">
        <f t="shared" si="754"/>
        <v/>
      </c>
      <c r="CH348" t="e">
        <f t="shared" ref="CH348:CH349" si="809">IF(CI348,IF(ISNUMBER(BO348),BO348,100000)+CV348/10000+IF(ISNUMBER(BJ348),BJ348,2)/10000-P348/100000+ROW()/10000000,"")</f>
        <v>#N/A</v>
      </c>
      <c r="CI348" t="e">
        <f t="shared" ref="CI348:CI349" si="810">PRODUCT(CJ348:CQ348)</f>
        <v>#N/A</v>
      </c>
      <c r="CJ348" s="6" t="e">
        <f t="shared" si="11"/>
        <v>#N/A</v>
      </c>
      <c r="CK348" s="6">
        <f t="shared" si="12"/>
        <v>1</v>
      </c>
      <c r="CL348" s="6">
        <f t="shared" si="26"/>
        <v>1</v>
      </c>
      <c r="CM348" s="6">
        <f t="shared" si="13"/>
        <v>1</v>
      </c>
      <c r="CN348" s="6">
        <f t="shared" si="14"/>
        <v>1</v>
      </c>
      <c r="CO348" s="6">
        <f t="shared" si="15"/>
        <v>0</v>
      </c>
      <c r="CP348" s="6">
        <f t="shared" si="16"/>
        <v>1</v>
      </c>
      <c r="CQ348" s="6">
        <f t="shared" ref="CQ348:CQ349" si="811">IF(CQ$5="Any",1,IF(AND(CQ$5="Med",AV348=0,SUM(AN348:AQ348)=0),1,IF(AND(CQ$5="Low",AV348=0,SUM(AN348:AQ348)=0,AM348=0),1,IF(AND(CQ$5="Flat",AV348=0,SUM(AN348:AQ348)=0,AM348=0,IFERROR(NOT(BE348="Y"),0)),1,0))))</f>
        <v>1</v>
      </c>
      <c r="CR348" s="81" t="str">
        <f t="shared" si="17"/>
        <v/>
      </c>
      <c r="CS348">
        <f t="shared" ref="CS348:CS349" si="812">CS$5*(12/(MIN(12,Q348))-1)</f>
        <v>0</v>
      </c>
      <c r="CT348">
        <f t="shared" si="666"/>
        <v>300</v>
      </c>
      <c r="CU348" t="str">
        <f t="shared" si="29"/>
        <v/>
      </c>
      <c r="CV348" s="81">
        <f t="shared" ref="CV348:CV349" si="813">CT348*IF(CU348="",1,Q348)</f>
        <v>300</v>
      </c>
      <c r="CW348" s="81">
        <f>(CV348/25)^1.5*(Calculator!$BU$4/10000)*CW$5</f>
        <v>107.33613078068259</v>
      </c>
      <c r="CX348" t="str">
        <f t="shared" ref="CX348:CX349" si="814">"$"&amp;IF(LEFT(CU348,1)="r",CT348&amp;"/"&amp;CU348,CV348)</f>
        <v>$300</v>
      </c>
    </row>
    <row r="349" spans="2:102" x14ac:dyDescent="0.25">
      <c r="B349" s="115" t="s">
        <v>233</v>
      </c>
      <c r="C349" s="13">
        <v>46256.21597222222</v>
      </c>
      <c r="D349">
        <v>37713</v>
      </c>
      <c r="E349" s="54" t="s">
        <v>235</v>
      </c>
      <c r="F349" s="54" t="s">
        <v>756</v>
      </c>
      <c r="G349" s="54" t="s">
        <v>1634</v>
      </c>
      <c r="H349" s="55">
        <v>11.899999999999999</v>
      </c>
      <c r="I349" s="55">
        <v>11.4</v>
      </c>
      <c r="J349" s="55">
        <v>11.200000000000001</v>
      </c>
      <c r="K349" s="54"/>
      <c r="L349" s="56" t="b">
        <v>0</v>
      </c>
      <c r="M349" s="56" t="b">
        <v>0</v>
      </c>
      <c r="N349" s="54">
        <v>1</v>
      </c>
      <c r="O349" s="54" t="s">
        <v>228</v>
      </c>
      <c r="P349" s="54">
        <v>15</v>
      </c>
      <c r="Q349" s="54">
        <v>24</v>
      </c>
      <c r="R349" s="54">
        <v>300</v>
      </c>
      <c r="S349" s="54" t="s">
        <v>1635</v>
      </c>
      <c r="T349" s="54"/>
      <c r="U349" s="54" t="s">
        <v>1631</v>
      </c>
      <c r="V349" s="54" t="s">
        <v>1636</v>
      </c>
      <c r="W349" s="54" t="b">
        <v>0</v>
      </c>
      <c r="X349" s="54"/>
      <c r="Y349" s="57" t="s">
        <v>2368</v>
      </c>
      <c r="Z349" s="54" t="s">
        <v>1637</v>
      </c>
      <c r="AA349" s="54"/>
      <c r="AB349" s="54" t="s">
        <v>1638</v>
      </c>
      <c r="AC349" s="56" t="b">
        <v>1</v>
      </c>
      <c r="AD349" s="56" t="b">
        <v>0</v>
      </c>
      <c r="AE349" s="54" t="s">
        <v>302</v>
      </c>
      <c r="AF349" s="58">
        <v>46255</v>
      </c>
      <c r="AG349" s="62" t="s">
        <v>293</v>
      </c>
      <c r="AH349" s="54">
        <v>0</v>
      </c>
      <c r="AI349" s="54"/>
      <c r="AJ349" s="54"/>
      <c r="AK349" s="54"/>
      <c r="AL349" s="54"/>
      <c r="AM349" s="54">
        <v>0</v>
      </c>
      <c r="AN349" s="54"/>
      <c r="AO349" s="54"/>
      <c r="AP349" s="54"/>
      <c r="AQ349" s="54"/>
      <c r="AR349" s="54"/>
      <c r="AS349" s="54"/>
      <c r="AT349" s="54"/>
      <c r="AU349" s="54"/>
      <c r="AV349" s="54"/>
      <c r="AW349" s="54"/>
      <c r="AX349" s="59"/>
      <c r="AY349" s="59"/>
      <c r="AZ349" s="59"/>
      <c r="BA349" s="59"/>
      <c r="BB349" s="59">
        <v>5.9700000000000003E-2</v>
      </c>
      <c r="BC349" s="60">
        <v>4.9000000000000004</v>
      </c>
      <c r="BD349" s="61">
        <v>4.9811000000000001E-2</v>
      </c>
      <c r="BE349" s="62" t="s">
        <v>293</v>
      </c>
      <c r="BF349" s="35">
        <f t="shared" si="0"/>
        <v>4.9000000000000004</v>
      </c>
      <c r="BG349" s="35">
        <f t="shared" si="0"/>
        <v>4.9811000000000001E-2</v>
      </c>
      <c r="BH349" s="35" t="str">
        <f t="shared" si="804"/>
        <v>Low</v>
      </c>
      <c r="BI349" s="110">
        <f t="shared" si="805"/>
        <v>0</v>
      </c>
      <c r="BJ349" s="83">
        <f>VLOOKUP($F349,REP_Info!$D$6:$H$250,5,FALSE)</f>
        <v>8.1270000000000007</v>
      </c>
      <c r="BK349" s="30">
        <f t="shared" si="806"/>
        <v>11.931100000000001</v>
      </c>
      <c r="BL349" s="30">
        <f t="shared" si="806"/>
        <v>11.4411</v>
      </c>
      <c r="BM349" s="30">
        <f t="shared" si="806"/>
        <v>11.196100000000003</v>
      </c>
      <c r="BN349" s="29">
        <f t="shared" si="806"/>
        <v>11.114433333333334</v>
      </c>
      <c r="BO349" s="85" t="str">
        <f t="shared" si="2"/>
        <v>$$$</v>
      </c>
      <c r="BP349" s="88" t="str">
        <f t="shared" si="807"/>
        <v>$$$</v>
      </c>
      <c r="BQ349" s="88" t="str">
        <f t="shared" si="4"/>
        <v>$$$</v>
      </c>
      <c r="BR349" s="88" t="str">
        <f t="shared" si="5"/>
        <v>$$$</v>
      </c>
      <c r="BS349" s="29" t="e">
        <f t="shared" si="808"/>
        <v>#N/A</v>
      </c>
      <c r="BT349" s="29" t="e">
        <f t="shared" si="808"/>
        <v>#N/A</v>
      </c>
      <c r="BU349" s="29" t="e">
        <f t="shared" si="808"/>
        <v>#N/A</v>
      </c>
      <c r="BV349" s="29" t="e">
        <f t="shared" si="808"/>
        <v>#N/A</v>
      </c>
      <c r="BW349" s="29" t="e">
        <f t="shared" si="808"/>
        <v>#N/A</v>
      </c>
      <c r="BX349" s="29" t="e">
        <f t="shared" si="808"/>
        <v>#N/A</v>
      </c>
      <c r="BY349" s="29" t="e">
        <f t="shared" si="808"/>
        <v>#N/A</v>
      </c>
      <c r="BZ349" s="29" t="e">
        <f t="shared" si="808"/>
        <v>#N/A</v>
      </c>
      <c r="CA349" s="29" t="e">
        <f t="shared" si="808"/>
        <v>#N/A</v>
      </c>
      <c r="CB349" s="29" t="e">
        <f t="shared" si="808"/>
        <v>#N/A</v>
      </c>
      <c r="CC349" s="29" t="e">
        <f t="shared" si="808"/>
        <v>#N/A</v>
      </c>
      <c r="CD349" s="29" t="e">
        <f t="shared" si="808"/>
        <v>#N/A</v>
      </c>
      <c r="CE349" s="6" t="str">
        <f t="shared" si="753"/>
        <v/>
      </c>
      <c r="CF349" s="27" t="e">
        <f>IF(AND(CI349,NOT(AD349)),LOOKUP(CF$5,{0,750,1500},H349:J349),"")</f>
        <v>#N/A</v>
      </c>
      <c r="CG349" s="6" t="str">
        <f t="shared" si="754"/>
        <v/>
      </c>
      <c r="CH349" t="e">
        <f t="shared" si="809"/>
        <v>#N/A</v>
      </c>
      <c r="CI349" t="e">
        <f t="shared" si="810"/>
        <v>#N/A</v>
      </c>
      <c r="CJ349" s="6" t="e">
        <f t="shared" si="11"/>
        <v>#N/A</v>
      </c>
      <c r="CK349" s="6">
        <f t="shared" si="12"/>
        <v>1</v>
      </c>
      <c r="CL349" s="6">
        <f t="shared" si="26"/>
        <v>1</v>
      </c>
      <c r="CM349" s="6">
        <f t="shared" si="13"/>
        <v>1</v>
      </c>
      <c r="CN349" s="6">
        <f t="shared" si="14"/>
        <v>1</v>
      </c>
      <c r="CO349" s="6">
        <f t="shared" si="15"/>
        <v>0</v>
      </c>
      <c r="CP349" s="6">
        <f t="shared" si="16"/>
        <v>1</v>
      </c>
      <c r="CQ349" s="6">
        <f t="shared" si="811"/>
        <v>1</v>
      </c>
      <c r="CR349" s="81" t="str">
        <f t="shared" si="17"/>
        <v/>
      </c>
      <c r="CS349">
        <f t="shared" si="812"/>
        <v>0</v>
      </c>
      <c r="CT349">
        <f t="shared" si="666"/>
        <v>300</v>
      </c>
      <c r="CU349" t="str">
        <f t="shared" si="29"/>
        <v/>
      </c>
      <c r="CV349" s="81">
        <f t="shared" si="813"/>
        <v>300</v>
      </c>
      <c r="CW349" s="81">
        <f>(CV349/25)^1.5*(Calculator!$BU$4/10000)*CW$5</f>
        <v>107.33613078068259</v>
      </c>
      <c r="CX349" t="str">
        <f t="shared" si="814"/>
        <v>$300</v>
      </c>
    </row>
    <row r="350" spans="2:102" x14ac:dyDescent="0.25">
      <c r="B350" s="115" t="s">
        <v>233</v>
      </c>
      <c r="C350" s="13">
        <v>46251.443749999999</v>
      </c>
      <c r="D350">
        <v>36599</v>
      </c>
      <c r="E350" s="54" t="s">
        <v>235</v>
      </c>
      <c r="F350" s="54" t="s">
        <v>757</v>
      </c>
      <c r="G350" s="54" t="s">
        <v>1697</v>
      </c>
      <c r="H350" s="55">
        <v>21.9</v>
      </c>
      <c r="I350" s="55">
        <v>9.7000000000000011</v>
      </c>
      <c r="J350" s="55">
        <v>14.299999999999999</v>
      </c>
      <c r="K350" s="54" t="s">
        <v>1698</v>
      </c>
      <c r="L350" s="56" t="b">
        <v>0</v>
      </c>
      <c r="M350" s="56" t="b">
        <v>0</v>
      </c>
      <c r="N350" s="54">
        <v>1</v>
      </c>
      <c r="O350" s="54" t="s">
        <v>228</v>
      </c>
      <c r="P350" s="54">
        <v>3</v>
      </c>
      <c r="Q350" s="54">
        <v>12</v>
      </c>
      <c r="R350" s="54">
        <v>150</v>
      </c>
      <c r="S350" s="54" t="s">
        <v>1699</v>
      </c>
      <c r="T350" s="54" t="s">
        <v>1700</v>
      </c>
      <c r="U350" s="54" t="s">
        <v>758</v>
      </c>
      <c r="V350" s="54" t="s">
        <v>759</v>
      </c>
      <c r="W350" s="54" t="b">
        <v>0</v>
      </c>
      <c r="X350" s="54"/>
      <c r="Y350" s="57" t="s">
        <v>1701</v>
      </c>
      <c r="Z350" s="54" t="s">
        <v>1702</v>
      </c>
      <c r="AA350" s="54"/>
      <c r="AB350" s="54" t="s">
        <v>760</v>
      </c>
      <c r="AC350" s="56" t="b">
        <v>0</v>
      </c>
      <c r="AD350" s="56" t="b">
        <v>1</v>
      </c>
      <c r="AE350" s="54" t="s">
        <v>302</v>
      </c>
      <c r="AF350" s="58">
        <v>46251</v>
      </c>
      <c r="AG350" s="62" t="s">
        <v>293</v>
      </c>
      <c r="AH350" s="54">
        <v>0</v>
      </c>
      <c r="AI350" s="54"/>
      <c r="AJ350" s="54"/>
      <c r="AK350" s="54"/>
      <c r="AL350" s="54"/>
      <c r="AM350" s="54">
        <v>9.9499999999999993</v>
      </c>
      <c r="AN350" s="54"/>
      <c r="AO350" s="54"/>
      <c r="AP350" s="54"/>
      <c r="AQ350" s="54"/>
      <c r="AR350" s="54"/>
      <c r="AS350" s="54"/>
      <c r="AT350" s="54"/>
      <c r="AU350" s="54"/>
      <c r="AV350" s="54"/>
      <c r="AW350" s="54"/>
      <c r="AX350" s="59"/>
      <c r="AY350" s="59"/>
      <c r="AZ350" s="59"/>
      <c r="BA350" s="59"/>
      <c r="BB350" s="59">
        <v>0.13900000000000001</v>
      </c>
      <c r="BC350" s="60"/>
      <c r="BD350" s="61"/>
      <c r="BE350" s="62" t="e">
        <v>#N/A</v>
      </c>
      <c r="BF350" s="35">
        <f t="shared" si="0"/>
        <v>4.9000000000000004</v>
      </c>
      <c r="BG350" s="35">
        <f t="shared" si="0"/>
        <v>4.9811000000000001E-2</v>
      </c>
      <c r="BH350" s="35" t="str">
        <f t="shared" ref="BH350" si="815">IF(ISTEXT(BE350),IF(AND(AV350=0,SUM(AN350:AQ350)=0),IF(AM350&lt;=0,IF(BE350="Y","Low","Flat"),"Med"),"High"),"?")</f>
        <v>?</v>
      </c>
      <c r="BI350" s="110">
        <f t="shared" ref="BI350" si="816">IF(ISNUMBER(AH350),0*BI$5*SIN((EDATE($A$3,$Q350)-DATE(YEAR(EDATE($A$3,$Q350)),1,0)-BI$4)*2*PI()/365),"")</f>
        <v>0</v>
      </c>
      <c r="BJ350" s="83">
        <f>VLOOKUP($F350,REP_Info!$D$6:$H$250,5,FALSE)</f>
        <v>0.48199999999999998</v>
      </c>
      <c r="BK350" s="30" t="e">
        <f t="shared" ref="BK350:BN350" si="817">IF(BK$7&gt;0,(LOOKUP(BK$7,$AH350:$AL350,$AM350:$AQ350)+IF($AG350="Y",SUMPRODUCT($AX350:$BB350-$AW350:$BA350,BK$7-$AR350:$AV350,N(BK$7&gt;$AR350:$AV350)),BK$7*LOOKUP(BK$7,$AR350:$AV350,$AX350:$BB350))+IF($BE350="Y",$BF350,$BC350)+BK$7*IF($BE350="Y",$BG350,$BD350))*100/BK$7,"")</f>
        <v>#N/A</v>
      </c>
      <c r="BL350" s="30" t="e">
        <f t="shared" si="817"/>
        <v>#N/A</v>
      </c>
      <c r="BM350" s="30" t="e">
        <f t="shared" si="817"/>
        <v>#N/A</v>
      </c>
      <c r="BN350" s="29" t="e">
        <f t="shared" si="817"/>
        <v>#N/A</v>
      </c>
      <c r="BO350" s="85" t="str">
        <f t="shared" si="2"/>
        <v>$$$</v>
      </c>
      <c r="BP350" s="88" t="str">
        <f t="shared" ref="BP350" si="818">IFERROR(BO350*100/BO$5,"$$$")</f>
        <v>$$$</v>
      </c>
      <c r="BQ350" s="88" t="str">
        <f t="shared" si="4"/>
        <v>$$$</v>
      </c>
      <c r="BR350" s="88" t="str">
        <f t="shared" si="5"/>
        <v>$$$</v>
      </c>
      <c r="BS350" s="29" t="e">
        <f t="shared" ref="BS350:CD350" si="819">IF($CI350,IF(BS$7&gt;0,IF(BS$4&gt;$Q350,$BF350+BS$7*(BS$5+$BG350+$BI350),LOOKUP(BS$7,$AH350:$AL350,$AM350:$AQ350)+IF($AG350="Y",SUMPRODUCT($AX350:$BB350-$AW350:$BA350,BS$7-$AR350:$AV350,N(BS$7&gt;$AR350:$AV350)),BS$7*LOOKUP(BS$7,$AR350:$AV350,$AX350:$BB350))+IF($BE350="Y",$BF350,$BC350)+BS$7*IF($BE350="Y",$BG350,$BD350))*100/BS$7,""),NA())</f>
        <v>#N/A</v>
      </c>
      <c r="BT350" s="29" t="e">
        <f t="shared" si="819"/>
        <v>#N/A</v>
      </c>
      <c r="BU350" s="29" t="e">
        <f t="shared" si="819"/>
        <v>#N/A</v>
      </c>
      <c r="BV350" s="29" t="e">
        <f t="shared" si="819"/>
        <v>#N/A</v>
      </c>
      <c r="BW350" s="29" t="e">
        <f t="shared" si="819"/>
        <v>#N/A</v>
      </c>
      <c r="BX350" s="29" t="e">
        <f t="shared" si="819"/>
        <v>#N/A</v>
      </c>
      <c r="BY350" s="29" t="e">
        <f t="shared" si="819"/>
        <v>#N/A</v>
      </c>
      <c r="BZ350" s="29" t="e">
        <f t="shared" si="819"/>
        <v>#N/A</v>
      </c>
      <c r="CA350" s="29" t="e">
        <f t="shared" si="819"/>
        <v>#N/A</v>
      </c>
      <c r="CB350" s="29" t="e">
        <f t="shared" si="819"/>
        <v>#N/A</v>
      </c>
      <c r="CC350" s="29" t="e">
        <f t="shared" si="819"/>
        <v>#N/A</v>
      </c>
      <c r="CD350" s="29" t="e">
        <f t="shared" si="819"/>
        <v>#N/A</v>
      </c>
      <c r="CE350" s="6" t="str">
        <f t="shared" si="753"/>
        <v/>
      </c>
      <c r="CF350" s="27" t="e">
        <f>IF(AND(CI350,NOT(AD350)),LOOKUP(CF$5,{0,750,1500},H350:J350),"")</f>
        <v>#N/A</v>
      </c>
      <c r="CG350" s="6" t="str">
        <f t="shared" si="754"/>
        <v/>
      </c>
      <c r="CH350" t="e">
        <f t="shared" ref="CH350" si="820">IF(CI350,IF(ISNUMBER(BO350),BO350,100000)+CV350/10000+IF(ISNUMBER(BJ350),BJ350,2)/10000-P350/100000+ROW()/10000000,"")</f>
        <v>#N/A</v>
      </c>
      <c r="CI350" t="e">
        <f t="shared" ref="CI350" si="821">PRODUCT(CJ350:CQ350)</f>
        <v>#N/A</v>
      </c>
      <c r="CJ350" s="6" t="e">
        <f t="shared" si="11"/>
        <v>#N/A</v>
      </c>
      <c r="CK350" s="6">
        <f t="shared" si="12"/>
        <v>1</v>
      </c>
      <c r="CL350" s="6">
        <f t="shared" si="26"/>
        <v>1</v>
      </c>
      <c r="CM350" s="6">
        <f t="shared" si="13"/>
        <v>1</v>
      </c>
      <c r="CN350" s="6">
        <f t="shared" si="14"/>
        <v>1</v>
      </c>
      <c r="CO350" s="6">
        <f t="shared" si="15"/>
        <v>1</v>
      </c>
      <c r="CP350" s="6">
        <f t="shared" si="16"/>
        <v>1</v>
      </c>
      <c r="CQ350" s="6">
        <f t="shared" ref="CQ350" si="822">IF(CQ$5="Any",1,IF(AND(CQ$5="Med",AV350=0,SUM(AN350:AQ350)=0),1,IF(AND(CQ$5="Low",AV350=0,SUM(AN350:AQ350)=0,AM350=0),1,IF(AND(CQ$5="Flat",AV350=0,SUM(AN350:AQ350)=0,AM350=0,IFERROR(NOT(BE350="Y"),0)),1,0))))</f>
        <v>1</v>
      </c>
      <c r="CR350" s="81" t="str">
        <f t="shared" si="17"/>
        <v/>
      </c>
      <c r="CS350">
        <f t="shared" ref="CS350" si="823">CS$5*(12/(MIN(12,Q350))-1)</f>
        <v>0</v>
      </c>
      <c r="CT350">
        <f t="shared" si="666"/>
        <v>150</v>
      </c>
      <c r="CU350" t="str">
        <f t="shared" si="29"/>
        <v/>
      </c>
      <c r="CV350" s="81">
        <f t="shared" ref="CV350" si="824">CT350*IF(CU350="",1,Q350)</f>
        <v>150</v>
      </c>
      <c r="CW350" s="81">
        <f>(CV350/25)^1.5*(Calculator!$BU$4/10000)*CW$5</f>
        <v>37.949052970673385</v>
      </c>
      <c r="CX350" t="str">
        <f t="shared" ref="CX350" si="825">"$"&amp;IF(LEFT(CU350,1)="r",CT350&amp;"/"&amp;CU350,CV350)</f>
        <v>$150</v>
      </c>
    </row>
    <row r="351" spans="2:102" x14ac:dyDescent="0.25">
      <c r="B351" s="115" t="s">
        <v>233</v>
      </c>
      <c r="C351" s="13">
        <v>46237.767361111109</v>
      </c>
      <c r="D351">
        <v>36601</v>
      </c>
      <c r="E351" s="54" t="s">
        <v>237</v>
      </c>
      <c r="F351" s="54" t="s">
        <v>757</v>
      </c>
      <c r="G351" s="54" t="s">
        <v>1697</v>
      </c>
      <c r="H351" s="55">
        <v>22.900000000000002</v>
      </c>
      <c r="I351" s="55">
        <v>10.9</v>
      </c>
      <c r="J351" s="55">
        <v>15.5</v>
      </c>
      <c r="K351" s="54" t="s">
        <v>1698</v>
      </c>
      <c r="L351" s="56" t="b">
        <v>0</v>
      </c>
      <c r="M351" s="56" t="b">
        <v>0</v>
      </c>
      <c r="N351" s="54">
        <v>1</v>
      </c>
      <c r="O351" s="54" t="s">
        <v>228</v>
      </c>
      <c r="P351" s="54">
        <v>3</v>
      </c>
      <c r="Q351" s="54">
        <v>12</v>
      </c>
      <c r="R351" s="54">
        <v>150</v>
      </c>
      <c r="S351" s="54" t="s">
        <v>1699</v>
      </c>
      <c r="T351" s="54" t="s">
        <v>1700</v>
      </c>
      <c r="U351" s="54" t="s">
        <v>758</v>
      </c>
      <c r="V351" s="54" t="s">
        <v>759</v>
      </c>
      <c r="W351" s="54" t="b">
        <v>0</v>
      </c>
      <c r="X351" s="54"/>
      <c r="Y351" s="57" t="s">
        <v>1873</v>
      </c>
      <c r="Z351" s="54" t="s">
        <v>1702</v>
      </c>
      <c r="AA351" s="54"/>
      <c r="AB351" s="54" t="s">
        <v>760</v>
      </c>
      <c r="AC351" s="56" t="b">
        <v>0</v>
      </c>
      <c r="AD351" s="56" t="b">
        <v>1</v>
      </c>
      <c r="AE351" s="54" t="s">
        <v>302</v>
      </c>
      <c r="AF351" s="58">
        <v>46237</v>
      </c>
      <c r="AG351" s="62" t="s">
        <v>293</v>
      </c>
      <c r="AH351" s="54">
        <v>0</v>
      </c>
      <c r="AI351" s="54"/>
      <c r="AJ351" s="54"/>
      <c r="AK351" s="54"/>
      <c r="AL351" s="54"/>
      <c r="AM351" s="54">
        <v>9.9499999999999993</v>
      </c>
      <c r="AN351" s="54"/>
      <c r="AO351" s="54"/>
      <c r="AP351" s="54"/>
      <c r="AQ351" s="54"/>
      <c r="AR351" s="54"/>
      <c r="AS351" s="54"/>
      <c r="AT351" s="54"/>
      <c r="AU351" s="54"/>
      <c r="AV351" s="54"/>
      <c r="AW351" s="54"/>
      <c r="AX351" s="59"/>
      <c r="AY351" s="59"/>
      <c r="AZ351" s="59"/>
      <c r="BA351" s="59"/>
      <c r="BB351" s="59">
        <v>0.14099999999999999</v>
      </c>
      <c r="BC351" s="60"/>
      <c r="BD351" s="61"/>
      <c r="BE351" s="62" t="e">
        <v>#N/A</v>
      </c>
      <c r="BF351" s="35">
        <f t="shared" si="0"/>
        <v>4.0600000000000005</v>
      </c>
      <c r="BG351" s="35">
        <f t="shared" si="0"/>
        <v>6.0295000000000001E-2</v>
      </c>
      <c r="BH351" s="35" t="str">
        <f t="shared" ref="BH351:BH357" si="826">IF(ISTEXT(BE351),IF(AND(AV351=0,SUM(AN351:AQ351)=0),IF(AM351&lt;=0,IF(BE351="Y","Low","Flat"),"Med"),"High"),"?")</f>
        <v>?</v>
      </c>
      <c r="BI351" s="110">
        <f t="shared" ref="BI351:BI357" si="827">IF(ISNUMBER(AH351),0*BI$5*SIN((EDATE($A$3,$Q351)-DATE(YEAR(EDATE($A$3,$Q351)),1,0)-BI$4)*2*PI()/365),"")</f>
        <v>0</v>
      </c>
      <c r="BJ351" s="83">
        <f>VLOOKUP($F351,REP_Info!$D$6:$H$250,5,FALSE)</f>
        <v>0.48199999999999998</v>
      </c>
      <c r="BK351" s="30" t="e">
        <f t="shared" ref="BK351:BN357" si="828">IF(BK$7&gt;0,(LOOKUP(BK$7,$AH351:$AL351,$AM351:$AQ351)+IF($AG351="Y",SUMPRODUCT($AX351:$BB351-$AW351:$BA351,BK$7-$AR351:$AV351,N(BK$7&gt;$AR351:$AV351)),BK$7*LOOKUP(BK$7,$AR351:$AV351,$AX351:$BB351))+IF($BE351="Y",$BF351,$BC351)+BK$7*IF($BE351="Y",$BG351,$BD351))*100/BK$7,"")</f>
        <v>#N/A</v>
      </c>
      <c r="BL351" s="30" t="e">
        <f t="shared" si="828"/>
        <v>#N/A</v>
      </c>
      <c r="BM351" s="30" t="e">
        <f t="shared" si="828"/>
        <v>#N/A</v>
      </c>
      <c r="BN351" s="29" t="e">
        <f t="shared" si="828"/>
        <v>#N/A</v>
      </c>
      <c r="BO351" s="85" t="str">
        <f t="shared" si="2"/>
        <v>$$$</v>
      </c>
      <c r="BP351" s="88" t="str">
        <f t="shared" ref="BP351:BP357" si="829">IFERROR(BO351*100/BO$5,"$$$")</f>
        <v>$$$</v>
      </c>
      <c r="BQ351" s="88" t="str">
        <f t="shared" si="4"/>
        <v>$$$</v>
      </c>
      <c r="BR351" s="88" t="str">
        <f t="shared" si="5"/>
        <v>$$$</v>
      </c>
      <c r="BS351" s="29" t="e">
        <f t="shared" ref="BS351:CD357" si="830">IF($CI351,IF(BS$7&gt;0,IF(BS$4&gt;$Q351,$BF351+BS$7*(BS$5+$BG351+$BI351),LOOKUP(BS$7,$AH351:$AL351,$AM351:$AQ351)+IF($AG351="Y",SUMPRODUCT($AX351:$BB351-$AW351:$BA351,BS$7-$AR351:$AV351,N(BS$7&gt;$AR351:$AV351)),BS$7*LOOKUP(BS$7,$AR351:$AV351,$AX351:$BB351))+IF($BE351="Y",$BF351,$BC351)+BS$7*IF($BE351="Y",$BG351,$BD351))*100/BS$7,""),NA())</f>
        <v>#N/A</v>
      </c>
      <c r="BT351" s="29" t="e">
        <f t="shared" si="830"/>
        <v>#N/A</v>
      </c>
      <c r="BU351" s="29" t="e">
        <f t="shared" si="830"/>
        <v>#N/A</v>
      </c>
      <c r="BV351" s="29" t="e">
        <f t="shared" si="830"/>
        <v>#N/A</v>
      </c>
      <c r="BW351" s="29" t="e">
        <f t="shared" si="830"/>
        <v>#N/A</v>
      </c>
      <c r="BX351" s="29" t="e">
        <f t="shared" si="830"/>
        <v>#N/A</v>
      </c>
      <c r="BY351" s="29" t="e">
        <f t="shared" si="830"/>
        <v>#N/A</v>
      </c>
      <c r="BZ351" s="29" t="e">
        <f t="shared" si="830"/>
        <v>#N/A</v>
      </c>
      <c r="CA351" s="29" t="e">
        <f t="shared" si="830"/>
        <v>#N/A</v>
      </c>
      <c r="CB351" s="29" t="e">
        <f t="shared" si="830"/>
        <v>#N/A</v>
      </c>
      <c r="CC351" s="29" t="e">
        <f t="shared" si="830"/>
        <v>#N/A</v>
      </c>
      <c r="CD351" s="29" t="e">
        <f t="shared" si="830"/>
        <v>#N/A</v>
      </c>
      <c r="CE351" s="6" t="str">
        <f t="shared" si="753"/>
        <v/>
      </c>
      <c r="CF351" s="27" t="e">
        <f>IF(AND(CI351,NOT(AD351)),LOOKUP(CF$5,{0,750,1500},H351:J351),"")</f>
        <v>#N/A</v>
      </c>
      <c r="CG351" s="6" t="str">
        <f t="shared" si="754"/>
        <v/>
      </c>
      <c r="CH351" t="e">
        <f t="shared" ref="CH351:CH357" si="831">IF(CI351,IF(ISNUMBER(BO351),BO351,100000)+CV351/10000+IF(ISNUMBER(BJ351),BJ351,2)/10000-P351/100000+ROW()/10000000,"")</f>
        <v>#N/A</v>
      </c>
      <c r="CI351" t="e">
        <f t="shared" ref="CI351:CI357" si="832">PRODUCT(CJ351:CQ351)</f>
        <v>#N/A</v>
      </c>
      <c r="CJ351" s="6" t="e">
        <f t="shared" si="11"/>
        <v>#N/A</v>
      </c>
      <c r="CK351" s="6">
        <f t="shared" si="12"/>
        <v>1</v>
      </c>
      <c r="CL351" s="6">
        <f t="shared" si="26"/>
        <v>1</v>
      </c>
      <c r="CM351" s="6">
        <f t="shared" si="13"/>
        <v>1</v>
      </c>
      <c r="CN351" s="6">
        <f t="shared" si="14"/>
        <v>1</v>
      </c>
      <c r="CO351" s="6">
        <f t="shared" si="15"/>
        <v>1</v>
      </c>
      <c r="CP351" s="6">
        <f t="shared" si="16"/>
        <v>1</v>
      </c>
      <c r="CQ351" s="6">
        <f t="shared" ref="CQ351:CQ357" si="833">IF(CQ$5="Any",1,IF(AND(CQ$5="Med",AV351=0,SUM(AN351:AQ351)=0),1,IF(AND(CQ$5="Low",AV351=0,SUM(AN351:AQ351)=0,AM351=0),1,IF(AND(CQ$5="Flat",AV351=0,SUM(AN351:AQ351)=0,AM351=0,IFERROR(NOT(BE351="Y"),0)),1,0))))</f>
        <v>1</v>
      </c>
      <c r="CR351" s="81" t="str">
        <f t="shared" si="17"/>
        <v/>
      </c>
      <c r="CS351">
        <f t="shared" ref="CS351:CS357" si="834">CS$5*(12/(MIN(12,Q351))-1)</f>
        <v>0</v>
      </c>
      <c r="CT351">
        <f t="shared" si="666"/>
        <v>150</v>
      </c>
      <c r="CU351" t="str">
        <f t="shared" si="29"/>
        <v/>
      </c>
      <c r="CV351" s="81">
        <f t="shared" ref="CV351:CV357" si="835">CT351*IF(CU351="",1,Q351)</f>
        <v>150</v>
      </c>
      <c r="CW351" s="81">
        <f>(CV351/25)^1.5*(Calculator!$BU$4/10000)*CW$5</f>
        <v>37.949052970673385</v>
      </c>
      <c r="CX351" t="str">
        <f t="shared" ref="CX351:CX357" si="836">"$"&amp;IF(LEFT(CU351,1)="r",CT351&amp;"/"&amp;CU351,CV351)</f>
        <v>$150</v>
      </c>
    </row>
    <row r="352" spans="2:102" x14ac:dyDescent="0.25">
      <c r="B352" s="115" t="s">
        <v>233</v>
      </c>
      <c r="C352" s="13">
        <v>46254.637499999997</v>
      </c>
      <c r="D352">
        <v>37648</v>
      </c>
      <c r="E352" s="54" t="s">
        <v>237</v>
      </c>
      <c r="F352" s="54" t="s">
        <v>761</v>
      </c>
      <c r="G352" s="54" t="s">
        <v>2298</v>
      </c>
      <c r="H352" s="55">
        <v>11.600000000000001</v>
      </c>
      <c r="I352" s="55">
        <v>11.200000000000001</v>
      </c>
      <c r="J352" s="55">
        <v>11</v>
      </c>
      <c r="K352" s="54"/>
      <c r="L352" s="56" t="b">
        <v>0</v>
      </c>
      <c r="M352" s="56" t="b">
        <v>0</v>
      </c>
      <c r="N352" s="54">
        <v>1</v>
      </c>
      <c r="O352" s="54" t="s">
        <v>228</v>
      </c>
      <c r="P352" s="54">
        <v>24</v>
      </c>
      <c r="Q352" s="54">
        <v>10</v>
      </c>
      <c r="R352" s="54">
        <v>150</v>
      </c>
      <c r="S352" s="54" t="s">
        <v>2022</v>
      </c>
      <c r="T352" s="54" t="s">
        <v>2299</v>
      </c>
      <c r="U352" s="54" t="s">
        <v>2244</v>
      </c>
      <c r="V352" s="54" t="s">
        <v>2300</v>
      </c>
      <c r="W352" s="54" t="b">
        <v>0</v>
      </c>
      <c r="X352" s="54"/>
      <c r="Y352" s="57" t="s">
        <v>2301</v>
      </c>
      <c r="Z352" s="54" t="s">
        <v>2302</v>
      </c>
      <c r="AA352" s="54"/>
      <c r="AB352" s="54" t="s">
        <v>2023</v>
      </c>
      <c r="AC352" s="56" t="b">
        <v>1</v>
      </c>
      <c r="AD352" s="56" t="b">
        <v>0</v>
      </c>
      <c r="AE352" s="54" t="s">
        <v>302</v>
      </c>
      <c r="AF352" s="58">
        <v>46254</v>
      </c>
      <c r="AG352" s="62" t="s">
        <v>293</v>
      </c>
      <c r="AH352" s="54">
        <v>0</v>
      </c>
      <c r="AI352" s="54"/>
      <c r="AJ352" s="54"/>
      <c r="AK352" s="54"/>
      <c r="AL352" s="54"/>
      <c r="AM352" s="54">
        <v>0</v>
      </c>
      <c r="AN352" s="54"/>
      <c r="AO352" s="54"/>
      <c r="AP352" s="54"/>
      <c r="AQ352" s="54"/>
      <c r="AR352" s="54"/>
      <c r="AS352" s="54"/>
      <c r="AT352" s="54"/>
      <c r="AU352" s="54"/>
      <c r="AV352" s="54"/>
      <c r="AW352" s="54"/>
      <c r="AX352" s="59"/>
      <c r="AY352" s="59"/>
      <c r="AZ352" s="59"/>
      <c r="BA352" s="59"/>
      <c r="BB352" s="59">
        <v>4.8000000000000001E-2</v>
      </c>
      <c r="BC352" s="60">
        <v>4.0599999999999996</v>
      </c>
      <c r="BD352" s="61">
        <v>6.0295000000000001E-2</v>
      </c>
      <c r="BE352" s="62" t="s">
        <v>293</v>
      </c>
      <c r="BF352" s="35">
        <f t="shared" si="0"/>
        <v>4.0600000000000005</v>
      </c>
      <c r="BG352" s="35">
        <f t="shared" si="0"/>
        <v>6.0295000000000001E-2</v>
      </c>
      <c r="BH352" s="35" t="str">
        <f t="shared" si="826"/>
        <v>Low</v>
      </c>
      <c r="BI352" s="110">
        <f t="shared" si="827"/>
        <v>0</v>
      </c>
      <c r="BJ352" s="83">
        <f>VLOOKUP($F352,REP_Info!$D$6:$H$250,5,FALSE)</f>
        <v>1.198</v>
      </c>
      <c r="BK352" s="30">
        <f t="shared" si="828"/>
        <v>11.641500000000001</v>
      </c>
      <c r="BL352" s="30">
        <f t="shared" si="828"/>
        <v>11.2355</v>
      </c>
      <c r="BM352" s="30">
        <f t="shared" si="828"/>
        <v>11.032500000000001</v>
      </c>
      <c r="BN352" s="29">
        <f t="shared" si="828"/>
        <v>10.964833333333333</v>
      </c>
      <c r="BO352" s="85" t="str">
        <f t="shared" si="2"/>
        <v>$$$</v>
      </c>
      <c r="BP352" s="88" t="str">
        <f t="shared" si="829"/>
        <v>$$$</v>
      </c>
      <c r="BQ352" s="88" t="str">
        <f t="shared" si="4"/>
        <v>$$$</v>
      </c>
      <c r="BR352" s="88" t="str">
        <f t="shared" si="5"/>
        <v>$$$</v>
      </c>
      <c r="BS352" s="29" t="e">
        <f t="shared" si="830"/>
        <v>#N/A</v>
      </c>
      <c r="BT352" s="29" t="e">
        <f t="shared" si="830"/>
        <v>#N/A</v>
      </c>
      <c r="BU352" s="29" t="e">
        <f t="shared" si="830"/>
        <v>#N/A</v>
      </c>
      <c r="BV352" s="29" t="e">
        <f t="shared" si="830"/>
        <v>#N/A</v>
      </c>
      <c r="BW352" s="29" t="e">
        <f t="shared" si="830"/>
        <v>#N/A</v>
      </c>
      <c r="BX352" s="29" t="e">
        <f t="shared" si="830"/>
        <v>#N/A</v>
      </c>
      <c r="BY352" s="29" t="e">
        <f t="shared" si="830"/>
        <v>#N/A</v>
      </c>
      <c r="BZ352" s="29" t="e">
        <f t="shared" si="830"/>
        <v>#N/A</v>
      </c>
      <c r="CA352" s="29" t="e">
        <f t="shared" si="830"/>
        <v>#N/A</v>
      </c>
      <c r="CB352" s="29" t="e">
        <f t="shared" si="830"/>
        <v>#N/A</v>
      </c>
      <c r="CC352" s="29" t="e">
        <f t="shared" si="830"/>
        <v>#N/A</v>
      </c>
      <c r="CD352" s="29" t="e">
        <f t="shared" si="830"/>
        <v>#N/A</v>
      </c>
      <c r="CE352" s="6" t="str">
        <f t="shared" si="753"/>
        <v/>
      </c>
      <c r="CF352" s="27" t="e">
        <f>IF(AND(CI352,NOT(AD352)),LOOKUP(CF$5,{0,750,1500},H352:J352),"")</f>
        <v>#N/A</v>
      </c>
      <c r="CG352" s="6" t="str">
        <f t="shared" si="754"/>
        <v/>
      </c>
      <c r="CH352" t="e">
        <f t="shared" si="831"/>
        <v>#N/A</v>
      </c>
      <c r="CI352" t="e">
        <f t="shared" si="832"/>
        <v>#N/A</v>
      </c>
      <c r="CJ352" s="6" t="e">
        <f t="shared" si="11"/>
        <v>#N/A</v>
      </c>
      <c r="CK352" s="6">
        <f t="shared" si="12"/>
        <v>1</v>
      </c>
      <c r="CL352" s="6">
        <f t="shared" si="26"/>
        <v>1</v>
      </c>
      <c r="CM352" s="6">
        <f t="shared" si="13"/>
        <v>1</v>
      </c>
      <c r="CN352" s="6">
        <f t="shared" si="14"/>
        <v>0</v>
      </c>
      <c r="CO352" s="6">
        <f t="shared" si="15"/>
        <v>1</v>
      </c>
      <c r="CP352" s="6">
        <f t="shared" si="16"/>
        <v>1</v>
      </c>
      <c r="CQ352" s="6">
        <f t="shared" si="833"/>
        <v>1</v>
      </c>
      <c r="CR352" s="81" t="str">
        <f t="shared" si="17"/>
        <v/>
      </c>
      <c r="CS352">
        <f t="shared" si="834"/>
        <v>3.5999999999999992</v>
      </c>
      <c r="CT352">
        <f t="shared" si="666"/>
        <v>150</v>
      </c>
      <c r="CU352" t="str">
        <f t="shared" si="29"/>
        <v/>
      </c>
      <c r="CV352" s="81">
        <f t="shared" si="835"/>
        <v>150</v>
      </c>
      <c r="CW352" s="81">
        <f>(CV352/25)^1.5*(Calculator!$BU$4/10000)*CW$5</f>
        <v>37.949052970673385</v>
      </c>
      <c r="CX352" t="str">
        <f t="shared" si="836"/>
        <v>$150</v>
      </c>
    </row>
    <row r="353" spans="2:102" x14ac:dyDescent="0.25">
      <c r="B353" s="115" t="s">
        <v>233</v>
      </c>
      <c r="C353" s="13">
        <v>46254.637499999997</v>
      </c>
      <c r="D353">
        <v>37651</v>
      </c>
      <c r="E353" s="54" t="s">
        <v>235</v>
      </c>
      <c r="F353" s="54" t="s">
        <v>761</v>
      </c>
      <c r="G353" s="54" t="s">
        <v>2298</v>
      </c>
      <c r="H353" s="55">
        <v>11</v>
      </c>
      <c r="I353" s="55">
        <v>10.5</v>
      </c>
      <c r="J353" s="55">
        <v>10.199999999999999</v>
      </c>
      <c r="K353" s="54"/>
      <c r="L353" s="56" t="b">
        <v>0</v>
      </c>
      <c r="M353" s="56" t="b">
        <v>0</v>
      </c>
      <c r="N353" s="54">
        <v>1</v>
      </c>
      <c r="O353" s="54" t="s">
        <v>228</v>
      </c>
      <c r="P353" s="54">
        <v>24</v>
      </c>
      <c r="Q353" s="54">
        <v>10</v>
      </c>
      <c r="R353" s="54">
        <v>150</v>
      </c>
      <c r="S353" s="54" t="s">
        <v>2022</v>
      </c>
      <c r="T353" s="54" t="s">
        <v>2299</v>
      </c>
      <c r="U353" s="54" t="s">
        <v>2244</v>
      </c>
      <c r="V353" s="54" t="s">
        <v>2300</v>
      </c>
      <c r="W353" s="54" t="b">
        <v>0</v>
      </c>
      <c r="X353" s="54"/>
      <c r="Y353" s="57" t="s">
        <v>2303</v>
      </c>
      <c r="Z353" s="54" t="s">
        <v>2304</v>
      </c>
      <c r="AA353" s="54"/>
      <c r="AB353" s="54" t="s">
        <v>2023</v>
      </c>
      <c r="AC353" s="56" t="b">
        <v>1</v>
      </c>
      <c r="AD353" s="56" t="b">
        <v>0</v>
      </c>
      <c r="AE353" s="54" t="s">
        <v>302</v>
      </c>
      <c r="AF353" s="58">
        <v>46254</v>
      </c>
      <c r="AG353" s="62" t="s">
        <v>293</v>
      </c>
      <c r="AH353" s="54">
        <v>0</v>
      </c>
      <c r="AI353" s="54"/>
      <c r="AJ353" s="54"/>
      <c r="AK353" s="54"/>
      <c r="AL353" s="54"/>
      <c r="AM353" s="54">
        <v>0</v>
      </c>
      <c r="AN353" s="54"/>
      <c r="AO353" s="54"/>
      <c r="AP353" s="54"/>
      <c r="AQ353" s="54"/>
      <c r="AR353" s="54"/>
      <c r="AS353" s="54"/>
      <c r="AT353" s="54"/>
      <c r="AU353" s="54"/>
      <c r="AV353" s="54"/>
      <c r="AW353" s="54"/>
      <c r="AX353" s="59"/>
      <c r="AY353" s="59"/>
      <c r="AZ353" s="59"/>
      <c r="BA353" s="59"/>
      <c r="BB353" s="59">
        <v>0.05</v>
      </c>
      <c r="BC353" s="60">
        <v>4.9000000000000004</v>
      </c>
      <c r="BD353" s="61">
        <v>4.9811000000000001E-2</v>
      </c>
      <c r="BE353" s="62" t="s">
        <v>293</v>
      </c>
      <c r="BF353" s="35">
        <f t="shared" si="0"/>
        <v>4.9000000000000004</v>
      </c>
      <c r="BG353" s="35">
        <f t="shared" si="0"/>
        <v>4.9811000000000001E-2</v>
      </c>
      <c r="BH353" s="35" t="str">
        <f t="shared" si="826"/>
        <v>Low</v>
      </c>
      <c r="BI353" s="110">
        <f t="shared" si="827"/>
        <v>0</v>
      </c>
      <c r="BJ353" s="83">
        <f>VLOOKUP($F353,REP_Info!$D$6:$H$250,5,FALSE)</f>
        <v>1.198</v>
      </c>
      <c r="BK353" s="30">
        <f t="shared" si="828"/>
        <v>10.961099999999998</v>
      </c>
      <c r="BL353" s="30">
        <f t="shared" si="828"/>
        <v>10.4711</v>
      </c>
      <c r="BM353" s="30">
        <f t="shared" si="828"/>
        <v>10.226100000000001</v>
      </c>
      <c r="BN353" s="29">
        <f t="shared" si="828"/>
        <v>10.144433333333332</v>
      </c>
      <c r="BO353" s="85" t="str">
        <f t="shared" si="2"/>
        <v>$$$</v>
      </c>
      <c r="BP353" s="88" t="str">
        <f t="shared" si="829"/>
        <v>$$$</v>
      </c>
      <c r="BQ353" s="88" t="str">
        <f t="shared" si="4"/>
        <v>$$$</v>
      </c>
      <c r="BR353" s="88" t="str">
        <f t="shared" si="5"/>
        <v>$$$</v>
      </c>
      <c r="BS353" s="29" t="e">
        <f t="shared" si="830"/>
        <v>#N/A</v>
      </c>
      <c r="BT353" s="29" t="e">
        <f t="shared" si="830"/>
        <v>#N/A</v>
      </c>
      <c r="BU353" s="29" t="e">
        <f t="shared" si="830"/>
        <v>#N/A</v>
      </c>
      <c r="BV353" s="29" t="e">
        <f t="shared" si="830"/>
        <v>#N/A</v>
      </c>
      <c r="BW353" s="29" t="e">
        <f t="shared" si="830"/>
        <v>#N/A</v>
      </c>
      <c r="BX353" s="29" t="e">
        <f t="shared" si="830"/>
        <v>#N/A</v>
      </c>
      <c r="BY353" s="29" t="e">
        <f t="shared" si="830"/>
        <v>#N/A</v>
      </c>
      <c r="BZ353" s="29" t="e">
        <f t="shared" si="830"/>
        <v>#N/A</v>
      </c>
      <c r="CA353" s="29" t="e">
        <f t="shared" si="830"/>
        <v>#N/A</v>
      </c>
      <c r="CB353" s="29" t="e">
        <f t="shared" si="830"/>
        <v>#N/A</v>
      </c>
      <c r="CC353" s="29" t="e">
        <f t="shared" si="830"/>
        <v>#N/A</v>
      </c>
      <c r="CD353" s="29" t="e">
        <f t="shared" si="830"/>
        <v>#N/A</v>
      </c>
      <c r="CE353" s="6" t="str">
        <f t="shared" si="753"/>
        <v/>
      </c>
      <c r="CF353" s="27" t="e">
        <f>IF(AND(CI353,NOT(AD353)),LOOKUP(CF$5,{0,750,1500},H353:J353),"")</f>
        <v>#N/A</v>
      </c>
      <c r="CG353" s="6" t="str">
        <f t="shared" si="754"/>
        <v/>
      </c>
      <c r="CH353" t="e">
        <f t="shared" si="831"/>
        <v>#N/A</v>
      </c>
      <c r="CI353" t="e">
        <f t="shared" si="832"/>
        <v>#N/A</v>
      </c>
      <c r="CJ353" s="6" t="e">
        <f t="shared" si="11"/>
        <v>#N/A</v>
      </c>
      <c r="CK353" s="6">
        <f t="shared" si="12"/>
        <v>1</v>
      </c>
      <c r="CL353" s="6">
        <f t="shared" si="26"/>
        <v>1</v>
      </c>
      <c r="CM353" s="6">
        <f t="shared" si="13"/>
        <v>1</v>
      </c>
      <c r="CN353" s="6">
        <f t="shared" si="14"/>
        <v>0</v>
      </c>
      <c r="CO353" s="6">
        <f t="shared" si="15"/>
        <v>1</v>
      </c>
      <c r="CP353" s="6">
        <f t="shared" si="16"/>
        <v>1</v>
      </c>
      <c r="CQ353" s="6">
        <f t="shared" si="833"/>
        <v>1</v>
      </c>
      <c r="CR353" s="81" t="str">
        <f t="shared" si="17"/>
        <v/>
      </c>
      <c r="CS353">
        <f t="shared" si="834"/>
        <v>3.5999999999999992</v>
      </c>
      <c r="CT353">
        <f t="shared" si="666"/>
        <v>150</v>
      </c>
      <c r="CU353" t="str">
        <f t="shared" si="29"/>
        <v/>
      </c>
      <c r="CV353" s="81">
        <f t="shared" si="835"/>
        <v>150</v>
      </c>
      <c r="CW353" s="81">
        <f>(CV353/25)^1.5*(Calculator!$BU$4/10000)*CW$5</f>
        <v>37.949052970673385</v>
      </c>
      <c r="CX353" t="str">
        <f t="shared" si="836"/>
        <v>$150</v>
      </c>
    </row>
    <row r="354" spans="2:102" x14ac:dyDescent="0.25">
      <c r="B354" s="115" t="s">
        <v>233</v>
      </c>
      <c r="C354" s="13">
        <v>46254.637499999997</v>
      </c>
      <c r="D354">
        <v>37654</v>
      </c>
      <c r="E354" s="54" t="s">
        <v>237</v>
      </c>
      <c r="F354" s="54" t="s">
        <v>761</v>
      </c>
      <c r="G354" s="54" t="s">
        <v>2305</v>
      </c>
      <c r="H354" s="55">
        <v>12.3</v>
      </c>
      <c r="I354" s="55">
        <v>11.899999999999999</v>
      </c>
      <c r="J354" s="55">
        <v>11.700000000000001</v>
      </c>
      <c r="K354" s="54"/>
      <c r="L354" s="56" t="b">
        <v>0</v>
      </c>
      <c r="M354" s="56" t="b">
        <v>0</v>
      </c>
      <c r="N354" s="54">
        <v>1</v>
      </c>
      <c r="O354" s="54" t="s">
        <v>228</v>
      </c>
      <c r="P354" s="54">
        <v>24</v>
      </c>
      <c r="Q354" s="54">
        <v>16</v>
      </c>
      <c r="R354" s="54">
        <v>150</v>
      </c>
      <c r="S354" s="54" t="s">
        <v>2022</v>
      </c>
      <c r="T354" s="54" t="s">
        <v>2299</v>
      </c>
      <c r="U354" s="54" t="s">
        <v>2244</v>
      </c>
      <c r="V354" s="54" t="s">
        <v>2300</v>
      </c>
      <c r="W354" s="54" t="b">
        <v>0</v>
      </c>
      <c r="X354" s="54"/>
      <c r="Y354" s="57" t="s">
        <v>2306</v>
      </c>
      <c r="Z354" s="54" t="s">
        <v>2307</v>
      </c>
      <c r="AA354" s="54"/>
      <c r="AB354" s="54" t="s">
        <v>2023</v>
      </c>
      <c r="AC354" s="56" t="b">
        <v>1</v>
      </c>
      <c r="AD354" s="56" t="b">
        <v>0</v>
      </c>
      <c r="AE354" s="54" t="s">
        <v>302</v>
      </c>
      <c r="AF354" s="58">
        <v>46254</v>
      </c>
      <c r="AG354" s="62" t="s">
        <v>293</v>
      </c>
      <c r="AH354" s="54">
        <v>0</v>
      </c>
      <c r="AI354" s="54"/>
      <c r="AJ354" s="54"/>
      <c r="AK354" s="54"/>
      <c r="AL354" s="54"/>
      <c r="AM354" s="54">
        <v>0</v>
      </c>
      <c r="AN354" s="54"/>
      <c r="AO354" s="54"/>
      <c r="AP354" s="54"/>
      <c r="AQ354" s="54"/>
      <c r="AR354" s="54"/>
      <c r="AS354" s="54"/>
      <c r="AT354" s="54"/>
      <c r="AU354" s="54"/>
      <c r="AV354" s="54"/>
      <c r="AW354" s="54"/>
      <c r="AX354" s="59"/>
      <c r="AY354" s="59"/>
      <c r="AZ354" s="59"/>
      <c r="BA354" s="59"/>
      <c r="BB354" s="59">
        <v>5.5E-2</v>
      </c>
      <c r="BC354" s="60">
        <v>4.0599999999999996</v>
      </c>
      <c r="BD354" s="61">
        <v>6.0295000000000001E-2</v>
      </c>
      <c r="BE354" s="62" t="s">
        <v>293</v>
      </c>
      <c r="BF354" s="35">
        <f t="shared" si="0"/>
        <v>4.0600000000000005</v>
      </c>
      <c r="BG354" s="35">
        <f t="shared" si="0"/>
        <v>6.0295000000000001E-2</v>
      </c>
      <c r="BH354" s="35" t="str">
        <f t="shared" si="826"/>
        <v>Low</v>
      </c>
      <c r="BI354" s="110">
        <f t="shared" si="827"/>
        <v>0</v>
      </c>
      <c r="BJ354" s="83">
        <f>VLOOKUP($F354,REP_Info!$D$6:$H$250,5,FALSE)</f>
        <v>1.198</v>
      </c>
      <c r="BK354" s="30">
        <f t="shared" si="828"/>
        <v>12.3415</v>
      </c>
      <c r="BL354" s="30">
        <f t="shared" si="828"/>
        <v>11.935499999999999</v>
      </c>
      <c r="BM354" s="30">
        <f t="shared" si="828"/>
        <v>11.7325</v>
      </c>
      <c r="BN354" s="29">
        <f t="shared" si="828"/>
        <v>11.664833333333334</v>
      </c>
      <c r="BO354" s="85" t="str">
        <f t="shared" si="2"/>
        <v>$$$</v>
      </c>
      <c r="BP354" s="88" t="str">
        <f t="shared" si="829"/>
        <v>$$$</v>
      </c>
      <c r="BQ354" s="88" t="str">
        <f t="shared" si="4"/>
        <v>$$$</v>
      </c>
      <c r="BR354" s="88" t="str">
        <f t="shared" si="5"/>
        <v>$$$</v>
      </c>
      <c r="BS354" s="29" t="e">
        <f t="shared" si="830"/>
        <v>#N/A</v>
      </c>
      <c r="BT354" s="29" t="e">
        <f t="shared" si="830"/>
        <v>#N/A</v>
      </c>
      <c r="BU354" s="29" t="e">
        <f t="shared" si="830"/>
        <v>#N/A</v>
      </c>
      <c r="BV354" s="29" t="e">
        <f t="shared" si="830"/>
        <v>#N/A</v>
      </c>
      <c r="BW354" s="29" t="e">
        <f t="shared" si="830"/>
        <v>#N/A</v>
      </c>
      <c r="BX354" s="29" t="e">
        <f t="shared" si="830"/>
        <v>#N/A</v>
      </c>
      <c r="BY354" s="29" t="e">
        <f t="shared" si="830"/>
        <v>#N/A</v>
      </c>
      <c r="BZ354" s="29" t="e">
        <f t="shared" si="830"/>
        <v>#N/A</v>
      </c>
      <c r="CA354" s="29" t="e">
        <f t="shared" si="830"/>
        <v>#N/A</v>
      </c>
      <c r="CB354" s="29" t="e">
        <f t="shared" si="830"/>
        <v>#N/A</v>
      </c>
      <c r="CC354" s="29" t="e">
        <f t="shared" si="830"/>
        <v>#N/A</v>
      </c>
      <c r="CD354" s="29" t="e">
        <f t="shared" si="830"/>
        <v>#N/A</v>
      </c>
      <c r="CE354" s="6" t="str">
        <f t="shared" si="753"/>
        <v/>
      </c>
      <c r="CF354" s="27" t="e">
        <f>IF(AND(CI354,NOT(AD354)),LOOKUP(CF$5,{0,750,1500},H354:J354),"")</f>
        <v>#N/A</v>
      </c>
      <c r="CG354" s="6" t="str">
        <f t="shared" si="754"/>
        <v/>
      </c>
      <c r="CH354" t="e">
        <f t="shared" si="831"/>
        <v>#N/A</v>
      </c>
      <c r="CI354" t="e">
        <f t="shared" si="832"/>
        <v>#N/A</v>
      </c>
      <c r="CJ354" s="6" t="e">
        <f t="shared" si="11"/>
        <v>#N/A</v>
      </c>
      <c r="CK354" s="6">
        <f t="shared" si="12"/>
        <v>1</v>
      </c>
      <c r="CL354" s="6">
        <f t="shared" si="26"/>
        <v>1</v>
      </c>
      <c r="CM354" s="6">
        <f t="shared" si="13"/>
        <v>1</v>
      </c>
      <c r="CN354" s="6">
        <f t="shared" si="14"/>
        <v>1</v>
      </c>
      <c r="CO354" s="6">
        <f t="shared" si="15"/>
        <v>0</v>
      </c>
      <c r="CP354" s="6">
        <f t="shared" si="16"/>
        <v>1</v>
      </c>
      <c r="CQ354" s="6">
        <f t="shared" si="833"/>
        <v>1</v>
      </c>
      <c r="CR354" s="81" t="str">
        <f t="shared" si="17"/>
        <v/>
      </c>
      <c r="CS354">
        <f t="shared" si="834"/>
        <v>0</v>
      </c>
      <c r="CT354">
        <f t="shared" si="666"/>
        <v>150</v>
      </c>
      <c r="CU354" t="str">
        <f t="shared" si="29"/>
        <v/>
      </c>
      <c r="CV354" s="81">
        <f t="shared" si="835"/>
        <v>150</v>
      </c>
      <c r="CW354" s="81">
        <f>(CV354/25)^1.5*(Calculator!$BU$4/10000)*CW$5</f>
        <v>37.949052970673385</v>
      </c>
      <c r="CX354" t="str">
        <f t="shared" si="836"/>
        <v>$150</v>
      </c>
    </row>
    <row r="355" spans="2:102" x14ac:dyDescent="0.25">
      <c r="B355" s="115" t="s">
        <v>233</v>
      </c>
      <c r="C355" s="13">
        <v>46256.21597222222</v>
      </c>
      <c r="D355">
        <v>37672</v>
      </c>
      <c r="E355" s="54" t="s">
        <v>235</v>
      </c>
      <c r="F355" s="54" t="s">
        <v>761</v>
      </c>
      <c r="G355" s="54" t="s">
        <v>2369</v>
      </c>
      <c r="H355" s="55">
        <v>11.700000000000001</v>
      </c>
      <c r="I355" s="55">
        <v>11.200000000000001</v>
      </c>
      <c r="J355" s="55">
        <v>10.9</v>
      </c>
      <c r="K355" s="54"/>
      <c r="L355" s="56" t="b">
        <v>0</v>
      </c>
      <c r="M355" s="56" t="b">
        <v>0</v>
      </c>
      <c r="N355" s="54">
        <v>1</v>
      </c>
      <c r="O355" s="54" t="s">
        <v>228</v>
      </c>
      <c r="P355" s="54">
        <v>24</v>
      </c>
      <c r="Q355" s="54">
        <v>16</v>
      </c>
      <c r="R355" s="54">
        <v>150</v>
      </c>
      <c r="S355" s="54" t="s">
        <v>2022</v>
      </c>
      <c r="T355" s="54" t="s">
        <v>2299</v>
      </c>
      <c r="U355" s="54" t="s">
        <v>2244</v>
      </c>
      <c r="V355" s="54" t="s">
        <v>2300</v>
      </c>
      <c r="W355" s="54" t="b">
        <v>0</v>
      </c>
      <c r="X355" s="54"/>
      <c r="Y355" s="57" t="s">
        <v>2370</v>
      </c>
      <c r="Z355" s="54" t="s">
        <v>2371</v>
      </c>
      <c r="AA355" s="54"/>
      <c r="AB355" s="54" t="s">
        <v>2023</v>
      </c>
      <c r="AC355" s="56" t="b">
        <v>1</v>
      </c>
      <c r="AD355" s="56" t="b">
        <v>0</v>
      </c>
      <c r="AE355" s="54" t="s">
        <v>302</v>
      </c>
      <c r="AF355" s="58">
        <v>46254</v>
      </c>
      <c r="AG355" s="62" t="s">
        <v>293</v>
      </c>
      <c r="AH355" s="54">
        <v>0</v>
      </c>
      <c r="AI355" s="54"/>
      <c r="AJ355" s="54"/>
      <c r="AK355" s="54"/>
      <c r="AL355" s="54"/>
      <c r="AM355" s="54">
        <v>0</v>
      </c>
      <c r="AN355" s="54"/>
      <c r="AO355" s="54"/>
      <c r="AP355" s="54"/>
      <c r="AQ355" s="54"/>
      <c r="AR355" s="54"/>
      <c r="AS355" s="54"/>
      <c r="AT355" s="54"/>
      <c r="AU355" s="54"/>
      <c r="AV355" s="54"/>
      <c r="AW355" s="54"/>
      <c r="AX355" s="59"/>
      <c r="AY355" s="59"/>
      <c r="AZ355" s="59"/>
      <c r="BA355" s="59"/>
      <c r="BB355" s="59">
        <v>5.7000000000000002E-2</v>
      </c>
      <c r="BC355" s="60">
        <v>4.9000000000000004</v>
      </c>
      <c r="BD355" s="61">
        <v>4.9811000000000001E-2</v>
      </c>
      <c r="BE355" s="62" t="s">
        <v>293</v>
      </c>
      <c r="BF355" s="35">
        <f t="shared" si="0"/>
        <v>4.9000000000000004</v>
      </c>
      <c r="BG355" s="35">
        <f t="shared" si="0"/>
        <v>4.9811000000000001E-2</v>
      </c>
      <c r="BH355" s="35" t="str">
        <f t="shared" si="826"/>
        <v>Low</v>
      </c>
      <c r="BI355" s="110">
        <f t="shared" si="827"/>
        <v>0</v>
      </c>
      <c r="BJ355" s="83">
        <f>VLOOKUP($F355,REP_Info!$D$6:$H$250,5,FALSE)</f>
        <v>1.198</v>
      </c>
      <c r="BK355" s="30">
        <f t="shared" si="828"/>
        <v>11.661099999999999</v>
      </c>
      <c r="BL355" s="30">
        <f t="shared" si="828"/>
        <v>11.171100000000001</v>
      </c>
      <c r="BM355" s="30">
        <f t="shared" si="828"/>
        <v>10.9261</v>
      </c>
      <c r="BN355" s="29">
        <f t="shared" si="828"/>
        <v>10.844433333333331</v>
      </c>
      <c r="BO355" s="85" t="str">
        <f t="shared" si="2"/>
        <v>$$$</v>
      </c>
      <c r="BP355" s="88" t="str">
        <f t="shared" si="829"/>
        <v>$$$</v>
      </c>
      <c r="BQ355" s="88" t="str">
        <f t="shared" si="4"/>
        <v>$$$</v>
      </c>
      <c r="BR355" s="88" t="str">
        <f t="shared" si="5"/>
        <v>$$$</v>
      </c>
      <c r="BS355" s="29" t="e">
        <f t="shared" si="830"/>
        <v>#N/A</v>
      </c>
      <c r="BT355" s="29" t="e">
        <f t="shared" si="830"/>
        <v>#N/A</v>
      </c>
      <c r="BU355" s="29" t="e">
        <f t="shared" si="830"/>
        <v>#N/A</v>
      </c>
      <c r="BV355" s="29" t="e">
        <f t="shared" si="830"/>
        <v>#N/A</v>
      </c>
      <c r="BW355" s="29" t="e">
        <f t="shared" si="830"/>
        <v>#N/A</v>
      </c>
      <c r="BX355" s="29" t="e">
        <f t="shared" si="830"/>
        <v>#N/A</v>
      </c>
      <c r="BY355" s="29" t="e">
        <f t="shared" si="830"/>
        <v>#N/A</v>
      </c>
      <c r="BZ355" s="29" t="e">
        <f t="shared" si="830"/>
        <v>#N/A</v>
      </c>
      <c r="CA355" s="29" t="e">
        <f t="shared" si="830"/>
        <v>#N/A</v>
      </c>
      <c r="CB355" s="29" t="e">
        <f t="shared" si="830"/>
        <v>#N/A</v>
      </c>
      <c r="CC355" s="29" t="e">
        <f t="shared" si="830"/>
        <v>#N/A</v>
      </c>
      <c r="CD355" s="29" t="e">
        <f t="shared" si="830"/>
        <v>#N/A</v>
      </c>
      <c r="CE355" s="6" t="str">
        <f t="shared" si="753"/>
        <v/>
      </c>
      <c r="CF355" s="27" t="e">
        <f>IF(AND(CI355,NOT(AD355)),LOOKUP(CF$5,{0,750,1500},H355:J355),"")</f>
        <v>#N/A</v>
      </c>
      <c r="CG355" s="6" t="str">
        <f t="shared" si="754"/>
        <v/>
      </c>
      <c r="CH355" t="e">
        <f t="shared" si="831"/>
        <v>#N/A</v>
      </c>
      <c r="CI355" t="e">
        <f t="shared" si="832"/>
        <v>#N/A</v>
      </c>
      <c r="CJ355" s="6" t="e">
        <f t="shared" si="11"/>
        <v>#N/A</v>
      </c>
      <c r="CK355" s="6">
        <f t="shared" si="12"/>
        <v>1</v>
      </c>
      <c r="CL355" s="6">
        <f t="shared" si="26"/>
        <v>1</v>
      </c>
      <c r="CM355" s="6">
        <f t="shared" si="13"/>
        <v>1</v>
      </c>
      <c r="CN355" s="6">
        <f t="shared" si="14"/>
        <v>1</v>
      </c>
      <c r="CO355" s="6">
        <f t="shared" si="15"/>
        <v>0</v>
      </c>
      <c r="CP355" s="6">
        <f t="shared" si="16"/>
        <v>1</v>
      </c>
      <c r="CQ355" s="6">
        <f t="shared" si="833"/>
        <v>1</v>
      </c>
      <c r="CR355" s="81" t="str">
        <f t="shared" si="17"/>
        <v/>
      </c>
      <c r="CS355">
        <f t="shared" si="834"/>
        <v>0</v>
      </c>
      <c r="CT355">
        <f t="shared" si="666"/>
        <v>150</v>
      </c>
      <c r="CU355" t="str">
        <f t="shared" si="29"/>
        <v/>
      </c>
      <c r="CV355" s="81">
        <f t="shared" si="835"/>
        <v>150</v>
      </c>
      <c r="CW355" s="81">
        <f>(CV355/25)^1.5*(Calculator!$BU$4/10000)*CW$5</f>
        <v>37.949052970673385</v>
      </c>
      <c r="CX355" t="str">
        <f t="shared" si="836"/>
        <v>$150</v>
      </c>
    </row>
    <row r="356" spans="2:102" x14ac:dyDescent="0.25">
      <c r="B356" s="115" t="s">
        <v>233</v>
      </c>
      <c r="C356" s="13">
        <v>46242.178472222222</v>
      </c>
      <c r="D356">
        <v>36629</v>
      </c>
      <c r="E356" s="54" t="s">
        <v>237</v>
      </c>
      <c r="F356" s="54" t="s">
        <v>1338</v>
      </c>
      <c r="G356" s="274" t="s">
        <v>1730</v>
      </c>
      <c r="H356" s="55">
        <v>11.600000000000001</v>
      </c>
      <c r="I356" s="55">
        <v>11.200000000000001</v>
      </c>
      <c r="J356" s="55">
        <v>11</v>
      </c>
      <c r="K356" s="54"/>
      <c r="L356" s="56" t="b">
        <v>0</v>
      </c>
      <c r="M356" s="56" t="b">
        <v>0</v>
      </c>
      <c r="N356" s="54">
        <v>1</v>
      </c>
      <c r="O356" s="54" t="s">
        <v>228</v>
      </c>
      <c r="P356" s="54">
        <v>3</v>
      </c>
      <c r="Q356" s="54">
        <v>12</v>
      </c>
      <c r="R356" s="54" t="s">
        <v>1725</v>
      </c>
      <c r="S356" s="54" t="s">
        <v>1733</v>
      </c>
      <c r="T356" s="54"/>
      <c r="U356" s="54" t="s">
        <v>1713</v>
      </c>
      <c r="V356" s="54" t="s">
        <v>1731</v>
      </c>
      <c r="W356" s="54" t="b">
        <v>0</v>
      </c>
      <c r="X356" s="54"/>
      <c r="Y356" s="57" t="s">
        <v>1732</v>
      </c>
      <c r="Z356" s="54" t="s">
        <v>1733</v>
      </c>
      <c r="AA356" s="54"/>
      <c r="AB356" s="54" t="s">
        <v>1734</v>
      </c>
      <c r="AC356" s="56" t="b">
        <v>1</v>
      </c>
      <c r="AD356" s="56" t="b">
        <v>0</v>
      </c>
      <c r="AE356" s="54" t="s">
        <v>302</v>
      </c>
      <c r="AF356" s="58">
        <v>46242</v>
      </c>
      <c r="AG356" s="62" t="s">
        <v>293</v>
      </c>
      <c r="AH356" s="54">
        <v>0</v>
      </c>
      <c r="AI356" s="54"/>
      <c r="AJ356" s="54"/>
      <c r="AK356" s="54"/>
      <c r="AL356" s="54"/>
      <c r="AM356" s="54">
        <v>0</v>
      </c>
      <c r="AN356" s="54"/>
      <c r="AO356" s="54"/>
      <c r="AP356" s="54"/>
      <c r="AQ356" s="54"/>
      <c r="AR356" s="54"/>
      <c r="AS356" s="54"/>
      <c r="AT356" s="54"/>
      <c r="AU356" s="54"/>
      <c r="AV356" s="54"/>
      <c r="AW356" s="54"/>
      <c r="AX356" s="59"/>
      <c r="AY356" s="59"/>
      <c r="AZ356" s="59"/>
      <c r="BA356" s="59"/>
      <c r="BB356" s="59">
        <v>4.7649999999999998E-2</v>
      </c>
      <c r="BC356" s="60"/>
      <c r="BD356" s="61"/>
      <c r="BE356" s="62" t="s">
        <v>293</v>
      </c>
      <c r="BF356" s="35">
        <f t="shared" si="0"/>
        <v>4.0600000000000005</v>
      </c>
      <c r="BG356" s="35">
        <f t="shared" si="0"/>
        <v>6.0295000000000001E-2</v>
      </c>
      <c r="BH356" s="35" t="str">
        <f t="shared" si="826"/>
        <v>Low</v>
      </c>
      <c r="BI356" s="110">
        <f t="shared" si="827"/>
        <v>0</v>
      </c>
      <c r="BJ356" s="83" t="str">
        <f>VLOOKUP($F356,REP_Info!$D$6:$H$250,5,FALSE)</f>
        <v/>
      </c>
      <c r="BK356" s="30">
        <f t="shared" si="828"/>
        <v>11.6065</v>
      </c>
      <c r="BL356" s="30">
        <f t="shared" si="828"/>
        <v>11.2005</v>
      </c>
      <c r="BM356" s="30">
        <f t="shared" si="828"/>
        <v>10.9975</v>
      </c>
      <c r="BN356" s="29">
        <f t="shared" si="828"/>
        <v>10.929833333333333</v>
      </c>
      <c r="BO356" s="85" t="str">
        <f t="shared" si="2"/>
        <v>$$$</v>
      </c>
      <c r="BP356" s="88" t="str">
        <f t="shared" si="829"/>
        <v>$$$</v>
      </c>
      <c r="BQ356" s="88" t="str">
        <f t="shared" si="4"/>
        <v>$$$</v>
      </c>
      <c r="BR356" s="88" t="str">
        <f t="shared" si="5"/>
        <v>$$$</v>
      </c>
      <c r="BS356" s="29" t="e">
        <f t="shared" si="830"/>
        <v>#N/A</v>
      </c>
      <c r="BT356" s="29" t="e">
        <f t="shared" si="830"/>
        <v>#N/A</v>
      </c>
      <c r="BU356" s="29" t="e">
        <f t="shared" si="830"/>
        <v>#N/A</v>
      </c>
      <c r="BV356" s="29" t="e">
        <f t="shared" si="830"/>
        <v>#N/A</v>
      </c>
      <c r="BW356" s="29" t="e">
        <f t="shared" si="830"/>
        <v>#N/A</v>
      </c>
      <c r="BX356" s="29" t="e">
        <f t="shared" si="830"/>
        <v>#N/A</v>
      </c>
      <c r="BY356" s="29" t="e">
        <f t="shared" si="830"/>
        <v>#N/A</v>
      </c>
      <c r="BZ356" s="29" t="e">
        <f t="shared" si="830"/>
        <v>#N/A</v>
      </c>
      <c r="CA356" s="29" t="e">
        <f t="shared" si="830"/>
        <v>#N/A</v>
      </c>
      <c r="CB356" s="29" t="e">
        <f t="shared" si="830"/>
        <v>#N/A</v>
      </c>
      <c r="CC356" s="29" t="e">
        <f t="shared" si="830"/>
        <v>#N/A</v>
      </c>
      <c r="CD356" s="29" t="e">
        <f t="shared" si="830"/>
        <v>#N/A</v>
      </c>
      <c r="CE356" s="6" t="str">
        <f t="shared" si="753"/>
        <v/>
      </c>
      <c r="CF356" s="27" t="e">
        <f>IF(AND(CI356,NOT(AD356)),LOOKUP(CF$5,{0,750,1500},H356:J356),"")</f>
        <v>#N/A</v>
      </c>
      <c r="CG356" s="6" t="str">
        <f t="shared" si="754"/>
        <v/>
      </c>
      <c r="CH356" t="e">
        <f t="shared" si="831"/>
        <v>#N/A</v>
      </c>
      <c r="CI356" t="e">
        <f t="shared" si="832"/>
        <v>#N/A</v>
      </c>
      <c r="CJ356" s="6" t="e">
        <f t="shared" si="11"/>
        <v>#N/A</v>
      </c>
      <c r="CK356" s="6">
        <f t="shared" si="12"/>
        <v>1</v>
      </c>
      <c r="CL356" s="6">
        <f t="shared" si="26"/>
        <v>1</v>
      </c>
      <c r="CM356" s="6">
        <f t="shared" si="13"/>
        <v>1</v>
      </c>
      <c r="CN356" s="6">
        <f t="shared" si="14"/>
        <v>1</v>
      </c>
      <c r="CO356" s="6">
        <f t="shared" si="15"/>
        <v>1</v>
      </c>
      <c r="CP356" s="6">
        <f t="shared" si="16"/>
        <v>1</v>
      </c>
      <c r="CQ356" s="6">
        <f t="shared" si="833"/>
        <v>1</v>
      </c>
      <c r="CR356" s="81" t="str">
        <f t="shared" si="17"/>
        <v/>
      </c>
      <c r="CS356">
        <f t="shared" si="834"/>
        <v>0</v>
      </c>
      <c r="CT356">
        <f t="shared" si="666"/>
        <v>20</v>
      </c>
      <c r="CU356" t="str">
        <f t="shared" si="29"/>
        <v>rm</v>
      </c>
      <c r="CV356" s="81">
        <f t="shared" si="835"/>
        <v>240</v>
      </c>
      <c r="CW356" s="81">
        <f>(CV356/25)^1.5*(Calculator!$BU$4/10000)*CW$5</f>
        <v>76.803483157572401</v>
      </c>
      <c r="CX356" t="str">
        <f t="shared" si="836"/>
        <v>$20/rm</v>
      </c>
    </row>
    <row r="357" spans="2:102" x14ac:dyDescent="0.25">
      <c r="B357" s="115" t="s">
        <v>233</v>
      </c>
      <c r="C357" s="13">
        <v>46251.443749999999</v>
      </c>
      <c r="D357">
        <v>36630</v>
      </c>
      <c r="E357" s="54" t="s">
        <v>235</v>
      </c>
      <c r="F357" s="54" t="s">
        <v>1338</v>
      </c>
      <c r="G357" s="54" t="s">
        <v>1730</v>
      </c>
      <c r="H357" s="55">
        <v>10.8</v>
      </c>
      <c r="I357" s="55">
        <v>10.299999999999999</v>
      </c>
      <c r="J357" s="55">
        <v>10.100000000000001</v>
      </c>
      <c r="K357" s="54"/>
      <c r="L357" s="56" t="b">
        <v>0</v>
      </c>
      <c r="M357" s="56" t="b">
        <v>0</v>
      </c>
      <c r="N357" s="54">
        <v>1</v>
      </c>
      <c r="O357" s="54" t="s">
        <v>228</v>
      </c>
      <c r="P357" s="54">
        <v>3</v>
      </c>
      <c r="Q357" s="54">
        <v>12</v>
      </c>
      <c r="R357" s="54" t="s">
        <v>1725</v>
      </c>
      <c r="S357" s="54" t="s">
        <v>1733</v>
      </c>
      <c r="T357" s="54"/>
      <c r="U357" s="54" t="s">
        <v>1714</v>
      </c>
      <c r="V357" s="54" t="s">
        <v>1735</v>
      </c>
      <c r="W357" s="54" t="b">
        <v>0</v>
      </c>
      <c r="X357" s="54"/>
      <c r="Y357" s="57" t="s">
        <v>1736</v>
      </c>
      <c r="Z357" s="54" t="s">
        <v>1733</v>
      </c>
      <c r="AA357" s="54"/>
      <c r="AB357" s="54" t="s">
        <v>1734</v>
      </c>
      <c r="AC357" s="56" t="b">
        <v>1</v>
      </c>
      <c r="AD357" s="56" t="b">
        <v>0</v>
      </c>
      <c r="AE357" s="54" t="s">
        <v>302</v>
      </c>
      <c r="AF357" s="58">
        <v>46251</v>
      </c>
      <c r="AG357" s="62" t="s">
        <v>293</v>
      </c>
      <c r="AH357" s="54">
        <v>0</v>
      </c>
      <c r="AI357" s="54"/>
      <c r="AJ357" s="54"/>
      <c r="AK357" s="54"/>
      <c r="AL357" s="54"/>
      <c r="AM357" s="54">
        <v>0</v>
      </c>
      <c r="AN357" s="54"/>
      <c r="AO357" s="54"/>
      <c r="AP357" s="54"/>
      <c r="AQ357" s="54"/>
      <c r="AR357" s="54"/>
      <c r="AS357" s="54"/>
      <c r="AT357" s="54"/>
      <c r="AU357" s="54"/>
      <c r="AV357" s="54"/>
      <c r="AW357" s="54"/>
      <c r="AX357" s="59"/>
      <c r="AY357" s="59"/>
      <c r="AZ357" s="59"/>
      <c r="BA357" s="59"/>
      <c r="BB357" s="59">
        <v>4.8640000000000003E-2</v>
      </c>
      <c r="BC357" s="60"/>
      <c r="BD357" s="61"/>
      <c r="BE357" s="62" t="s">
        <v>293</v>
      </c>
      <c r="BF357" s="35">
        <f t="shared" si="0"/>
        <v>4.9000000000000004</v>
      </c>
      <c r="BG357" s="35">
        <f t="shared" si="0"/>
        <v>4.9811000000000001E-2</v>
      </c>
      <c r="BH357" s="35" t="str">
        <f t="shared" si="826"/>
        <v>Low</v>
      </c>
      <c r="BI357" s="110">
        <f t="shared" si="827"/>
        <v>0</v>
      </c>
      <c r="BJ357" s="83" t="str">
        <f>VLOOKUP($F357,REP_Info!$D$6:$H$250,5,FALSE)</f>
        <v/>
      </c>
      <c r="BK357" s="30">
        <f t="shared" si="828"/>
        <v>10.825100000000001</v>
      </c>
      <c r="BL357" s="30">
        <f t="shared" si="828"/>
        <v>10.335100000000001</v>
      </c>
      <c r="BM357" s="30">
        <f t="shared" si="828"/>
        <v>10.0901</v>
      </c>
      <c r="BN357" s="29">
        <f t="shared" si="828"/>
        <v>10.008433333333334</v>
      </c>
      <c r="BO357" s="85" t="str">
        <f t="shared" si="2"/>
        <v>$$$</v>
      </c>
      <c r="BP357" s="88" t="str">
        <f t="shared" si="829"/>
        <v>$$$</v>
      </c>
      <c r="BQ357" s="88" t="str">
        <f t="shared" si="4"/>
        <v>$$$</v>
      </c>
      <c r="BR357" s="88" t="str">
        <f t="shared" si="5"/>
        <v>$$$</v>
      </c>
      <c r="BS357" s="29" t="e">
        <f t="shared" si="830"/>
        <v>#N/A</v>
      </c>
      <c r="BT357" s="29" t="e">
        <f t="shared" si="830"/>
        <v>#N/A</v>
      </c>
      <c r="BU357" s="29" t="e">
        <f t="shared" si="830"/>
        <v>#N/A</v>
      </c>
      <c r="BV357" s="29" t="e">
        <f t="shared" si="830"/>
        <v>#N/A</v>
      </c>
      <c r="BW357" s="29" t="e">
        <f t="shared" si="830"/>
        <v>#N/A</v>
      </c>
      <c r="BX357" s="29" t="e">
        <f t="shared" si="830"/>
        <v>#N/A</v>
      </c>
      <c r="BY357" s="29" t="e">
        <f t="shared" si="830"/>
        <v>#N/A</v>
      </c>
      <c r="BZ357" s="29" t="e">
        <f t="shared" si="830"/>
        <v>#N/A</v>
      </c>
      <c r="CA357" s="29" t="e">
        <f t="shared" si="830"/>
        <v>#N/A</v>
      </c>
      <c r="CB357" s="29" t="e">
        <f t="shared" si="830"/>
        <v>#N/A</v>
      </c>
      <c r="CC357" s="29" t="e">
        <f t="shared" si="830"/>
        <v>#N/A</v>
      </c>
      <c r="CD357" s="29" t="e">
        <f t="shared" si="830"/>
        <v>#N/A</v>
      </c>
      <c r="CE357" s="6" t="str">
        <f t="shared" si="753"/>
        <v/>
      </c>
      <c r="CF357" s="27" t="e">
        <f>IF(AND(CI357,NOT(AD357)),LOOKUP(CF$5,{0,750,1500},H357:J357),"")</f>
        <v>#N/A</v>
      </c>
      <c r="CG357" s="6" t="str">
        <f t="shared" si="754"/>
        <v/>
      </c>
      <c r="CH357" t="e">
        <f t="shared" si="831"/>
        <v>#N/A</v>
      </c>
      <c r="CI357" t="e">
        <f t="shared" si="832"/>
        <v>#N/A</v>
      </c>
      <c r="CJ357" s="6" t="e">
        <f t="shared" si="11"/>
        <v>#N/A</v>
      </c>
      <c r="CK357" s="6">
        <f t="shared" si="12"/>
        <v>1</v>
      </c>
      <c r="CL357" s="6">
        <f t="shared" si="26"/>
        <v>1</v>
      </c>
      <c r="CM357" s="6">
        <f t="shared" si="13"/>
        <v>1</v>
      </c>
      <c r="CN357" s="6">
        <f t="shared" si="14"/>
        <v>1</v>
      </c>
      <c r="CO357" s="6">
        <f t="shared" si="15"/>
        <v>1</v>
      </c>
      <c r="CP357" s="6">
        <f t="shared" si="16"/>
        <v>1</v>
      </c>
      <c r="CQ357" s="6">
        <f t="shared" si="833"/>
        <v>1</v>
      </c>
      <c r="CR357" s="81" t="str">
        <f t="shared" si="17"/>
        <v/>
      </c>
      <c r="CS357">
        <f t="shared" si="834"/>
        <v>0</v>
      </c>
      <c r="CT357">
        <f t="shared" si="666"/>
        <v>20</v>
      </c>
      <c r="CU357" t="str">
        <f t="shared" si="29"/>
        <v>rm</v>
      </c>
      <c r="CV357" s="81">
        <f t="shared" si="835"/>
        <v>240</v>
      </c>
      <c r="CW357" s="81">
        <f>(CV357/25)^1.5*(Calculator!$BU$4/10000)*CW$5</f>
        <v>76.803483157572401</v>
      </c>
      <c r="CX357" t="str">
        <f t="shared" si="836"/>
        <v>$20/rm</v>
      </c>
    </row>
    <row r="359" spans="2:102" x14ac:dyDescent="0.25">
      <c r="D359" t="s">
        <v>762</v>
      </c>
      <c r="BJ359" t="s">
        <v>762</v>
      </c>
    </row>
  </sheetData>
  <sheetProtection sort="0" autoFilter="0"/>
  <sortState xmlns:xlrd2="http://schemas.microsoft.com/office/spreadsheetml/2017/richdata2" ref="B8:CQ357">
    <sortCondition ref="F8:F357"/>
    <sortCondition ref="D8:D357"/>
  </sortState>
  <conditionalFormatting sqref="A1">
    <cfRule type="expression" dxfId="6" priority="43">
      <formula>AND(NOW()&gt;$C$3)</formula>
    </cfRule>
  </conditionalFormatting>
  <conditionalFormatting sqref="G8:G357">
    <cfRule type="expression" dxfId="5" priority="45">
      <formula>$B8&lt;&gt;"PTC"</formula>
    </cfRule>
  </conditionalFormatting>
  <conditionalFormatting sqref="H8:J357">
    <cfRule type="expression" dxfId="4" priority="47">
      <formula>NOT(H8=ROUND(BK8,1))</formula>
    </cfRule>
  </conditionalFormatting>
  <conditionalFormatting sqref="L8:L357 AC8:AD357">
    <cfRule type="cellIs" dxfId="3" priority="49" operator="equal">
      <formula>FALSE</formula>
    </cfRule>
    <cfRule type="cellIs" dxfId="2" priority="51" operator="equal">
      <formula>TRUE</formula>
    </cfRule>
  </conditionalFormatting>
  <conditionalFormatting sqref="BC8:BD357">
    <cfRule type="expression" dxfId="1" priority="42">
      <formula>ABS(BF8-BC8)&gt;0.00009</formula>
    </cfRule>
  </conditionalFormatting>
  <conditionalFormatting sqref="BE8:BE357">
    <cfRule type="cellIs" dxfId="0" priority="26" operator="equal">
      <formula>"?"</formula>
    </cfRule>
  </conditionalFormatting>
  <conditionalFormatting sqref="BK8:BN357 BS8:CD357">
    <cfRule type="colorScale" priority="27">
      <colorScale>
        <cfvo type="num" val="5"/>
        <cfvo type="percentile" val="50"/>
        <cfvo type="num" val="16"/>
        <color rgb="FF63BE7B"/>
        <color theme="0"/>
        <color rgb="FFF8696B"/>
      </colorScale>
    </cfRule>
  </conditionalFormatting>
  <conditionalFormatting sqref="BO8:BO357">
    <cfRule type="colorScale" priority="14315">
      <colorScale>
        <cfvo type="min"/>
        <cfvo type="percentile" val="50"/>
        <cfvo type="max"/>
        <color rgb="FF63BE7B"/>
        <color theme="0"/>
        <color rgb="FFF8696B"/>
      </colorScale>
    </cfRule>
  </conditionalFormatting>
  <conditionalFormatting sqref="BP8:BQ357">
    <cfRule type="colorScale" priority="14317">
      <colorScale>
        <cfvo type="min"/>
        <cfvo type="percentile" val="50"/>
        <cfvo type="max"/>
        <color rgb="FF63BE7B"/>
        <color theme="0"/>
        <color rgb="FFF8696B"/>
      </colorScale>
    </cfRule>
  </conditionalFormatting>
  <conditionalFormatting sqref="BR8:BR357">
    <cfRule type="colorScale" priority="14319">
      <colorScale>
        <cfvo type="min"/>
        <cfvo type="percentile" val="50"/>
        <cfvo type="max"/>
        <color rgb="FF63BE7B"/>
        <color theme="0"/>
        <color rgb="FFF8696B"/>
      </colorScale>
    </cfRule>
  </conditionalFormatting>
  <dataValidations count="3">
    <dataValidation type="list" allowBlank="1" showInputMessage="1" showErrorMessage="1" sqref="L8:M357 AC8:AD357 W8:W357" xr:uid="{00000000-0002-0000-0100-000000000000}">
      <formula1>$L$4:$L$5</formula1>
    </dataValidation>
    <dataValidation type="list" allowBlank="1" showInputMessage="1" showErrorMessage="1" sqref="O8:O357" xr:uid="{00000000-0002-0000-0100-000001000000}">
      <formula1>$O$3:$O$5</formula1>
    </dataValidation>
    <dataValidation type="list" allowBlank="1" showInputMessage="1" showErrorMessage="1" sqref="E8:E357"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23"/>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763</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764</v>
      </c>
      <c r="G2" s="5" t="s">
        <v>765</v>
      </c>
      <c r="H2" s="5" t="s">
        <v>766</v>
      </c>
      <c r="I2" s="5" t="s">
        <v>767</v>
      </c>
      <c r="J2" s="5" t="s">
        <v>768</v>
      </c>
      <c r="K2" s="5" t="s">
        <v>769</v>
      </c>
      <c r="L2" s="5" t="s">
        <v>770</v>
      </c>
      <c r="M2" s="5" t="s">
        <v>771</v>
      </c>
      <c r="N2" s="5" t="s">
        <v>772</v>
      </c>
      <c r="O2" s="5" t="s">
        <v>773</v>
      </c>
      <c r="P2" s="5" t="s">
        <v>774</v>
      </c>
      <c r="Q2" s="5" t="s">
        <v>775</v>
      </c>
      <c r="R2" s="5" t="s">
        <v>776</v>
      </c>
      <c r="S2" s="5" t="s">
        <v>777</v>
      </c>
      <c r="T2" s="5" t="s">
        <v>778</v>
      </c>
      <c r="U2" s="5" t="s">
        <v>779</v>
      </c>
      <c r="V2" s="5" t="s">
        <v>780</v>
      </c>
      <c r="W2" s="5" t="s">
        <v>781</v>
      </c>
      <c r="X2" s="5" t="s">
        <v>782</v>
      </c>
      <c r="Y2" s="5" t="s">
        <v>783</v>
      </c>
      <c r="Z2" s="5" t="s">
        <v>784</v>
      </c>
      <c r="AA2" s="5" t="s">
        <v>150</v>
      </c>
      <c r="AB2" s="5" t="s">
        <v>785</v>
      </c>
      <c r="AC2" s="5" t="s">
        <v>152</v>
      </c>
      <c r="AD2" s="5" t="s">
        <v>786</v>
      </c>
      <c r="AE2" s="5" t="s">
        <v>787</v>
      </c>
      <c r="AF2" s="5" t="s">
        <v>788</v>
      </c>
      <c r="AG2" s="5" t="s">
        <v>789</v>
      </c>
      <c r="AH2" s="5" t="s">
        <v>790</v>
      </c>
      <c r="AI2" s="5" t="s">
        <v>791</v>
      </c>
      <c r="AJ2" s="5" t="s">
        <v>160</v>
      </c>
      <c r="AK2" s="5" t="s">
        <v>792</v>
      </c>
      <c r="AL2" s="5" t="s">
        <v>793</v>
      </c>
      <c r="AM2" s="137" t="s">
        <v>794</v>
      </c>
      <c r="AN2" s="5" t="s">
        <v>795</v>
      </c>
      <c r="AO2" s="5" t="s">
        <v>796</v>
      </c>
      <c r="AP2" s="5" t="s">
        <v>797</v>
      </c>
    </row>
    <row r="3" spans="1:42" x14ac:dyDescent="0.25">
      <c r="B3" s="273">
        <f>COUNTA(B6:B221)</f>
        <v>216</v>
      </c>
      <c r="F3" s="5" t="s">
        <v>798</v>
      </c>
      <c r="G3" s="5" t="s">
        <v>799</v>
      </c>
      <c r="H3" s="5" t="s">
        <v>800</v>
      </c>
      <c r="I3" s="5" t="s">
        <v>801</v>
      </c>
      <c r="J3" s="5" t="s">
        <v>802</v>
      </c>
      <c r="K3" s="5" t="s">
        <v>802</v>
      </c>
      <c r="L3" s="5" t="s">
        <v>802</v>
      </c>
      <c r="M3" s="5" t="s">
        <v>803</v>
      </c>
      <c r="O3" s="5" t="s">
        <v>804</v>
      </c>
      <c r="P3" s="5" t="s">
        <v>805</v>
      </c>
      <c r="Q3" s="5" t="s">
        <v>806</v>
      </c>
      <c r="R3" s="5" t="s">
        <v>807</v>
      </c>
      <c r="S3" s="5" t="s">
        <v>808</v>
      </c>
      <c r="T3" s="5" t="s">
        <v>809</v>
      </c>
      <c r="U3" s="5" t="s">
        <v>810</v>
      </c>
      <c r="V3" s="5" t="s">
        <v>811</v>
      </c>
      <c r="W3" s="5" t="s">
        <v>812</v>
      </c>
      <c r="X3" s="5" t="s">
        <v>813</v>
      </c>
      <c r="Y3" s="5" t="s">
        <v>814</v>
      </c>
      <c r="Z3" s="5" t="s">
        <v>815</v>
      </c>
      <c r="AA3" s="5" t="s">
        <v>816</v>
      </c>
      <c r="AB3" s="5" t="s">
        <v>817</v>
      </c>
      <c r="AC3" s="5" t="s">
        <v>818</v>
      </c>
      <c r="AD3" s="5" t="s">
        <v>819</v>
      </c>
      <c r="AE3" s="5" t="s">
        <v>820</v>
      </c>
      <c r="AF3" s="5" t="s">
        <v>821</v>
      </c>
      <c r="AG3" s="5" t="s">
        <v>822</v>
      </c>
      <c r="AH3" s="5" t="s">
        <v>823</v>
      </c>
      <c r="AI3" s="5" t="s">
        <v>824</v>
      </c>
      <c r="AJ3" s="5" t="s">
        <v>825</v>
      </c>
      <c r="AK3" s="5" t="s">
        <v>826</v>
      </c>
      <c r="AL3" s="5" t="s">
        <v>827</v>
      </c>
      <c r="AM3" s="137" t="s">
        <v>828</v>
      </c>
    </row>
    <row r="4" spans="1:42" ht="15" customHeight="1" x14ac:dyDescent="0.25"/>
    <row r="5" spans="1:42" s="269" customFormat="1" ht="90" customHeight="1" x14ac:dyDescent="0.25">
      <c r="A5" s="5"/>
      <c r="B5" s="268" t="s">
        <v>829</v>
      </c>
      <c r="C5" s="264" t="s">
        <v>830</v>
      </c>
      <c r="D5" s="264" t="s">
        <v>831</v>
      </c>
      <c r="E5" s="264" t="s">
        <v>832</v>
      </c>
      <c r="F5" s="106" t="s">
        <v>131</v>
      </c>
      <c r="G5" s="106" t="s">
        <v>132</v>
      </c>
      <c r="H5" s="106" t="s">
        <v>133</v>
      </c>
      <c r="I5" s="106" t="s">
        <v>134</v>
      </c>
      <c r="J5" s="106" t="s">
        <v>137</v>
      </c>
      <c r="K5" s="106" t="s">
        <v>136</v>
      </c>
      <c r="L5" s="106" t="s">
        <v>135</v>
      </c>
      <c r="M5" s="106" t="s">
        <v>138</v>
      </c>
      <c r="N5" s="106" t="s">
        <v>833</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834</v>
      </c>
      <c r="AM5" s="106" t="s">
        <v>835</v>
      </c>
      <c r="AN5" s="106" t="s">
        <v>795</v>
      </c>
      <c r="AO5" s="106" t="s">
        <v>111</v>
      </c>
      <c r="AP5" s="106" t="s">
        <v>836</v>
      </c>
    </row>
    <row r="6" spans="1:42" x14ac:dyDescent="0.25">
      <c r="B6" s="5" t="s">
        <v>934</v>
      </c>
      <c r="C6" s="5" t="s">
        <v>1565</v>
      </c>
      <c r="D6" s="271">
        <v>45332</v>
      </c>
      <c r="E6" s="5" t="s">
        <v>1566</v>
      </c>
      <c r="F6" s="265" t="s">
        <v>840</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698</v>
      </c>
    </row>
    <row r="7" spans="1:42" x14ac:dyDescent="0.25">
      <c r="B7" s="5" t="s">
        <v>294</v>
      </c>
      <c r="C7" s="5" t="s">
        <v>298</v>
      </c>
      <c r="D7" s="271">
        <v>45568</v>
      </c>
      <c r="E7" s="5" t="s">
        <v>837</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698</v>
      </c>
    </row>
    <row r="8" spans="1:42" x14ac:dyDescent="0.25">
      <c r="B8" s="5" t="s">
        <v>304</v>
      </c>
      <c r="C8" s="5" t="s">
        <v>314</v>
      </c>
      <c r="D8" s="271">
        <v>46081</v>
      </c>
      <c r="E8" s="5" t="s">
        <v>838</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698</v>
      </c>
    </row>
    <row r="9" spans="1:42" x14ac:dyDescent="0.25">
      <c r="B9" s="5" t="s">
        <v>304</v>
      </c>
      <c r="C9" s="5" t="s">
        <v>317</v>
      </c>
      <c r="D9" s="271">
        <v>46081</v>
      </c>
      <c r="E9" s="5" t="s">
        <v>838</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698</v>
      </c>
    </row>
    <row r="10" spans="1:42" x14ac:dyDescent="0.25">
      <c r="B10" s="5" t="s">
        <v>304</v>
      </c>
      <c r="C10" s="5" t="s">
        <v>1987</v>
      </c>
      <c r="D10" s="271">
        <v>45912</v>
      </c>
      <c r="E10" s="5" t="s">
        <v>838</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698</v>
      </c>
    </row>
    <row r="11" spans="1:42" x14ac:dyDescent="0.25">
      <c r="B11" s="5" t="s">
        <v>304</v>
      </c>
      <c r="C11" s="5" t="s">
        <v>1988</v>
      </c>
      <c r="D11" s="271">
        <v>45912</v>
      </c>
      <c r="E11" s="5" t="s">
        <v>838</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698</v>
      </c>
    </row>
    <row r="12" spans="1:42" x14ac:dyDescent="0.25">
      <c r="B12" s="5" t="s">
        <v>304</v>
      </c>
      <c r="C12" s="5" t="s">
        <v>329</v>
      </c>
      <c r="D12" s="271">
        <v>45419</v>
      </c>
      <c r="E12" s="5" t="s">
        <v>839</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698</v>
      </c>
    </row>
    <row r="13" spans="1:42" x14ac:dyDescent="0.25">
      <c r="B13" s="5" t="s">
        <v>304</v>
      </c>
      <c r="C13" s="5" t="s">
        <v>321</v>
      </c>
      <c r="D13" s="271">
        <v>45419</v>
      </c>
      <c r="E13" s="5" t="s">
        <v>839</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698</v>
      </c>
    </row>
    <row r="14" spans="1:42" x14ac:dyDescent="0.25">
      <c r="B14" s="5" t="s">
        <v>304</v>
      </c>
      <c r="C14" s="5" t="s">
        <v>324</v>
      </c>
      <c r="D14" s="271">
        <v>45419</v>
      </c>
      <c r="E14" s="5" t="s">
        <v>839</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698</v>
      </c>
    </row>
    <row r="15" spans="1:42" x14ac:dyDescent="0.25">
      <c r="B15" s="5" t="s">
        <v>304</v>
      </c>
      <c r="C15" s="5" t="s">
        <v>327</v>
      </c>
      <c r="D15" s="271">
        <v>45419</v>
      </c>
      <c r="E15" s="5" t="s">
        <v>839</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698</v>
      </c>
    </row>
    <row r="16" spans="1:42" x14ac:dyDescent="0.25">
      <c r="B16" s="5" t="s">
        <v>304</v>
      </c>
      <c r="C16" s="5" t="s">
        <v>1989</v>
      </c>
      <c r="D16" s="271">
        <v>45350</v>
      </c>
      <c r="E16" s="5" t="s">
        <v>1990</v>
      </c>
      <c r="F16" s="265" t="s">
        <v>840</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304</v>
      </c>
      <c r="C17" s="5" t="s">
        <v>1991</v>
      </c>
      <c r="D17" s="271">
        <v>45350</v>
      </c>
      <c r="E17" s="5" t="s">
        <v>1990</v>
      </c>
      <c r="F17" s="265" t="s">
        <v>840</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331</v>
      </c>
      <c r="C18" s="5" t="s">
        <v>2233</v>
      </c>
      <c r="D18" s="271">
        <v>46254</v>
      </c>
      <c r="E18" s="5" t="s">
        <v>1739</v>
      </c>
      <c r="F18" s="265" t="s">
        <v>840</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842</v>
      </c>
      <c r="AH18" s="265"/>
      <c r="AI18" s="265"/>
      <c r="AJ18" s="265"/>
      <c r="AK18" s="265"/>
      <c r="AL18" s="265"/>
      <c r="AM18" s="265"/>
      <c r="AP18" s="137" t="s">
        <v>698</v>
      </c>
    </row>
    <row r="19" spans="2:42" x14ac:dyDescent="0.25">
      <c r="B19" s="5" t="s">
        <v>331</v>
      </c>
      <c r="C19" s="5" t="s">
        <v>1738</v>
      </c>
      <c r="D19" s="271">
        <v>46218</v>
      </c>
      <c r="E19" s="5" t="s">
        <v>1739</v>
      </c>
      <c r="F19" s="265" t="s">
        <v>840</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842</v>
      </c>
      <c r="AH19" s="265"/>
      <c r="AI19" s="265"/>
      <c r="AJ19" s="265"/>
      <c r="AK19" s="265"/>
      <c r="AL19" s="265"/>
      <c r="AM19" s="265"/>
      <c r="AP19" s="137" t="s">
        <v>698</v>
      </c>
    </row>
    <row r="20" spans="2:42" x14ac:dyDescent="0.25">
      <c r="B20" s="5" t="s">
        <v>331</v>
      </c>
      <c r="C20" s="5" t="s">
        <v>1740</v>
      </c>
      <c r="D20" s="271">
        <v>46218</v>
      </c>
      <c r="E20" s="5" t="s">
        <v>1739</v>
      </c>
      <c r="F20" s="265" t="s">
        <v>840</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842</v>
      </c>
      <c r="AH20" s="265"/>
      <c r="AI20" s="265"/>
      <c r="AJ20" s="265"/>
      <c r="AK20" s="265"/>
      <c r="AL20" s="265"/>
      <c r="AM20" s="265"/>
      <c r="AP20" s="137" t="s">
        <v>698</v>
      </c>
    </row>
    <row r="21" spans="2:42" x14ac:dyDescent="0.25">
      <c r="B21" s="5" t="s">
        <v>331</v>
      </c>
      <c r="C21" s="5" t="s">
        <v>335</v>
      </c>
      <c r="D21" s="271">
        <v>46037</v>
      </c>
      <c r="E21" s="5" t="s">
        <v>841</v>
      </c>
      <c r="F21" s="265" t="s">
        <v>840</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842</v>
      </c>
      <c r="AH21" s="265"/>
      <c r="AI21" s="265"/>
      <c r="AJ21" s="265"/>
      <c r="AK21" s="265"/>
      <c r="AL21" s="265"/>
      <c r="AM21" s="265"/>
      <c r="AP21" s="137" t="s">
        <v>698</v>
      </c>
    </row>
    <row r="22" spans="2:42" x14ac:dyDescent="0.25">
      <c r="B22" s="5" t="s">
        <v>331</v>
      </c>
      <c r="C22" s="5" t="s">
        <v>2234</v>
      </c>
      <c r="D22" s="271">
        <v>45510</v>
      </c>
      <c r="E22" s="5" t="s">
        <v>2235</v>
      </c>
      <c r="F22" s="265" t="s">
        <v>840</v>
      </c>
      <c r="G22" s="5">
        <v>30</v>
      </c>
      <c r="H22" s="265"/>
      <c r="I22" s="265"/>
      <c r="J22" s="265"/>
      <c r="K22" s="265"/>
      <c r="L22" s="265"/>
      <c r="M22" s="265"/>
      <c r="O22" s="265"/>
      <c r="P22" s="265"/>
      <c r="Q22" s="265"/>
      <c r="R22" s="265"/>
      <c r="S22" s="265">
        <v>5</v>
      </c>
      <c r="T22" s="265"/>
      <c r="U22" s="265"/>
      <c r="V22" s="265"/>
      <c r="W22" s="265"/>
      <c r="X22" s="265"/>
      <c r="Y22" s="265"/>
      <c r="AA22" s="265"/>
      <c r="AB22" s="265"/>
      <c r="AC22" s="5">
        <v>50</v>
      </c>
      <c r="AD22" s="265"/>
      <c r="AE22" s="265"/>
      <c r="AF22" s="265"/>
      <c r="AG22" s="265" t="s">
        <v>842</v>
      </c>
      <c r="AH22" s="265"/>
      <c r="AI22" s="265"/>
      <c r="AJ22" s="265"/>
      <c r="AK22" s="265"/>
      <c r="AL22" s="265"/>
      <c r="AM22" s="265"/>
      <c r="AP22" s="137" t="s">
        <v>698</v>
      </c>
    </row>
    <row r="23" spans="2:42" x14ac:dyDescent="0.25">
      <c r="B23" s="5" t="s">
        <v>331</v>
      </c>
      <c r="C23" s="5" t="s">
        <v>345</v>
      </c>
      <c r="D23" s="271">
        <v>45464</v>
      </c>
      <c r="E23" s="5" t="s">
        <v>843</v>
      </c>
      <c r="F23" s="265" t="s">
        <v>840</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842</v>
      </c>
      <c r="AH23" s="265"/>
      <c r="AI23" s="265"/>
      <c r="AJ23" s="265"/>
      <c r="AK23" s="265"/>
      <c r="AL23" s="265"/>
      <c r="AM23" s="265"/>
      <c r="AP23" s="137" t="s">
        <v>698</v>
      </c>
    </row>
    <row r="24" spans="2:42" x14ac:dyDescent="0.25">
      <c r="B24" s="5" t="s">
        <v>331</v>
      </c>
      <c r="C24" s="5" t="s">
        <v>360</v>
      </c>
      <c r="D24" s="271">
        <v>45464</v>
      </c>
      <c r="E24" s="5" t="s">
        <v>844</v>
      </c>
      <c r="F24" s="265" t="s">
        <v>840</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842</v>
      </c>
      <c r="AH24" s="265"/>
      <c r="AI24" s="265"/>
      <c r="AJ24" s="265"/>
      <c r="AK24" s="265"/>
      <c r="AL24" s="265"/>
      <c r="AM24" s="265"/>
      <c r="AP24" s="137" t="s">
        <v>698</v>
      </c>
    </row>
    <row r="25" spans="2:42" x14ac:dyDescent="0.25">
      <c r="B25" s="5" t="s">
        <v>331</v>
      </c>
      <c r="C25" s="5" t="s">
        <v>339</v>
      </c>
      <c r="D25" s="271">
        <v>45464</v>
      </c>
      <c r="E25" s="5" t="s">
        <v>845</v>
      </c>
      <c r="F25" s="265" t="s">
        <v>840</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842</v>
      </c>
      <c r="AH25" s="265"/>
      <c r="AI25" s="265"/>
      <c r="AJ25" s="265"/>
      <c r="AK25" s="265"/>
      <c r="AL25" s="265"/>
      <c r="AM25" s="265"/>
      <c r="AP25" s="137" t="s">
        <v>698</v>
      </c>
    </row>
    <row r="26" spans="2:42" x14ac:dyDescent="0.25">
      <c r="B26" s="5" t="s">
        <v>331</v>
      </c>
      <c r="C26" s="5" t="s">
        <v>350</v>
      </c>
      <c r="D26" s="271">
        <v>45464</v>
      </c>
      <c r="E26" s="5" t="s">
        <v>846</v>
      </c>
      <c r="F26" s="265" t="s">
        <v>840</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842</v>
      </c>
      <c r="AH26" s="265"/>
      <c r="AI26" s="265"/>
      <c r="AJ26" s="265"/>
      <c r="AK26" s="265"/>
      <c r="AL26" s="265"/>
      <c r="AM26" s="265"/>
      <c r="AP26" s="137" t="s">
        <v>698</v>
      </c>
    </row>
    <row r="27" spans="2:42" x14ac:dyDescent="0.25">
      <c r="B27" s="5" t="s">
        <v>331</v>
      </c>
      <c r="C27" s="5" t="s">
        <v>356</v>
      </c>
      <c r="D27" s="271">
        <v>45464</v>
      </c>
      <c r="E27" s="5" t="s">
        <v>847</v>
      </c>
      <c r="F27" s="265" t="s">
        <v>840</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842</v>
      </c>
      <c r="AH27" s="265"/>
      <c r="AI27" s="265"/>
      <c r="AJ27" s="265"/>
      <c r="AK27" s="265"/>
      <c r="AL27" s="265"/>
      <c r="AM27" s="265"/>
      <c r="AP27" s="137" t="s">
        <v>698</v>
      </c>
    </row>
    <row r="28" spans="2:42" x14ac:dyDescent="0.25">
      <c r="B28" s="5" t="s">
        <v>364</v>
      </c>
      <c r="C28" s="5" t="s">
        <v>367</v>
      </c>
      <c r="D28" s="271">
        <v>46096</v>
      </c>
      <c r="E28" s="5" t="s">
        <v>848</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698</v>
      </c>
    </row>
    <row r="29" spans="2:42" x14ac:dyDescent="0.25">
      <c r="B29" s="5" t="s">
        <v>373</v>
      </c>
      <c r="C29" s="5" t="s">
        <v>378</v>
      </c>
      <c r="D29" s="271">
        <v>46119</v>
      </c>
      <c r="E29" s="5" t="s">
        <v>849</v>
      </c>
      <c r="F29" s="265" t="s">
        <v>840</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698</v>
      </c>
    </row>
    <row r="30" spans="2:42" x14ac:dyDescent="0.25">
      <c r="B30" s="5" t="s">
        <v>384</v>
      </c>
      <c r="C30" s="5" t="s">
        <v>2024</v>
      </c>
      <c r="D30" s="271">
        <v>45871</v>
      </c>
      <c r="E30" s="5" t="s">
        <v>1881</v>
      </c>
      <c r="F30" s="265" t="s">
        <v>840</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698</v>
      </c>
    </row>
    <row r="31" spans="2:42" x14ac:dyDescent="0.25">
      <c r="B31" s="5" t="s">
        <v>384</v>
      </c>
      <c r="C31" s="5" t="s">
        <v>2025</v>
      </c>
      <c r="D31" s="271">
        <v>45871</v>
      </c>
      <c r="E31" s="5" t="s">
        <v>1881</v>
      </c>
      <c r="F31" s="265" t="s">
        <v>840</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698</v>
      </c>
    </row>
    <row r="32" spans="2:42" x14ac:dyDescent="0.25">
      <c r="B32" s="5" t="s">
        <v>384</v>
      </c>
      <c r="C32" s="5" t="s">
        <v>2026</v>
      </c>
      <c r="D32" s="271">
        <v>45805</v>
      </c>
      <c r="E32" s="5" t="s">
        <v>1881</v>
      </c>
      <c r="F32" s="265" t="s">
        <v>840</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698</v>
      </c>
    </row>
    <row r="33" spans="2:42" x14ac:dyDescent="0.25">
      <c r="B33" s="5" t="s">
        <v>384</v>
      </c>
      <c r="C33" s="5" t="s">
        <v>2027</v>
      </c>
      <c r="D33" s="271">
        <v>45720</v>
      </c>
      <c r="E33" s="5" t="s">
        <v>850</v>
      </c>
      <c r="F33" s="265" t="s">
        <v>840</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698</v>
      </c>
    </row>
    <row r="34" spans="2:42" x14ac:dyDescent="0.25">
      <c r="B34" s="5" t="s">
        <v>384</v>
      </c>
      <c r="C34" s="5" t="s">
        <v>2028</v>
      </c>
      <c r="D34" s="271">
        <v>45667</v>
      </c>
      <c r="E34" s="5" t="s">
        <v>850</v>
      </c>
      <c r="F34" s="265" t="s">
        <v>840</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698</v>
      </c>
    </row>
    <row r="35" spans="2:42" x14ac:dyDescent="0.25">
      <c r="B35" s="5" t="s">
        <v>384</v>
      </c>
      <c r="C35" s="5" t="s">
        <v>2029</v>
      </c>
      <c r="D35" s="271">
        <v>45594</v>
      </c>
      <c r="E35" s="5" t="s">
        <v>850</v>
      </c>
      <c r="F35" s="265" t="s">
        <v>840</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698</v>
      </c>
    </row>
    <row r="36" spans="2:42" x14ac:dyDescent="0.25">
      <c r="B36" s="5" t="s">
        <v>384</v>
      </c>
      <c r="C36" s="5" t="s">
        <v>2030</v>
      </c>
      <c r="D36" s="271">
        <v>45594</v>
      </c>
      <c r="E36" s="5" t="s">
        <v>850</v>
      </c>
      <c r="F36" s="265" t="s">
        <v>840</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698</v>
      </c>
    </row>
    <row r="37" spans="2:42" x14ac:dyDescent="0.25">
      <c r="B37" s="5" t="s">
        <v>384</v>
      </c>
      <c r="C37" s="5" t="s">
        <v>2031</v>
      </c>
      <c r="D37" s="271">
        <v>45545</v>
      </c>
      <c r="E37" s="5" t="s">
        <v>850</v>
      </c>
      <c r="F37" s="265" t="s">
        <v>840</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698</v>
      </c>
    </row>
    <row r="38" spans="2:42" x14ac:dyDescent="0.25">
      <c r="B38" s="5" t="s">
        <v>384</v>
      </c>
      <c r="C38" s="5" t="s">
        <v>2032</v>
      </c>
      <c r="D38" s="271">
        <v>45329</v>
      </c>
      <c r="E38" s="5" t="s">
        <v>851</v>
      </c>
      <c r="F38" s="265" t="s">
        <v>840</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698</v>
      </c>
    </row>
    <row r="39" spans="2:42" x14ac:dyDescent="0.25">
      <c r="B39" s="5" t="s">
        <v>392</v>
      </c>
      <c r="C39" s="5" t="s">
        <v>1949</v>
      </c>
      <c r="D39" s="271">
        <v>45810</v>
      </c>
      <c r="E39" s="5" t="s">
        <v>1950</v>
      </c>
      <c r="F39" s="265" t="s">
        <v>840</v>
      </c>
      <c r="H39" s="265"/>
      <c r="I39" s="265"/>
      <c r="J39" s="265"/>
      <c r="K39" s="265"/>
      <c r="L39" s="265"/>
      <c r="M39" s="265"/>
      <c r="O39" s="265"/>
      <c r="P39" s="265"/>
      <c r="Q39" s="265"/>
      <c r="R39" s="265"/>
      <c r="S39" s="265"/>
      <c r="T39" s="265"/>
      <c r="U39" s="265"/>
      <c r="V39" s="265"/>
      <c r="W39" s="265"/>
      <c r="X39" s="265"/>
      <c r="Y39" s="265"/>
      <c r="AA39" s="265"/>
      <c r="AB39" s="265"/>
      <c r="AD39" s="265"/>
      <c r="AE39" s="265"/>
      <c r="AF39" s="265">
        <v>10</v>
      </c>
      <c r="AG39" s="265"/>
      <c r="AH39" s="265"/>
      <c r="AI39" s="265"/>
      <c r="AJ39" s="265"/>
      <c r="AK39" s="265"/>
      <c r="AL39" s="265"/>
      <c r="AM39" s="265"/>
      <c r="AP39" s="137" t="s">
        <v>698</v>
      </c>
    </row>
    <row r="40" spans="2:42" x14ac:dyDescent="0.25">
      <c r="B40" s="5" t="s">
        <v>392</v>
      </c>
      <c r="C40" s="5" t="s">
        <v>1951</v>
      </c>
      <c r="D40" s="271">
        <v>45587</v>
      </c>
      <c r="E40" s="5" t="s">
        <v>1950</v>
      </c>
      <c r="F40" s="265" t="s">
        <v>840</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698</v>
      </c>
    </row>
    <row r="41" spans="2:42" x14ac:dyDescent="0.25">
      <c r="B41" s="5" t="s">
        <v>393</v>
      </c>
      <c r="C41" s="5" t="s">
        <v>2308</v>
      </c>
      <c r="D41" s="271">
        <v>46256</v>
      </c>
      <c r="E41" s="5" t="s">
        <v>852</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698</v>
      </c>
    </row>
    <row r="42" spans="2:42" x14ac:dyDescent="0.25">
      <c r="B42" s="5" t="s">
        <v>393</v>
      </c>
      <c r="C42" s="5" t="s">
        <v>2309</v>
      </c>
      <c r="D42" s="271">
        <v>46256</v>
      </c>
      <c r="E42" s="5" t="s">
        <v>852</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698</v>
      </c>
    </row>
    <row r="43" spans="2:42" x14ac:dyDescent="0.25">
      <c r="B43" s="5" t="s">
        <v>393</v>
      </c>
      <c r="C43" s="5" t="s">
        <v>2310</v>
      </c>
      <c r="D43" s="271">
        <v>46256</v>
      </c>
      <c r="E43" s="5" t="s">
        <v>852</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698</v>
      </c>
    </row>
    <row r="44" spans="2:42" x14ac:dyDescent="0.25">
      <c r="B44" s="5" t="s">
        <v>393</v>
      </c>
      <c r="C44" s="5" t="s">
        <v>2311</v>
      </c>
      <c r="D44" s="271">
        <v>46256</v>
      </c>
      <c r="E44" s="5" t="s">
        <v>852</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698</v>
      </c>
    </row>
    <row r="45" spans="2:42" x14ac:dyDescent="0.25">
      <c r="B45" s="5" t="s">
        <v>393</v>
      </c>
      <c r="C45" s="5" t="s">
        <v>2312</v>
      </c>
      <c r="D45" s="271">
        <v>46256</v>
      </c>
      <c r="E45" s="5" t="s">
        <v>852</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698</v>
      </c>
    </row>
    <row r="46" spans="2:42" x14ac:dyDescent="0.25">
      <c r="B46" s="5" t="s">
        <v>393</v>
      </c>
      <c r="C46" s="5" t="s">
        <v>2313</v>
      </c>
      <c r="D46" s="271">
        <v>46256</v>
      </c>
      <c r="E46" s="5" t="s">
        <v>852</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698</v>
      </c>
    </row>
    <row r="47" spans="2:42" x14ac:dyDescent="0.25">
      <c r="B47" s="5" t="s">
        <v>393</v>
      </c>
      <c r="C47" s="5" t="s">
        <v>2314</v>
      </c>
      <c r="D47" s="271">
        <v>46256</v>
      </c>
      <c r="E47" s="5" t="s">
        <v>852</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698</v>
      </c>
    </row>
    <row r="48" spans="2:42" x14ac:dyDescent="0.25">
      <c r="B48" s="5" t="s">
        <v>393</v>
      </c>
      <c r="C48" s="5" t="s">
        <v>2236</v>
      </c>
      <c r="D48" s="271">
        <v>46254</v>
      </c>
      <c r="E48" s="5" t="s">
        <v>852</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698</v>
      </c>
    </row>
    <row r="49" spans="2:42" x14ac:dyDescent="0.25">
      <c r="B49" s="5" t="s">
        <v>393</v>
      </c>
      <c r="C49" s="5" t="s">
        <v>2237</v>
      </c>
      <c r="D49" s="271">
        <v>46254</v>
      </c>
      <c r="E49" s="5" t="s">
        <v>852</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698</v>
      </c>
    </row>
    <row r="50" spans="2:42" x14ac:dyDescent="0.25">
      <c r="B50" s="5" t="s">
        <v>393</v>
      </c>
      <c r="C50" s="5" t="s">
        <v>2210</v>
      </c>
      <c r="D50" s="271">
        <v>46253</v>
      </c>
      <c r="E50" s="5" t="s">
        <v>852</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698</v>
      </c>
    </row>
    <row r="51" spans="2:42" x14ac:dyDescent="0.25">
      <c r="B51" s="5" t="s">
        <v>405</v>
      </c>
      <c r="C51" s="5" t="s">
        <v>409</v>
      </c>
      <c r="D51" s="271">
        <v>45926</v>
      </c>
      <c r="E51" s="5" t="s">
        <v>853</v>
      </c>
      <c r="F51" s="265" t="s">
        <v>840</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698</v>
      </c>
    </row>
    <row r="52" spans="2:42" x14ac:dyDescent="0.25">
      <c r="B52" s="5" t="s">
        <v>422</v>
      </c>
      <c r="C52" s="5" t="s">
        <v>2315</v>
      </c>
      <c r="D52" s="271">
        <v>46256</v>
      </c>
      <c r="E52" s="5" t="s">
        <v>854</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855</v>
      </c>
      <c r="AH52" s="265"/>
      <c r="AI52" s="265"/>
      <c r="AJ52" s="265"/>
      <c r="AK52" s="265"/>
      <c r="AL52" s="265"/>
      <c r="AM52" s="265"/>
      <c r="AP52" s="137" t="s">
        <v>698</v>
      </c>
    </row>
    <row r="53" spans="2:42" x14ac:dyDescent="0.25">
      <c r="B53" s="5" t="s">
        <v>422</v>
      </c>
      <c r="C53" s="5" t="s">
        <v>2238</v>
      </c>
      <c r="D53" s="271">
        <v>46254</v>
      </c>
      <c r="E53" s="5" t="s">
        <v>854</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855</v>
      </c>
      <c r="AH53" s="265"/>
      <c r="AI53" s="265"/>
      <c r="AJ53" s="265"/>
      <c r="AK53" s="265"/>
      <c r="AL53" s="265"/>
      <c r="AM53" s="265"/>
      <c r="AP53" s="137" t="s">
        <v>698</v>
      </c>
    </row>
    <row r="54" spans="2:42" x14ac:dyDescent="0.25">
      <c r="B54" s="5" t="s">
        <v>422</v>
      </c>
      <c r="C54" s="5" t="s">
        <v>2239</v>
      </c>
      <c r="D54" s="271">
        <v>46254</v>
      </c>
      <c r="E54" s="5" t="s">
        <v>854</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855</v>
      </c>
      <c r="AH54" s="265"/>
      <c r="AI54" s="265"/>
      <c r="AJ54" s="265"/>
      <c r="AK54" s="265"/>
      <c r="AL54" s="265"/>
      <c r="AM54" s="265"/>
      <c r="AP54" s="137" t="s">
        <v>698</v>
      </c>
    </row>
    <row r="55" spans="2:42" x14ac:dyDescent="0.25">
      <c r="B55" s="5" t="s">
        <v>422</v>
      </c>
      <c r="C55" s="5" t="s">
        <v>2240</v>
      </c>
      <c r="D55" s="271">
        <v>46254</v>
      </c>
      <c r="E55" s="5" t="s">
        <v>854</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855</v>
      </c>
      <c r="AH55" s="265"/>
      <c r="AI55" s="265"/>
      <c r="AJ55" s="265"/>
      <c r="AK55" s="265"/>
      <c r="AL55" s="265"/>
      <c r="AM55" s="265"/>
      <c r="AP55" s="137" t="s">
        <v>698</v>
      </c>
    </row>
    <row r="56" spans="2:42" x14ac:dyDescent="0.25">
      <c r="B56" s="5" t="s">
        <v>422</v>
      </c>
      <c r="C56" s="5" t="s">
        <v>2241</v>
      </c>
      <c r="D56" s="271">
        <v>46254</v>
      </c>
      <c r="E56" s="5" t="s">
        <v>854</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855</v>
      </c>
      <c r="AH56" s="265"/>
      <c r="AI56" s="265"/>
      <c r="AJ56" s="265"/>
      <c r="AK56" s="265"/>
      <c r="AL56" s="265"/>
      <c r="AM56" s="265"/>
      <c r="AP56" s="137" t="s">
        <v>698</v>
      </c>
    </row>
    <row r="57" spans="2:42" x14ac:dyDescent="0.25">
      <c r="B57" s="5" t="s">
        <v>422</v>
      </c>
      <c r="C57" s="5" t="s">
        <v>2242</v>
      </c>
      <c r="D57" s="271">
        <v>46254</v>
      </c>
      <c r="E57" s="5" t="s">
        <v>854</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855</v>
      </c>
      <c r="AH57" s="265"/>
      <c r="AI57" s="265"/>
      <c r="AJ57" s="265"/>
      <c r="AK57" s="265"/>
      <c r="AL57" s="265"/>
      <c r="AM57" s="265"/>
      <c r="AP57" s="137" t="s">
        <v>698</v>
      </c>
    </row>
    <row r="58" spans="2:42" x14ac:dyDescent="0.25">
      <c r="B58" s="5" t="s">
        <v>422</v>
      </c>
      <c r="C58" s="5" t="s">
        <v>2243</v>
      </c>
      <c r="D58" s="271">
        <v>46254</v>
      </c>
      <c r="E58" s="5" t="s">
        <v>854</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855</v>
      </c>
      <c r="AH58" s="265"/>
      <c r="AI58" s="265"/>
      <c r="AJ58" s="265"/>
      <c r="AK58" s="265"/>
      <c r="AL58" s="265"/>
      <c r="AM58" s="265"/>
      <c r="AP58" s="137" t="s">
        <v>698</v>
      </c>
    </row>
    <row r="59" spans="2:42" x14ac:dyDescent="0.25">
      <c r="B59" s="5" t="s">
        <v>422</v>
      </c>
      <c r="C59" s="5" t="s">
        <v>2128</v>
      </c>
      <c r="D59" s="271">
        <v>46252</v>
      </c>
      <c r="E59" s="5" t="s">
        <v>854</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855</v>
      </c>
      <c r="AH59" s="265"/>
      <c r="AI59" s="265"/>
      <c r="AJ59" s="265"/>
      <c r="AK59" s="265"/>
      <c r="AL59" s="265"/>
      <c r="AM59" s="265"/>
      <c r="AP59" s="137" t="s">
        <v>698</v>
      </c>
    </row>
    <row r="60" spans="2:42" x14ac:dyDescent="0.25">
      <c r="B60" s="5" t="s">
        <v>422</v>
      </c>
      <c r="C60" s="5" t="s">
        <v>1882</v>
      </c>
      <c r="D60" s="271">
        <v>46242</v>
      </c>
      <c r="E60" s="5" t="s">
        <v>854</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855</v>
      </c>
      <c r="AH60" s="265"/>
      <c r="AI60" s="265"/>
      <c r="AJ60" s="265"/>
      <c r="AK60" s="265"/>
      <c r="AL60" s="265"/>
      <c r="AM60" s="265"/>
      <c r="AP60" s="137" t="s">
        <v>698</v>
      </c>
    </row>
    <row r="61" spans="2:42" x14ac:dyDescent="0.25">
      <c r="B61" s="5" t="s">
        <v>422</v>
      </c>
      <c r="C61" s="5" t="s">
        <v>1883</v>
      </c>
      <c r="D61" s="271">
        <v>46242</v>
      </c>
      <c r="E61" s="5" t="s">
        <v>854</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855</v>
      </c>
      <c r="AH61" s="265"/>
      <c r="AI61" s="265"/>
      <c r="AJ61" s="265"/>
      <c r="AK61" s="265"/>
      <c r="AL61" s="265"/>
      <c r="AM61" s="265"/>
      <c r="AP61" s="137" t="s">
        <v>698</v>
      </c>
    </row>
    <row r="62" spans="2:42" x14ac:dyDescent="0.25">
      <c r="B62" s="5" t="s">
        <v>444</v>
      </c>
      <c r="C62" s="5" t="s">
        <v>446</v>
      </c>
      <c r="D62" s="271">
        <v>46084</v>
      </c>
      <c r="E62" s="5" t="s">
        <v>856</v>
      </c>
      <c r="F62" s="265" t="s">
        <v>840</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698</v>
      </c>
    </row>
    <row r="63" spans="2:42" x14ac:dyDescent="0.25">
      <c r="B63" s="5" t="s">
        <v>444</v>
      </c>
      <c r="C63" s="5" t="s">
        <v>446</v>
      </c>
      <c r="D63" s="271">
        <v>46084</v>
      </c>
      <c r="E63" s="5" t="s">
        <v>856</v>
      </c>
      <c r="F63" s="265" t="s">
        <v>840</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698</v>
      </c>
    </row>
    <row r="64" spans="2:42" x14ac:dyDescent="0.25">
      <c r="B64" s="5" t="s">
        <v>444</v>
      </c>
      <c r="C64" s="5" t="s">
        <v>446</v>
      </c>
      <c r="D64" s="271">
        <v>46084</v>
      </c>
      <c r="E64" s="5" t="s">
        <v>856</v>
      </c>
      <c r="F64" s="265" t="s">
        <v>840</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698</v>
      </c>
    </row>
    <row r="65" spans="2:42" x14ac:dyDescent="0.25">
      <c r="B65" s="5" t="s">
        <v>444</v>
      </c>
      <c r="C65" s="5" t="s">
        <v>446</v>
      </c>
      <c r="D65" s="271">
        <v>46084</v>
      </c>
      <c r="E65" s="5" t="s">
        <v>856</v>
      </c>
      <c r="F65" s="265" t="s">
        <v>840</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698</v>
      </c>
    </row>
    <row r="66" spans="2:42" x14ac:dyDescent="0.25">
      <c r="B66" s="5" t="s">
        <v>444</v>
      </c>
      <c r="C66" s="5" t="s">
        <v>446</v>
      </c>
      <c r="D66" s="271">
        <v>46084</v>
      </c>
      <c r="E66" s="5" t="s">
        <v>856</v>
      </c>
      <c r="F66" s="265" t="s">
        <v>840</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698</v>
      </c>
    </row>
    <row r="67" spans="2:42" x14ac:dyDescent="0.25">
      <c r="B67" s="5" t="s">
        <v>444</v>
      </c>
      <c r="C67" s="5" t="s">
        <v>446</v>
      </c>
      <c r="D67" s="271">
        <v>46084</v>
      </c>
      <c r="E67" s="5" t="s">
        <v>856</v>
      </c>
      <c r="F67" s="265" t="s">
        <v>840</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698</v>
      </c>
    </row>
    <row r="68" spans="2:42" x14ac:dyDescent="0.25">
      <c r="B68" s="5" t="s">
        <v>444</v>
      </c>
      <c r="C68" s="5" t="s">
        <v>1822</v>
      </c>
      <c r="D68" s="271">
        <v>45391</v>
      </c>
      <c r="E68" s="5" t="s">
        <v>1823</v>
      </c>
      <c r="F68" s="265" t="s">
        <v>840</v>
      </c>
      <c r="G68" s="5">
        <v>30</v>
      </c>
      <c r="H68" s="265"/>
      <c r="I68" s="265"/>
      <c r="J68" s="265"/>
      <c r="K68" s="265"/>
      <c r="L68" s="265"/>
      <c r="M68" s="265"/>
      <c r="O68" s="265"/>
      <c r="P68" s="265"/>
      <c r="Q68" s="265"/>
      <c r="R68" s="265"/>
      <c r="S68" s="265"/>
      <c r="T68" s="265"/>
      <c r="U68" s="265"/>
      <c r="V68" s="265"/>
      <c r="W68" s="265"/>
      <c r="X68" s="265"/>
      <c r="Y68" s="265"/>
      <c r="Z68" s="5">
        <v>20</v>
      </c>
      <c r="AA68" s="265"/>
      <c r="AB68" s="265">
        <v>30</v>
      </c>
      <c r="AD68" s="265"/>
      <c r="AE68" s="265"/>
      <c r="AF68" s="265"/>
      <c r="AG68" s="265"/>
      <c r="AH68" s="265"/>
      <c r="AI68" s="265"/>
      <c r="AJ68" s="265"/>
      <c r="AK68" s="265"/>
      <c r="AL68" s="265"/>
      <c r="AM68" s="265"/>
      <c r="AP68" s="137" t="s">
        <v>698</v>
      </c>
    </row>
    <row r="69" spans="2:42" x14ac:dyDescent="0.25">
      <c r="B69" s="5" t="s">
        <v>449</v>
      </c>
      <c r="C69" s="5" t="s">
        <v>1884</v>
      </c>
      <c r="D69" s="271">
        <v>46242</v>
      </c>
      <c r="E69" s="5" t="s">
        <v>1778</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698</v>
      </c>
    </row>
    <row r="70" spans="2:42" x14ac:dyDescent="0.25">
      <c r="B70" s="5" t="s">
        <v>456</v>
      </c>
      <c r="C70" s="5" t="s">
        <v>460</v>
      </c>
      <c r="D70" s="271">
        <v>45964</v>
      </c>
      <c r="E70" s="5" t="s">
        <v>857</v>
      </c>
      <c r="F70" s="265">
        <v>0.05</v>
      </c>
      <c r="G70" s="5">
        <v>30</v>
      </c>
      <c r="H70" s="265"/>
      <c r="I70" s="265"/>
      <c r="J70" s="265"/>
      <c r="K70" s="265"/>
      <c r="L70" s="265"/>
      <c r="M70" s="265"/>
      <c r="O70" s="265"/>
      <c r="P70" s="265">
        <v>5</v>
      </c>
      <c r="Q70" s="265">
        <v>5</v>
      </c>
      <c r="R70" s="265">
        <v>20</v>
      </c>
      <c r="S70" s="265">
        <v>20</v>
      </c>
      <c r="T70" s="265"/>
      <c r="U70" s="265"/>
      <c r="V70" s="265"/>
      <c r="W70" s="265"/>
      <c r="X70" s="265"/>
      <c r="Y70" s="265"/>
      <c r="Z70" s="5">
        <v>25</v>
      </c>
      <c r="AA70" s="265">
        <v>30</v>
      </c>
      <c r="AB70" s="265"/>
      <c r="AC70" s="5">
        <v>30</v>
      </c>
      <c r="AD70" s="265"/>
      <c r="AE70" s="265">
        <v>5</v>
      </c>
      <c r="AF70" s="265"/>
      <c r="AG70" s="265"/>
      <c r="AH70" s="265"/>
      <c r="AI70" s="265"/>
      <c r="AJ70" s="265"/>
      <c r="AK70" s="265"/>
      <c r="AL70" s="265"/>
      <c r="AM70" s="265"/>
      <c r="AP70" s="137" t="s">
        <v>698</v>
      </c>
    </row>
    <row r="71" spans="2:42" x14ac:dyDescent="0.25">
      <c r="B71" s="5" t="s">
        <v>466</v>
      </c>
      <c r="C71" s="5" t="s">
        <v>2211</v>
      </c>
      <c r="D71" s="271">
        <v>46253</v>
      </c>
      <c r="E71" s="5" t="s">
        <v>2212</v>
      </c>
      <c r="F71" s="265" t="s">
        <v>840</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842</v>
      </c>
      <c r="AH71" s="265"/>
      <c r="AI71" s="265"/>
      <c r="AJ71" s="265"/>
      <c r="AK71" s="265"/>
      <c r="AL71" s="265"/>
      <c r="AM71" s="265"/>
      <c r="AP71" s="137" t="s">
        <v>698</v>
      </c>
    </row>
    <row r="72" spans="2:42" x14ac:dyDescent="0.25">
      <c r="B72" s="5" t="s">
        <v>466</v>
      </c>
      <c r="C72" s="5" t="s">
        <v>2213</v>
      </c>
      <c r="D72" s="271">
        <v>46253</v>
      </c>
      <c r="E72" s="5" t="s">
        <v>2214</v>
      </c>
      <c r="F72" s="265" t="s">
        <v>840</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842</v>
      </c>
      <c r="AH72" s="265"/>
      <c r="AI72" s="265"/>
      <c r="AJ72" s="265"/>
      <c r="AK72" s="265"/>
      <c r="AL72" s="265"/>
      <c r="AM72" s="265"/>
      <c r="AP72" s="137" t="s">
        <v>698</v>
      </c>
    </row>
    <row r="73" spans="2:42" x14ac:dyDescent="0.25">
      <c r="B73" s="5" t="s">
        <v>466</v>
      </c>
      <c r="C73" s="5" t="s">
        <v>1781</v>
      </c>
      <c r="D73" s="271">
        <v>46197</v>
      </c>
      <c r="E73" s="5" t="s">
        <v>1782</v>
      </c>
      <c r="F73" s="265" t="s">
        <v>840</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842</v>
      </c>
      <c r="AH73" s="265"/>
      <c r="AI73" s="265"/>
      <c r="AJ73" s="265"/>
      <c r="AK73" s="265"/>
      <c r="AL73" s="265"/>
      <c r="AM73" s="265"/>
      <c r="AP73" s="137" t="s">
        <v>698</v>
      </c>
    </row>
    <row r="74" spans="2:42" x14ac:dyDescent="0.25">
      <c r="B74" s="5" t="s">
        <v>466</v>
      </c>
      <c r="C74" s="5" t="s">
        <v>1783</v>
      </c>
      <c r="D74" s="271">
        <v>46189</v>
      </c>
      <c r="E74" s="5" t="s">
        <v>1784</v>
      </c>
      <c r="F74" s="265" t="s">
        <v>840</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842</v>
      </c>
      <c r="AH74" s="265"/>
      <c r="AI74" s="265"/>
      <c r="AJ74" s="265"/>
      <c r="AK74" s="265"/>
      <c r="AL74" s="265"/>
      <c r="AM74" s="265"/>
      <c r="AP74" s="137" t="s">
        <v>698</v>
      </c>
    </row>
    <row r="75" spans="2:42" x14ac:dyDescent="0.25">
      <c r="B75" s="5" t="s">
        <v>466</v>
      </c>
      <c r="C75" s="5" t="s">
        <v>1785</v>
      </c>
      <c r="D75" s="271">
        <v>46189</v>
      </c>
      <c r="E75" s="5" t="s">
        <v>1786</v>
      </c>
      <c r="F75" s="265" t="s">
        <v>840</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842</v>
      </c>
      <c r="AH75" s="265"/>
      <c r="AI75" s="265"/>
      <c r="AJ75" s="265"/>
      <c r="AK75" s="265"/>
      <c r="AL75" s="265"/>
      <c r="AM75" s="265"/>
      <c r="AP75" s="137" t="s">
        <v>698</v>
      </c>
    </row>
    <row r="76" spans="2:42" x14ac:dyDescent="0.25">
      <c r="B76" s="5" t="s">
        <v>466</v>
      </c>
      <c r="C76" s="5" t="s">
        <v>1787</v>
      </c>
      <c r="D76" s="271">
        <v>46189</v>
      </c>
      <c r="E76" s="5" t="s">
        <v>1788</v>
      </c>
      <c r="F76" s="265" t="s">
        <v>840</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842</v>
      </c>
      <c r="AH76" s="265"/>
      <c r="AI76" s="265"/>
      <c r="AJ76" s="265"/>
      <c r="AK76" s="265"/>
      <c r="AL76" s="265"/>
      <c r="AM76" s="265"/>
      <c r="AP76" s="137" t="s">
        <v>698</v>
      </c>
    </row>
    <row r="77" spans="2:42" x14ac:dyDescent="0.25">
      <c r="B77" s="5" t="s">
        <v>466</v>
      </c>
      <c r="C77" s="5" t="s">
        <v>1789</v>
      </c>
      <c r="D77" s="271">
        <v>46189</v>
      </c>
      <c r="E77" s="5" t="s">
        <v>1790</v>
      </c>
      <c r="F77" s="265" t="s">
        <v>840</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842</v>
      </c>
      <c r="AH77" s="265"/>
      <c r="AI77" s="265"/>
      <c r="AJ77" s="265"/>
      <c r="AK77" s="265"/>
      <c r="AL77" s="265"/>
      <c r="AM77" s="265"/>
      <c r="AP77" s="137" t="s">
        <v>698</v>
      </c>
    </row>
    <row r="78" spans="2:42" x14ac:dyDescent="0.25">
      <c r="B78" s="5" t="s">
        <v>466</v>
      </c>
      <c r="C78" s="5" t="s">
        <v>1791</v>
      </c>
      <c r="D78" s="271">
        <v>46189</v>
      </c>
      <c r="E78" s="5" t="s">
        <v>1792</v>
      </c>
      <c r="F78" s="265" t="s">
        <v>840</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842</v>
      </c>
      <c r="AH78" s="265"/>
      <c r="AI78" s="265"/>
      <c r="AJ78" s="265"/>
      <c r="AK78" s="265"/>
      <c r="AL78" s="265"/>
      <c r="AM78" s="265"/>
      <c r="AP78" s="137" t="s">
        <v>698</v>
      </c>
    </row>
    <row r="79" spans="2:42" x14ac:dyDescent="0.25">
      <c r="B79" s="5" t="s">
        <v>467</v>
      </c>
      <c r="C79" s="5" t="s">
        <v>470</v>
      </c>
      <c r="D79" s="271">
        <v>46084</v>
      </c>
      <c r="E79" s="5" t="s">
        <v>858</v>
      </c>
      <c r="F79" s="265" t="s">
        <v>840</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467</v>
      </c>
      <c r="C80" s="5" t="s">
        <v>470</v>
      </c>
      <c r="D80" s="271">
        <v>46084</v>
      </c>
      <c r="E80" s="5" t="s">
        <v>858</v>
      </c>
      <c r="F80" s="265" t="s">
        <v>840</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467</v>
      </c>
      <c r="C81" s="5" t="s">
        <v>470</v>
      </c>
      <c r="D81" s="271">
        <v>46084</v>
      </c>
      <c r="E81" s="5" t="s">
        <v>858</v>
      </c>
      <c r="F81" s="265" t="s">
        <v>840</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467</v>
      </c>
      <c r="C82" s="5" t="s">
        <v>470</v>
      </c>
      <c r="D82" s="271">
        <v>46084</v>
      </c>
      <c r="E82" s="5" t="s">
        <v>858</v>
      </c>
      <c r="F82" s="265" t="s">
        <v>840</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467</v>
      </c>
      <c r="C83" s="5" t="s">
        <v>470</v>
      </c>
      <c r="D83" s="271">
        <v>46084</v>
      </c>
      <c r="E83" s="5" t="s">
        <v>858</v>
      </c>
      <c r="F83" s="265" t="s">
        <v>840</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467</v>
      </c>
      <c r="C84" s="5" t="s">
        <v>470</v>
      </c>
      <c r="D84" s="271">
        <v>46084</v>
      </c>
      <c r="E84" s="5" t="s">
        <v>858</v>
      </c>
      <c r="F84" s="265" t="s">
        <v>840</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467</v>
      </c>
      <c r="C85" s="5" t="s">
        <v>470</v>
      </c>
      <c r="D85" s="271">
        <v>46084</v>
      </c>
      <c r="E85" s="5" t="s">
        <v>858</v>
      </c>
      <c r="F85" s="265" t="s">
        <v>840</v>
      </c>
      <c r="G85" s="5">
        <v>30</v>
      </c>
      <c r="H85" s="265">
        <v>5</v>
      </c>
      <c r="I85" s="265"/>
      <c r="J85" s="265"/>
      <c r="K85" s="265"/>
      <c r="L85" s="265"/>
      <c r="M85" s="265"/>
      <c r="O85" s="265"/>
      <c r="P85" s="265">
        <v>4.95</v>
      </c>
      <c r="Q85" s="265"/>
      <c r="R85" s="265"/>
      <c r="S85" s="265"/>
      <c r="T85" s="265"/>
      <c r="U85" s="265"/>
      <c r="V85" s="265"/>
      <c r="W85" s="265"/>
      <c r="X85" s="265"/>
      <c r="Y85" s="265"/>
      <c r="Z85" s="5">
        <v>30</v>
      </c>
      <c r="AA85" s="265"/>
      <c r="AB85" s="265">
        <v>25</v>
      </c>
      <c r="AD85" s="265"/>
      <c r="AE85" s="265"/>
      <c r="AF85" s="265"/>
      <c r="AG85" s="265"/>
      <c r="AH85" s="265"/>
      <c r="AI85" s="265"/>
      <c r="AJ85" s="265"/>
      <c r="AK85" s="265"/>
      <c r="AL85" s="265"/>
      <c r="AM85" s="265"/>
      <c r="AP85" s="137" t="s">
        <v>293</v>
      </c>
    </row>
    <row r="86" spans="2:42" x14ac:dyDescent="0.25">
      <c r="B86" s="5" t="s">
        <v>467</v>
      </c>
      <c r="C86" s="5" t="s">
        <v>470</v>
      </c>
      <c r="D86" s="271">
        <v>46084</v>
      </c>
      <c r="E86" s="5" t="s">
        <v>858</v>
      </c>
      <c r="F86" s="265" t="s">
        <v>840</v>
      </c>
      <c r="G86" s="5">
        <v>30</v>
      </c>
      <c r="H86" s="265">
        <v>5</v>
      </c>
      <c r="I86" s="265"/>
      <c r="J86" s="265"/>
      <c r="K86" s="265"/>
      <c r="L86" s="265"/>
      <c r="M86" s="265"/>
      <c r="O86" s="265"/>
      <c r="P86" s="265">
        <v>4.95</v>
      </c>
      <c r="Q86" s="265"/>
      <c r="R86" s="265"/>
      <c r="S86" s="265"/>
      <c r="T86" s="265"/>
      <c r="U86" s="265"/>
      <c r="V86" s="265"/>
      <c r="W86" s="265"/>
      <c r="X86" s="265"/>
      <c r="Y86" s="265"/>
      <c r="Z86" s="5">
        <v>30</v>
      </c>
      <c r="AA86" s="265"/>
      <c r="AB86" s="265">
        <v>25</v>
      </c>
      <c r="AD86" s="265"/>
      <c r="AE86" s="265"/>
      <c r="AF86" s="265"/>
      <c r="AG86" s="265"/>
      <c r="AH86" s="265"/>
      <c r="AI86" s="265"/>
      <c r="AJ86" s="265"/>
      <c r="AK86" s="265"/>
      <c r="AL86" s="265"/>
      <c r="AM86" s="265"/>
      <c r="AP86" s="137" t="s">
        <v>293</v>
      </c>
    </row>
    <row r="87" spans="2:42" x14ac:dyDescent="0.25">
      <c r="B87" s="5" t="s">
        <v>478</v>
      </c>
      <c r="C87" s="5" t="s">
        <v>480</v>
      </c>
      <c r="D87" s="271">
        <v>46084</v>
      </c>
      <c r="E87" s="5" t="s">
        <v>859</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698</v>
      </c>
    </row>
    <row r="88" spans="2:42" x14ac:dyDescent="0.25">
      <c r="B88" s="5" t="s">
        <v>478</v>
      </c>
      <c r="C88" s="5" t="s">
        <v>480</v>
      </c>
      <c r="D88" s="271">
        <v>46084</v>
      </c>
      <c r="E88" s="5" t="s">
        <v>859</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698</v>
      </c>
    </row>
    <row r="89" spans="2:42" x14ac:dyDescent="0.25">
      <c r="B89" s="5" t="s">
        <v>478</v>
      </c>
      <c r="C89" s="5" t="s">
        <v>480</v>
      </c>
      <c r="D89" s="271">
        <v>46084</v>
      </c>
      <c r="E89" s="5" t="s">
        <v>859</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698</v>
      </c>
    </row>
    <row r="90" spans="2:42" x14ac:dyDescent="0.25">
      <c r="B90" s="5" t="s">
        <v>478</v>
      </c>
      <c r="C90" s="5" t="s">
        <v>480</v>
      </c>
      <c r="D90" s="271">
        <v>46084</v>
      </c>
      <c r="E90" s="5" t="s">
        <v>859</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698</v>
      </c>
    </row>
    <row r="91" spans="2:42" x14ac:dyDescent="0.25">
      <c r="B91" s="5" t="s">
        <v>478</v>
      </c>
      <c r="C91" s="5" t="s">
        <v>480</v>
      </c>
      <c r="D91" s="271">
        <v>46084</v>
      </c>
      <c r="E91" s="5" t="s">
        <v>859</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698</v>
      </c>
    </row>
    <row r="92" spans="2:42" x14ac:dyDescent="0.25">
      <c r="B92" s="5" t="s">
        <v>478</v>
      </c>
      <c r="C92" s="5" t="s">
        <v>480</v>
      </c>
      <c r="D92" s="271">
        <v>46084</v>
      </c>
      <c r="E92" s="5" t="s">
        <v>859</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698</v>
      </c>
    </row>
    <row r="93" spans="2:42" x14ac:dyDescent="0.25">
      <c r="B93" s="5" t="s">
        <v>478</v>
      </c>
      <c r="C93" s="5" t="s">
        <v>480</v>
      </c>
      <c r="D93" s="271">
        <v>46084</v>
      </c>
      <c r="E93" s="5" t="s">
        <v>859</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698</v>
      </c>
    </row>
    <row r="94" spans="2:42" x14ac:dyDescent="0.25">
      <c r="B94" s="5" t="s">
        <v>478</v>
      </c>
      <c r="C94" s="5" t="s">
        <v>480</v>
      </c>
      <c r="D94" s="271">
        <v>46084</v>
      </c>
      <c r="E94" s="5" t="s">
        <v>859</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698</v>
      </c>
    </row>
    <row r="95" spans="2:42" x14ac:dyDescent="0.25">
      <c r="B95" s="5" t="s">
        <v>478</v>
      </c>
      <c r="C95" s="5" t="s">
        <v>480</v>
      </c>
      <c r="D95" s="271">
        <v>46084</v>
      </c>
      <c r="E95" s="5" t="s">
        <v>859</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25</v>
      </c>
      <c r="AD95" s="265"/>
      <c r="AE95" s="265"/>
      <c r="AF95" s="265"/>
      <c r="AG95" s="265"/>
      <c r="AH95" s="265"/>
      <c r="AI95" s="265"/>
      <c r="AJ95" s="265"/>
      <c r="AK95" s="265"/>
      <c r="AL95" s="265"/>
      <c r="AM95" s="265"/>
      <c r="AP95" s="137" t="s">
        <v>698</v>
      </c>
    </row>
    <row r="96" spans="2:42" x14ac:dyDescent="0.25">
      <c r="B96" s="5" t="s">
        <v>478</v>
      </c>
      <c r="C96" s="5" t="s">
        <v>480</v>
      </c>
      <c r="D96" s="271">
        <v>46084</v>
      </c>
      <c r="E96" s="5" t="s">
        <v>859</v>
      </c>
      <c r="F96" s="265">
        <v>0.05</v>
      </c>
      <c r="G96" s="5">
        <v>30</v>
      </c>
      <c r="H96" s="265"/>
      <c r="I96" s="265"/>
      <c r="J96" s="265"/>
      <c r="K96" s="265"/>
      <c r="L96" s="265"/>
      <c r="M96" s="265"/>
      <c r="O96" s="265"/>
      <c r="P96" s="265"/>
      <c r="Q96" s="265"/>
      <c r="R96" s="265"/>
      <c r="S96" s="265"/>
      <c r="T96" s="265"/>
      <c r="U96" s="265"/>
      <c r="V96" s="265"/>
      <c r="W96" s="265"/>
      <c r="X96" s="265"/>
      <c r="Y96" s="265"/>
      <c r="Z96" s="5">
        <v>20</v>
      </c>
      <c r="AA96" s="265"/>
      <c r="AB96" s="265">
        <v>25</v>
      </c>
      <c r="AD96" s="265"/>
      <c r="AE96" s="265"/>
      <c r="AF96" s="265"/>
      <c r="AG96" s="265"/>
      <c r="AH96" s="265"/>
      <c r="AI96" s="265"/>
      <c r="AJ96" s="265"/>
      <c r="AK96" s="265"/>
      <c r="AL96" s="265"/>
      <c r="AM96" s="265"/>
      <c r="AP96" s="137" t="s">
        <v>698</v>
      </c>
    </row>
    <row r="97" spans="2:42" x14ac:dyDescent="0.25">
      <c r="B97" s="5" t="s">
        <v>478</v>
      </c>
      <c r="C97" s="5" t="s">
        <v>1824</v>
      </c>
      <c r="D97" s="271">
        <v>45861</v>
      </c>
      <c r="E97" s="5" t="s">
        <v>1825</v>
      </c>
      <c r="F97" s="265">
        <v>0.05</v>
      </c>
      <c r="G97" s="5">
        <v>30</v>
      </c>
      <c r="H97" s="265"/>
      <c r="I97" s="265"/>
      <c r="J97" s="265"/>
      <c r="K97" s="265"/>
      <c r="L97" s="265"/>
      <c r="M97" s="265"/>
      <c r="O97" s="265"/>
      <c r="P97" s="265"/>
      <c r="Q97" s="265"/>
      <c r="R97" s="265"/>
      <c r="S97" s="265"/>
      <c r="T97" s="265"/>
      <c r="U97" s="265"/>
      <c r="V97" s="265"/>
      <c r="W97" s="265"/>
      <c r="X97" s="265"/>
      <c r="Y97" s="265"/>
      <c r="Z97" s="5">
        <v>20</v>
      </c>
      <c r="AA97" s="265"/>
      <c r="AB97" s="265">
        <v>30</v>
      </c>
      <c r="AD97" s="265"/>
      <c r="AE97" s="265"/>
      <c r="AF97" s="265"/>
      <c r="AG97" s="265"/>
      <c r="AH97" s="265"/>
      <c r="AI97" s="265"/>
      <c r="AJ97" s="265"/>
      <c r="AK97" s="265"/>
      <c r="AL97" s="265"/>
      <c r="AM97" s="265"/>
      <c r="AP97" s="137" t="s">
        <v>698</v>
      </c>
    </row>
    <row r="98" spans="2:42" x14ac:dyDescent="0.25">
      <c r="B98" s="5" t="s">
        <v>483</v>
      </c>
      <c r="C98" s="5" t="s">
        <v>487</v>
      </c>
      <c r="D98" s="271">
        <v>46065</v>
      </c>
      <c r="E98" s="5" t="s">
        <v>860</v>
      </c>
      <c r="F98" s="265">
        <v>0.05</v>
      </c>
      <c r="G98" s="5">
        <v>30</v>
      </c>
      <c r="H98" s="265"/>
      <c r="I98" s="265"/>
      <c r="J98" s="265"/>
      <c r="K98" s="265">
        <v>3</v>
      </c>
      <c r="L98" s="265"/>
      <c r="M98" s="265">
        <v>3</v>
      </c>
      <c r="O98" s="265"/>
      <c r="P98" s="265"/>
      <c r="Q98" s="265">
        <v>5</v>
      </c>
      <c r="R98" s="265"/>
      <c r="S98" s="265">
        <v>5</v>
      </c>
      <c r="T98" s="265"/>
      <c r="U98" s="265"/>
      <c r="V98" s="265"/>
      <c r="W98" s="265"/>
      <c r="X98" s="265"/>
      <c r="Y98" s="265"/>
      <c r="Z98" s="5">
        <v>25</v>
      </c>
      <c r="AA98" s="265">
        <v>25</v>
      </c>
      <c r="AB98" s="265"/>
      <c r="AC98" s="5">
        <v>25</v>
      </c>
      <c r="AD98" s="265"/>
      <c r="AE98" s="265"/>
      <c r="AF98" s="265"/>
      <c r="AG98" s="265"/>
      <c r="AH98" s="265"/>
      <c r="AI98" s="265"/>
      <c r="AJ98" s="265"/>
      <c r="AK98" s="265"/>
      <c r="AL98" s="265"/>
      <c r="AM98" s="265"/>
      <c r="AP98" s="137" t="s">
        <v>698</v>
      </c>
    </row>
    <row r="99" spans="2:42" x14ac:dyDescent="0.25">
      <c r="B99" s="5" t="s">
        <v>1336</v>
      </c>
      <c r="C99" s="5" t="s">
        <v>1711</v>
      </c>
      <c r="D99" s="271">
        <v>46205</v>
      </c>
      <c r="E99" s="5" t="s">
        <v>1712</v>
      </c>
      <c r="F99" s="265" t="s">
        <v>840</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1706</v>
      </c>
      <c r="AP99" s="137" t="s">
        <v>698</v>
      </c>
    </row>
    <row r="100" spans="2:42" x14ac:dyDescent="0.25">
      <c r="B100" s="5" t="s">
        <v>1336</v>
      </c>
      <c r="C100" s="5" t="s">
        <v>1707</v>
      </c>
      <c r="D100" s="271">
        <v>46205</v>
      </c>
      <c r="E100" s="5" t="s">
        <v>1708</v>
      </c>
      <c r="F100" s="265" t="s">
        <v>840</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1706</v>
      </c>
      <c r="AP100" s="137" t="s">
        <v>698</v>
      </c>
    </row>
    <row r="101" spans="2:42" x14ac:dyDescent="0.25">
      <c r="B101" s="5" t="s">
        <v>1336</v>
      </c>
      <c r="C101" s="5" t="s">
        <v>1709</v>
      </c>
      <c r="D101" s="271">
        <v>46205</v>
      </c>
      <c r="E101" s="5" t="s">
        <v>1710</v>
      </c>
      <c r="F101" s="265" t="s">
        <v>840</v>
      </c>
      <c r="G101" s="5">
        <v>29.95</v>
      </c>
      <c r="H101" s="265"/>
      <c r="I101" s="265">
        <v>5.95</v>
      </c>
      <c r="J101" s="265"/>
      <c r="K101" s="265"/>
      <c r="L101" s="265"/>
      <c r="M101" s="265"/>
      <c r="O101" s="265">
        <v>4.95</v>
      </c>
      <c r="P101" s="265">
        <v>3.95</v>
      </c>
      <c r="Q101" s="265"/>
      <c r="R101" s="265">
        <v>19.95</v>
      </c>
      <c r="S101" s="265">
        <v>3.95</v>
      </c>
      <c r="T101" s="265"/>
      <c r="U101" s="265">
        <v>9.9499999999999993</v>
      </c>
      <c r="V101" s="265"/>
      <c r="W101" s="265">
        <v>9.9499999999999993</v>
      </c>
      <c r="X101" s="265"/>
      <c r="Y101" s="265"/>
      <c r="Z101" s="5">
        <v>19.95</v>
      </c>
      <c r="AA101" s="265"/>
      <c r="AB101" s="265">
        <v>29.95</v>
      </c>
      <c r="AC101" s="5">
        <v>29.95</v>
      </c>
      <c r="AD101" s="265"/>
      <c r="AE101" s="265"/>
      <c r="AF101" s="265">
        <v>24.95</v>
      </c>
      <c r="AG101" s="265"/>
      <c r="AH101" s="265"/>
      <c r="AI101" s="265"/>
      <c r="AJ101" s="265">
        <v>9.9499999999999993</v>
      </c>
      <c r="AK101" s="265"/>
      <c r="AL101" s="265"/>
      <c r="AM101" s="265" t="s">
        <v>1706</v>
      </c>
      <c r="AP101" s="137" t="s">
        <v>698</v>
      </c>
    </row>
    <row r="102" spans="2:42" x14ac:dyDescent="0.25">
      <c r="B102" s="5" t="s">
        <v>1336</v>
      </c>
      <c r="C102" s="5" t="s">
        <v>1704</v>
      </c>
      <c r="D102" s="271">
        <v>46205</v>
      </c>
      <c r="E102" s="5" t="s">
        <v>1705</v>
      </c>
      <c r="F102" s="265" t="s">
        <v>840</v>
      </c>
      <c r="G102" s="5">
        <v>29.95</v>
      </c>
      <c r="H102" s="265"/>
      <c r="I102" s="265">
        <v>5.95</v>
      </c>
      <c r="J102" s="265"/>
      <c r="K102" s="265"/>
      <c r="L102" s="265"/>
      <c r="M102" s="265"/>
      <c r="O102" s="265">
        <v>4.95</v>
      </c>
      <c r="P102" s="265">
        <v>3.95</v>
      </c>
      <c r="Q102" s="265"/>
      <c r="R102" s="265">
        <v>19.95</v>
      </c>
      <c r="S102" s="265">
        <v>3.95</v>
      </c>
      <c r="T102" s="265"/>
      <c r="U102" s="265">
        <v>9.9499999999999993</v>
      </c>
      <c r="V102" s="265"/>
      <c r="W102" s="265">
        <v>9.9499999999999993</v>
      </c>
      <c r="X102" s="265"/>
      <c r="Y102" s="265"/>
      <c r="Z102" s="5">
        <v>19.95</v>
      </c>
      <c r="AA102" s="265"/>
      <c r="AB102" s="265">
        <v>29.95</v>
      </c>
      <c r="AC102" s="5">
        <v>29.95</v>
      </c>
      <c r="AD102" s="265"/>
      <c r="AE102" s="265"/>
      <c r="AF102" s="265">
        <v>24.95</v>
      </c>
      <c r="AG102" s="265"/>
      <c r="AH102" s="265"/>
      <c r="AI102" s="265"/>
      <c r="AJ102" s="265">
        <v>9.9499999999999993</v>
      </c>
      <c r="AK102" s="265"/>
      <c r="AL102" s="265"/>
      <c r="AM102" s="265" t="s">
        <v>1706</v>
      </c>
      <c r="AP102" s="137" t="s">
        <v>698</v>
      </c>
    </row>
    <row r="103" spans="2:42" x14ac:dyDescent="0.25">
      <c r="B103" s="5" t="s">
        <v>498</v>
      </c>
      <c r="C103" s="5" t="s">
        <v>502</v>
      </c>
      <c r="D103" s="271">
        <v>45116</v>
      </c>
      <c r="E103" s="5" t="s">
        <v>861</v>
      </c>
      <c r="F103" s="265" t="s">
        <v>840</v>
      </c>
      <c r="G103" s="5">
        <v>30</v>
      </c>
      <c r="H103" s="265"/>
      <c r="I103" s="265"/>
      <c r="J103" s="265"/>
      <c r="K103" s="265"/>
      <c r="L103" s="265"/>
      <c r="M103" s="265"/>
      <c r="O103" s="265"/>
      <c r="P103" s="265">
        <v>5</v>
      </c>
      <c r="Q103" s="265">
        <v>5</v>
      </c>
      <c r="R103" s="265"/>
      <c r="S103" s="265">
        <v>20</v>
      </c>
      <c r="T103" s="265"/>
      <c r="U103" s="265"/>
      <c r="V103" s="265"/>
      <c r="W103" s="265"/>
      <c r="X103" s="265"/>
      <c r="Y103" s="265"/>
      <c r="Z103" s="5">
        <v>20</v>
      </c>
      <c r="AA103" s="265">
        <v>30</v>
      </c>
      <c r="AB103" s="265"/>
      <c r="AC103" s="5">
        <v>30</v>
      </c>
      <c r="AD103" s="265"/>
      <c r="AE103" s="265">
        <v>5</v>
      </c>
      <c r="AF103" s="265"/>
      <c r="AG103" s="265"/>
      <c r="AH103" s="265"/>
      <c r="AI103" s="265"/>
      <c r="AJ103" s="265"/>
      <c r="AK103" s="265"/>
      <c r="AL103" s="265"/>
      <c r="AM103" s="265"/>
      <c r="AP103" s="137" t="s">
        <v>698</v>
      </c>
    </row>
    <row r="104" spans="2:42" x14ac:dyDescent="0.25">
      <c r="B104" s="5" t="s">
        <v>507</v>
      </c>
      <c r="C104" s="5" t="s">
        <v>510</v>
      </c>
      <c r="D104" s="271">
        <v>45116</v>
      </c>
      <c r="E104" s="5" t="s">
        <v>862</v>
      </c>
      <c r="F104" s="265" t="s">
        <v>840</v>
      </c>
      <c r="G104" s="5">
        <v>25</v>
      </c>
      <c r="H104" s="265"/>
      <c r="I104" s="265"/>
      <c r="J104" s="265"/>
      <c r="K104" s="265"/>
      <c r="L104" s="265"/>
      <c r="M104" s="265"/>
      <c r="O104" s="265"/>
      <c r="P104" s="265"/>
      <c r="Q104" s="265"/>
      <c r="R104" s="265"/>
      <c r="S104" s="265">
        <v>2</v>
      </c>
      <c r="T104" s="265">
        <v>2</v>
      </c>
      <c r="U104" s="265"/>
      <c r="V104" s="265"/>
      <c r="W104" s="265"/>
      <c r="X104" s="265"/>
      <c r="Y104" s="265"/>
      <c r="Z104" s="5">
        <v>20</v>
      </c>
      <c r="AA104" s="265">
        <v>25</v>
      </c>
      <c r="AB104" s="265"/>
      <c r="AC104" s="5">
        <v>25</v>
      </c>
      <c r="AD104" s="265"/>
      <c r="AE104" s="265"/>
      <c r="AF104" s="265"/>
      <c r="AG104" s="265"/>
      <c r="AH104" s="265"/>
      <c r="AI104" s="265"/>
      <c r="AJ104" s="265"/>
      <c r="AK104" s="265"/>
      <c r="AL104" s="265"/>
      <c r="AM104" s="265"/>
      <c r="AP104" s="137" t="s">
        <v>698</v>
      </c>
    </row>
    <row r="105" spans="2:42" x14ac:dyDescent="0.25">
      <c r="B105" s="5" t="s">
        <v>515</v>
      </c>
      <c r="C105" s="5" t="s">
        <v>2316</v>
      </c>
      <c r="D105" s="271">
        <v>45997</v>
      </c>
      <c r="E105" s="5">
        <v>20240510</v>
      </c>
      <c r="F105" s="265" t="s">
        <v>840</v>
      </c>
      <c r="H105" s="265"/>
      <c r="I105" s="265"/>
      <c r="J105" s="265"/>
      <c r="K105" s="265"/>
      <c r="L105" s="265"/>
      <c r="M105" s="265"/>
      <c r="O105" s="265"/>
      <c r="P105" s="265"/>
      <c r="Q105" s="265"/>
      <c r="R105" s="265"/>
      <c r="S105" s="265">
        <v>4.95</v>
      </c>
      <c r="T105" s="265"/>
      <c r="U105" s="265"/>
      <c r="V105" s="265"/>
      <c r="W105" s="265"/>
      <c r="X105" s="265"/>
      <c r="Y105" s="265"/>
      <c r="AA105" s="265">
        <v>25</v>
      </c>
      <c r="AB105" s="265"/>
      <c r="AC105" s="5">
        <v>25</v>
      </c>
      <c r="AD105" s="265"/>
      <c r="AE105" s="265"/>
      <c r="AF105" s="265"/>
      <c r="AG105" s="265"/>
      <c r="AH105" s="265"/>
      <c r="AI105" s="265"/>
      <c r="AJ105" s="265"/>
      <c r="AK105" s="265"/>
      <c r="AL105" s="265"/>
      <c r="AM105" s="265"/>
      <c r="AP105" s="137" t="s">
        <v>698</v>
      </c>
    </row>
    <row r="106" spans="2:42" x14ac:dyDescent="0.25">
      <c r="B106" s="5" t="s">
        <v>515</v>
      </c>
      <c r="C106" s="5" t="s">
        <v>2316</v>
      </c>
      <c r="D106" s="271">
        <v>45997</v>
      </c>
      <c r="E106" s="5">
        <v>20240510</v>
      </c>
      <c r="F106" s="265" t="s">
        <v>840</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698</v>
      </c>
    </row>
    <row r="107" spans="2:42" x14ac:dyDescent="0.25">
      <c r="B107" s="5" t="s">
        <v>515</v>
      </c>
      <c r="C107" s="5" t="s">
        <v>2317</v>
      </c>
      <c r="D107" s="271">
        <v>45997</v>
      </c>
      <c r="E107" s="5">
        <v>20240510</v>
      </c>
      <c r="F107" s="265" t="s">
        <v>840</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698</v>
      </c>
    </row>
    <row r="108" spans="2:42" x14ac:dyDescent="0.25">
      <c r="B108" s="5" t="s">
        <v>515</v>
      </c>
      <c r="C108" s="5" t="s">
        <v>2317</v>
      </c>
      <c r="D108" s="271">
        <v>45997</v>
      </c>
      <c r="E108" s="5">
        <v>20240510</v>
      </c>
      <c r="F108" s="265" t="s">
        <v>840</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698</v>
      </c>
    </row>
    <row r="109" spans="2:42" x14ac:dyDescent="0.25">
      <c r="B109" s="5" t="s">
        <v>515</v>
      </c>
      <c r="C109" s="5" t="s">
        <v>2318</v>
      </c>
      <c r="D109" s="271">
        <v>45997</v>
      </c>
      <c r="E109" s="5">
        <v>20240510</v>
      </c>
      <c r="F109" s="265" t="s">
        <v>840</v>
      </c>
      <c r="H109" s="265"/>
      <c r="I109" s="265"/>
      <c r="J109" s="265"/>
      <c r="K109" s="265"/>
      <c r="L109" s="265"/>
      <c r="M109" s="265"/>
      <c r="O109" s="265"/>
      <c r="P109" s="265"/>
      <c r="Q109" s="265"/>
      <c r="R109" s="265"/>
      <c r="S109" s="265">
        <v>4.95</v>
      </c>
      <c r="T109" s="265"/>
      <c r="U109" s="265"/>
      <c r="V109" s="265"/>
      <c r="W109" s="265"/>
      <c r="X109" s="265"/>
      <c r="Y109" s="265"/>
      <c r="AA109" s="265">
        <v>25</v>
      </c>
      <c r="AB109" s="265"/>
      <c r="AC109" s="5">
        <v>25</v>
      </c>
      <c r="AD109" s="265"/>
      <c r="AE109" s="265"/>
      <c r="AF109" s="265"/>
      <c r="AG109" s="265"/>
      <c r="AH109" s="265"/>
      <c r="AI109" s="265"/>
      <c r="AJ109" s="265"/>
      <c r="AK109" s="265"/>
      <c r="AL109" s="265"/>
      <c r="AM109" s="265"/>
      <c r="AP109" s="137" t="s">
        <v>698</v>
      </c>
    </row>
    <row r="110" spans="2:42" x14ac:dyDescent="0.25">
      <c r="B110" s="5" t="s">
        <v>515</v>
      </c>
      <c r="C110" s="5" t="s">
        <v>2318</v>
      </c>
      <c r="D110" s="271">
        <v>45997</v>
      </c>
      <c r="E110" s="5">
        <v>20240510</v>
      </c>
      <c r="F110" s="265" t="s">
        <v>840</v>
      </c>
      <c r="H110" s="265"/>
      <c r="I110" s="265"/>
      <c r="J110" s="265"/>
      <c r="K110" s="265"/>
      <c r="L110" s="265"/>
      <c r="M110" s="265"/>
      <c r="O110" s="265"/>
      <c r="P110" s="265"/>
      <c r="Q110" s="265"/>
      <c r="R110" s="265"/>
      <c r="S110" s="265">
        <v>4.95</v>
      </c>
      <c r="T110" s="265"/>
      <c r="U110" s="265"/>
      <c r="V110" s="265"/>
      <c r="W110" s="265"/>
      <c r="X110" s="265"/>
      <c r="Y110" s="265"/>
      <c r="AA110" s="265">
        <v>25</v>
      </c>
      <c r="AB110" s="265"/>
      <c r="AC110" s="5">
        <v>25</v>
      </c>
      <c r="AD110" s="265"/>
      <c r="AE110" s="265"/>
      <c r="AF110" s="265"/>
      <c r="AG110" s="265"/>
      <c r="AH110" s="265"/>
      <c r="AI110" s="265"/>
      <c r="AJ110" s="265"/>
      <c r="AK110" s="265"/>
      <c r="AL110" s="265"/>
      <c r="AM110" s="265"/>
      <c r="AP110" s="137" t="s">
        <v>698</v>
      </c>
    </row>
    <row r="111" spans="2:42" x14ac:dyDescent="0.25">
      <c r="B111" s="5" t="s">
        <v>517</v>
      </c>
      <c r="C111" s="5" t="s">
        <v>521</v>
      </c>
      <c r="D111" s="271">
        <v>46084</v>
      </c>
      <c r="E111" s="5" t="s">
        <v>863</v>
      </c>
      <c r="F111" s="265" t="s">
        <v>840</v>
      </c>
      <c r="G111" s="5">
        <v>30</v>
      </c>
      <c r="H111" s="265"/>
      <c r="I111" s="265"/>
      <c r="J111" s="265"/>
      <c r="K111" s="265"/>
      <c r="L111" s="265"/>
      <c r="M111" s="265"/>
      <c r="O111" s="265"/>
      <c r="P111" s="265"/>
      <c r="Q111" s="265"/>
      <c r="R111" s="265"/>
      <c r="S111" s="265">
        <v>5</v>
      </c>
      <c r="T111" s="265"/>
      <c r="U111" s="265"/>
      <c r="V111" s="265"/>
      <c r="W111" s="265"/>
      <c r="X111" s="265"/>
      <c r="Y111" s="265"/>
      <c r="Z111" s="5">
        <v>25</v>
      </c>
      <c r="AA111" s="265"/>
      <c r="AB111" s="265">
        <v>25</v>
      </c>
      <c r="AD111" s="265"/>
      <c r="AE111" s="265"/>
      <c r="AF111" s="265"/>
      <c r="AG111" s="265"/>
      <c r="AH111" s="265"/>
      <c r="AI111" s="265"/>
      <c r="AJ111" s="265"/>
      <c r="AK111" s="265"/>
      <c r="AL111" s="265"/>
      <c r="AM111" s="265"/>
      <c r="AP111" s="137" t="s">
        <v>698</v>
      </c>
    </row>
    <row r="112" spans="2:42" x14ac:dyDescent="0.25">
      <c r="B112" s="5" t="s">
        <v>517</v>
      </c>
      <c r="C112" s="5" t="s">
        <v>521</v>
      </c>
      <c r="D112" s="271">
        <v>46084</v>
      </c>
      <c r="E112" s="5" t="s">
        <v>863</v>
      </c>
      <c r="F112" s="265" t="s">
        <v>840</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698</v>
      </c>
    </row>
    <row r="113" spans="2:42" x14ac:dyDescent="0.25">
      <c r="B113" s="5" t="s">
        <v>517</v>
      </c>
      <c r="C113" s="5" t="s">
        <v>521</v>
      </c>
      <c r="D113" s="271">
        <v>46084</v>
      </c>
      <c r="E113" s="5" t="s">
        <v>863</v>
      </c>
      <c r="F113" s="265" t="s">
        <v>840</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698</v>
      </c>
    </row>
    <row r="114" spans="2:42" x14ac:dyDescent="0.25">
      <c r="B114" s="5" t="s">
        <v>517</v>
      </c>
      <c r="C114" s="5" t="s">
        <v>521</v>
      </c>
      <c r="D114" s="271">
        <v>46084</v>
      </c>
      <c r="E114" s="5" t="s">
        <v>863</v>
      </c>
      <c r="F114" s="265" t="s">
        <v>840</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698</v>
      </c>
    </row>
    <row r="115" spans="2:42" x14ac:dyDescent="0.25">
      <c r="B115" s="5" t="s">
        <v>517</v>
      </c>
      <c r="C115" s="5" t="s">
        <v>521</v>
      </c>
      <c r="D115" s="271">
        <v>46084</v>
      </c>
      <c r="E115" s="5" t="s">
        <v>863</v>
      </c>
      <c r="F115" s="265" t="s">
        <v>840</v>
      </c>
      <c r="G115" s="5">
        <v>30</v>
      </c>
      <c r="H115" s="265"/>
      <c r="I115" s="265"/>
      <c r="J115" s="265"/>
      <c r="K115" s="265"/>
      <c r="L115" s="265"/>
      <c r="M115" s="265"/>
      <c r="O115" s="265"/>
      <c r="P115" s="265"/>
      <c r="Q115" s="265"/>
      <c r="R115" s="265"/>
      <c r="S115" s="265">
        <v>5</v>
      </c>
      <c r="T115" s="265"/>
      <c r="U115" s="265"/>
      <c r="V115" s="265"/>
      <c r="W115" s="265"/>
      <c r="X115" s="265"/>
      <c r="Y115" s="265"/>
      <c r="Z115" s="5">
        <v>25</v>
      </c>
      <c r="AA115" s="265"/>
      <c r="AB115" s="265">
        <v>25</v>
      </c>
      <c r="AD115" s="265"/>
      <c r="AE115" s="265"/>
      <c r="AF115" s="265"/>
      <c r="AG115" s="265"/>
      <c r="AH115" s="265"/>
      <c r="AI115" s="265"/>
      <c r="AJ115" s="265"/>
      <c r="AK115" s="265"/>
      <c r="AL115" s="265"/>
      <c r="AM115" s="265"/>
      <c r="AP115" s="137" t="s">
        <v>698</v>
      </c>
    </row>
    <row r="116" spans="2:42" x14ac:dyDescent="0.25">
      <c r="B116" s="5" t="s">
        <v>517</v>
      </c>
      <c r="C116" s="5" t="s">
        <v>521</v>
      </c>
      <c r="D116" s="271">
        <v>46084</v>
      </c>
      <c r="E116" s="5" t="s">
        <v>863</v>
      </c>
      <c r="F116" s="265" t="s">
        <v>840</v>
      </c>
      <c r="G116" s="5">
        <v>30</v>
      </c>
      <c r="H116" s="265"/>
      <c r="I116" s="265"/>
      <c r="J116" s="265"/>
      <c r="K116" s="265"/>
      <c r="L116" s="265"/>
      <c r="M116" s="265"/>
      <c r="O116" s="265"/>
      <c r="P116" s="265"/>
      <c r="Q116" s="265"/>
      <c r="R116" s="265"/>
      <c r="S116" s="265">
        <v>5</v>
      </c>
      <c r="T116" s="265"/>
      <c r="U116" s="265"/>
      <c r="V116" s="265"/>
      <c r="W116" s="265"/>
      <c r="X116" s="265"/>
      <c r="Y116" s="265"/>
      <c r="Z116" s="5">
        <v>25</v>
      </c>
      <c r="AA116" s="265"/>
      <c r="AB116" s="265">
        <v>25</v>
      </c>
      <c r="AD116" s="265"/>
      <c r="AE116" s="265"/>
      <c r="AF116" s="265"/>
      <c r="AG116" s="265"/>
      <c r="AH116" s="265"/>
      <c r="AI116" s="265"/>
      <c r="AJ116" s="265"/>
      <c r="AK116" s="265"/>
      <c r="AL116" s="265"/>
      <c r="AM116" s="265"/>
      <c r="AP116" s="137" t="s">
        <v>698</v>
      </c>
    </row>
    <row r="117" spans="2:42" x14ac:dyDescent="0.25">
      <c r="B117" s="5" t="s">
        <v>528</v>
      </c>
      <c r="C117" s="5" t="s">
        <v>2129</v>
      </c>
      <c r="D117" s="271">
        <v>46252</v>
      </c>
      <c r="E117" s="5" t="s">
        <v>1953</v>
      </c>
      <c r="F117" s="265">
        <v>0.05</v>
      </c>
      <c r="G117" s="5">
        <v>35</v>
      </c>
      <c r="H117" s="265"/>
      <c r="I117" s="265"/>
      <c r="J117" s="265"/>
      <c r="K117" s="265"/>
      <c r="L117" s="265">
        <v>0.03</v>
      </c>
      <c r="M117" s="265">
        <v>0.03</v>
      </c>
      <c r="O117" s="265"/>
      <c r="P117" s="265">
        <v>5</v>
      </c>
      <c r="Q117" s="265"/>
      <c r="R117" s="265"/>
      <c r="S117" s="265">
        <v>3</v>
      </c>
      <c r="T117" s="265"/>
      <c r="U117" s="265"/>
      <c r="V117" s="265"/>
      <c r="W117" s="265"/>
      <c r="X117" s="265"/>
      <c r="Y117" s="265"/>
      <c r="Z117" s="5">
        <v>15</v>
      </c>
      <c r="AA117" s="265">
        <v>35</v>
      </c>
      <c r="AB117" s="265"/>
      <c r="AC117" s="5">
        <v>35</v>
      </c>
      <c r="AD117" s="265"/>
      <c r="AE117" s="265"/>
      <c r="AF117" s="265"/>
      <c r="AG117" s="265"/>
      <c r="AH117" s="265"/>
      <c r="AI117" s="265"/>
      <c r="AJ117" s="265"/>
      <c r="AK117" s="265"/>
      <c r="AL117" s="265"/>
      <c r="AM117" s="265"/>
      <c r="AP117" s="137" t="s">
        <v>698</v>
      </c>
    </row>
    <row r="118" spans="2:42" x14ac:dyDescent="0.25">
      <c r="B118" s="5" t="s">
        <v>528</v>
      </c>
      <c r="C118" s="5" t="s">
        <v>1952</v>
      </c>
      <c r="D118" s="271">
        <v>46246</v>
      </c>
      <c r="E118" s="5" t="s">
        <v>1953</v>
      </c>
      <c r="F118" s="265">
        <v>0.05</v>
      </c>
      <c r="G118" s="5">
        <v>35</v>
      </c>
      <c r="H118" s="265"/>
      <c r="I118" s="265"/>
      <c r="J118" s="265"/>
      <c r="K118" s="265"/>
      <c r="L118" s="265">
        <v>0.03</v>
      </c>
      <c r="M118" s="265">
        <v>0.03</v>
      </c>
      <c r="O118" s="265"/>
      <c r="P118" s="265">
        <v>5</v>
      </c>
      <c r="Q118" s="265"/>
      <c r="R118" s="265"/>
      <c r="S118" s="265">
        <v>3</v>
      </c>
      <c r="T118" s="265"/>
      <c r="U118" s="265"/>
      <c r="V118" s="265"/>
      <c r="W118" s="265"/>
      <c r="X118" s="265"/>
      <c r="Y118" s="265"/>
      <c r="Z118" s="5">
        <v>15</v>
      </c>
      <c r="AA118" s="265">
        <v>35</v>
      </c>
      <c r="AB118" s="265"/>
      <c r="AC118" s="5">
        <v>35</v>
      </c>
      <c r="AD118" s="265"/>
      <c r="AE118" s="265"/>
      <c r="AF118" s="265"/>
      <c r="AG118" s="265"/>
      <c r="AH118" s="265"/>
      <c r="AI118" s="265"/>
      <c r="AJ118" s="265"/>
      <c r="AK118" s="265"/>
      <c r="AL118" s="265"/>
      <c r="AM118" s="265"/>
      <c r="AP118" s="137" t="s">
        <v>698</v>
      </c>
    </row>
    <row r="119" spans="2:42" x14ac:dyDescent="0.25">
      <c r="B119" s="5" t="s">
        <v>528</v>
      </c>
      <c r="C119" s="5" t="s">
        <v>1954</v>
      </c>
      <c r="D119" s="271">
        <v>46246</v>
      </c>
      <c r="E119" s="5" t="s">
        <v>1953</v>
      </c>
      <c r="F119" s="265">
        <v>0.05</v>
      </c>
      <c r="G119" s="5">
        <v>35</v>
      </c>
      <c r="H119" s="265"/>
      <c r="I119" s="265"/>
      <c r="J119" s="265"/>
      <c r="K119" s="265"/>
      <c r="L119" s="265">
        <v>0.03</v>
      </c>
      <c r="M119" s="265">
        <v>0.03</v>
      </c>
      <c r="O119" s="265"/>
      <c r="P119" s="265">
        <v>5</v>
      </c>
      <c r="Q119" s="265"/>
      <c r="R119" s="265"/>
      <c r="S119" s="265">
        <v>3</v>
      </c>
      <c r="T119" s="265"/>
      <c r="U119" s="265"/>
      <c r="V119" s="265"/>
      <c r="W119" s="265"/>
      <c r="X119" s="265"/>
      <c r="Y119" s="265"/>
      <c r="Z119" s="5">
        <v>15</v>
      </c>
      <c r="AA119" s="265">
        <v>35</v>
      </c>
      <c r="AB119" s="265"/>
      <c r="AC119" s="5">
        <v>35</v>
      </c>
      <c r="AD119" s="265"/>
      <c r="AE119" s="265"/>
      <c r="AF119" s="265"/>
      <c r="AG119" s="265"/>
      <c r="AH119" s="265"/>
      <c r="AI119" s="265"/>
      <c r="AJ119" s="265"/>
      <c r="AK119" s="265"/>
      <c r="AL119" s="265"/>
      <c r="AM119" s="265"/>
      <c r="AP119" s="137" t="s">
        <v>698</v>
      </c>
    </row>
    <row r="120" spans="2:42" x14ac:dyDescent="0.25">
      <c r="B120" s="5" t="s">
        <v>528</v>
      </c>
      <c r="C120" s="5" t="s">
        <v>1955</v>
      </c>
      <c r="D120" s="271">
        <v>46246</v>
      </c>
      <c r="E120" s="5" t="s">
        <v>1953</v>
      </c>
      <c r="F120" s="265">
        <v>0.05</v>
      </c>
      <c r="G120" s="5">
        <v>35</v>
      </c>
      <c r="H120" s="265"/>
      <c r="I120" s="265"/>
      <c r="J120" s="265"/>
      <c r="K120" s="265"/>
      <c r="L120" s="265">
        <v>0.03</v>
      </c>
      <c r="M120" s="265">
        <v>0.03</v>
      </c>
      <c r="O120" s="265"/>
      <c r="P120" s="265">
        <v>5</v>
      </c>
      <c r="Q120" s="265"/>
      <c r="R120" s="265"/>
      <c r="S120" s="265">
        <v>3</v>
      </c>
      <c r="T120" s="265"/>
      <c r="U120" s="265"/>
      <c r="V120" s="265"/>
      <c r="W120" s="265"/>
      <c r="X120" s="265"/>
      <c r="Y120" s="265"/>
      <c r="Z120" s="5">
        <v>15</v>
      </c>
      <c r="AA120" s="265">
        <v>35</v>
      </c>
      <c r="AB120" s="265"/>
      <c r="AC120" s="5">
        <v>35</v>
      </c>
      <c r="AD120" s="265"/>
      <c r="AE120" s="265"/>
      <c r="AF120" s="265"/>
      <c r="AG120" s="265"/>
      <c r="AH120" s="265"/>
      <c r="AI120" s="265"/>
      <c r="AJ120" s="265"/>
      <c r="AK120" s="265"/>
      <c r="AL120" s="265"/>
      <c r="AM120" s="265"/>
      <c r="AP120" s="137" t="s">
        <v>698</v>
      </c>
    </row>
    <row r="121" spans="2:42" x14ac:dyDescent="0.25">
      <c r="B121" s="5" t="s">
        <v>528</v>
      </c>
      <c r="C121" s="5" t="s">
        <v>1956</v>
      </c>
      <c r="D121" s="271">
        <v>46246</v>
      </c>
      <c r="E121" s="5" t="s">
        <v>1953</v>
      </c>
      <c r="F121" s="265">
        <v>0.05</v>
      </c>
      <c r="G121" s="5">
        <v>35</v>
      </c>
      <c r="H121" s="265"/>
      <c r="I121" s="265"/>
      <c r="J121" s="265"/>
      <c r="K121" s="265"/>
      <c r="L121" s="265">
        <v>0.03</v>
      </c>
      <c r="M121" s="265">
        <v>0.03</v>
      </c>
      <c r="O121" s="265"/>
      <c r="P121" s="265">
        <v>5</v>
      </c>
      <c r="Q121" s="265"/>
      <c r="R121" s="265"/>
      <c r="S121" s="265">
        <v>3</v>
      </c>
      <c r="T121" s="265"/>
      <c r="U121" s="265"/>
      <c r="V121" s="265"/>
      <c r="W121" s="265"/>
      <c r="X121" s="265"/>
      <c r="Y121" s="265"/>
      <c r="Z121" s="5">
        <v>15</v>
      </c>
      <c r="AA121" s="265">
        <v>35</v>
      </c>
      <c r="AB121" s="265"/>
      <c r="AC121" s="5">
        <v>35</v>
      </c>
      <c r="AD121" s="265"/>
      <c r="AE121" s="265"/>
      <c r="AF121" s="265"/>
      <c r="AG121" s="265"/>
      <c r="AH121" s="265"/>
      <c r="AI121" s="265"/>
      <c r="AJ121" s="265"/>
      <c r="AK121" s="265"/>
      <c r="AL121" s="265"/>
      <c r="AM121" s="265"/>
      <c r="AP121" s="137" t="s">
        <v>698</v>
      </c>
    </row>
    <row r="122" spans="2:42" x14ac:dyDescent="0.25">
      <c r="B122" s="5" t="s">
        <v>864</v>
      </c>
      <c r="C122" s="5" t="s">
        <v>533</v>
      </c>
      <c r="D122" s="271">
        <v>36892</v>
      </c>
      <c r="E122" s="5" t="s">
        <v>865</v>
      </c>
      <c r="F122" s="265" t="s">
        <v>840</v>
      </c>
      <c r="G122" s="5">
        <v>35</v>
      </c>
      <c r="H122" s="265">
        <v>5</v>
      </c>
      <c r="I122" s="265">
        <v>5</v>
      </c>
      <c r="J122" s="265"/>
      <c r="K122" s="265"/>
      <c r="L122" s="265"/>
      <c r="M122" s="265" t="s">
        <v>866</v>
      </c>
      <c r="O122" s="265"/>
      <c r="P122" s="265">
        <v>75</v>
      </c>
      <c r="Q122" s="265"/>
      <c r="R122" s="265"/>
      <c r="S122" s="265">
        <v>75</v>
      </c>
      <c r="T122" s="265"/>
      <c r="U122" s="265">
        <v>35</v>
      </c>
      <c r="V122" s="265">
        <v>10</v>
      </c>
      <c r="W122" s="265">
        <v>10</v>
      </c>
      <c r="X122" s="265"/>
      <c r="Y122" s="265"/>
      <c r="Z122" s="5">
        <v>10</v>
      </c>
      <c r="AA122" s="265">
        <v>50</v>
      </c>
      <c r="AB122" s="265"/>
      <c r="AC122" s="5">
        <v>35</v>
      </c>
      <c r="AD122" s="265"/>
      <c r="AE122" s="265"/>
      <c r="AF122" s="265"/>
      <c r="AG122" s="265"/>
      <c r="AH122" s="265">
        <v>75</v>
      </c>
      <c r="AI122" s="265"/>
      <c r="AJ122" s="265">
        <v>5</v>
      </c>
      <c r="AK122" s="265">
        <v>50</v>
      </c>
      <c r="AL122" s="265"/>
      <c r="AM122" s="265"/>
      <c r="AP122" s="137" t="s">
        <v>293</v>
      </c>
    </row>
    <row r="123" spans="2:42" x14ac:dyDescent="0.25">
      <c r="B123" s="5" t="s">
        <v>545</v>
      </c>
      <c r="C123" s="5" t="s">
        <v>557</v>
      </c>
      <c r="D123" s="271">
        <v>46079</v>
      </c>
      <c r="E123" s="5" t="s">
        <v>867</v>
      </c>
      <c r="F123" s="265" t="s">
        <v>840</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545</v>
      </c>
      <c r="C124" s="5" t="s">
        <v>554</v>
      </c>
      <c r="D124" s="271">
        <v>46079</v>
      </c>
      <c r="E124" s="5" t="s">
        <v>867</v>
      </c>
      <c r="F124" s="265" t="s">
        <v>840</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545</v>
      </c>
      <c r="C125" s="5" t="s">
        <v>1992</v>
      </c>
      <c r="D125" s="271">
        <v>45749</v>
      </c>
      <c r="E125" s="5" t="s">
        <v>868</v>
      </c>
      <c r="F125" s="265" t="s">
        <v>840</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545</v>
      </c>
      <c r="C126" s="5" t="s">
        <v>1993</v>
      </c>
      <c r="D126" s="271">
        <v>45749</v>
      </c>
      <c r="E126" s="5" t="s">
        <v>868</v>
      </c>
      <c r="F126" s="265" t="s">
        <v>840</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545</v>
      </c>
      <c r="C127" s="5" t="s">
        <v>561</v>
      </c>
      <c r="D127" s="271">
        <v>45419</v>
      </c>
      <c r="E127" s="5" t="s">
        <v>869</v>
      </c>
      <c r="F127" s="265" t="s">
        <v>840</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545</v>
      </c>
      <c r="C128" s="5" t="s">
        <v>564</v>
      </c>
      <c r="D128" s="271">
        <v>45419</v>
      </c>
      <c r="E128" s="5" t="s">
        <v>869</v>
      </c>
      <c r="F128" s="265" t="s">
        <v>840</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545</v>
      </c>
      <c r="C129" s="5" t="s">
        <v>568</v>
      </c>
      <c r="D129" s="271">
        <v>45419</v>
      </c>
      <c r="E129" s="5" t="s">
        <v>869</v>
      </c>
      <c r="F129" s="265" t="s">
        <v>840</v>
      </c>
      <c r="G129" s="5">
        <v>25</v>
      </c>
      <c r="H129" s="265"/>
      <c r="I129" s="265"/>
      <c r="J129" s="265"/>
      <c r="K129" s="265"/>
      <c r="L129" s="265"/>
      <c r="M129" s="265"/>
      <c r="O129" s="265"/>
      <c r="P129" s="265"/>
      <c r="Q129" s="265">
        <v>2.5</v>
      </c>
      <c r="R129" s="265"/>
      <c r="S129" s="265"/>
      <c r="T129" s="265">
        <v>2.95</v>
      </c>
      <c r="U129" s="265"/>
      <c r="V129" s="265"/>
      <c r="W129" s="265"/>
      <c r="X129" s="265"/>
      <c r="Y129" s="265"/>
      <c r="Z129" s="5">
        <v>25</v>
      </c>
      <c r="AA129" s="265">
        <v>25</v>
      </c>
      <c r="AB129" s="265"/>
      <c r="AD129" s="265"/>
      <c r="AE129" s="265"/>
      <c r="AF129" s="265"/>
      <c r="AG129" s="265"/>
      <c r="AH129" s="265"/>
      <c r="AI129" s="265"/>
      <c r="AJ129" s="265"/>
      <c r="AK129" s="265"/>
      <c r="AL129" s="265"/>
      <c r="AM129" s="265"/>
      <c r="AP129" s="137" t="s">
        <v>293</v>
      </c>
    </row>
    <row r="130" spans="2:42" x14ac:dyDescent="0.25">
      <c r="B130" s="5" t="s">
        <v>545</v>
      </c>
      <c r="C130" s="5" t="s">
        <v>566</v>
      </c>
      <c r="D130" s="271">
        <v>45419</v>
      </c>
      <c r="E130" s="5" t="s">
        <v>869</v>
      </c>
      <c r="F130" s="265" t="s">
        <v>840</v>
      </c>
      <c r="G130" s="5">
        <v>25</v>
      </c>
      <c r="H130" s="265"/>
      <c r="I130" s="265"/>
      <c r="J130" s="265"/>
      <c r="K130" s="265"/>
      <c r="L130" s="265"/>
      <c r="M130" s="265"/>
      <c r="O130" s="265"/>
      <c r="P130" s="265"/>
      <c r="Q130" s="265">
        <v>2.5</v>
      </c>
      <c r="R130" s="265"/>
      <c r="S130" s="265"/>
      <c r="T130" s="265">
        <v>2.95</v>
      </c>
      <c r="U130" s="265"/>
      <c r="V130" s="265"/>
      <c r="W130" s="265"/>
      <c r="X130" s="265"/>
      <c r="Y130" s="265"/>
      <c r="Z130" s="5">
        <v>25</v>
      </c>
      <c r="AA130" s="265">
        <v>25</v>
      </c>
      <c r="AB130" s="265"/>
      <c r="AD130" s="265"/>
      <c r="AE130" s="265"/>
      <c r="AF130" s="265"/>
      <c r="AG130" s="265"/>
      <c r="AH130" s="265"/>
      <c r="AI130" s="265"/>
      <c r="AJ130" s="265"/>
      <c r="AK130" s="265"/>
      <c r="AL130" s="265"/>
      <c r="AM130" s="265"/>
      <c r="AP130" s="137" t="s">
        <v>293</v>
      </c>
    </row>
    <row r="131" spans="2:42" x14ac:dyDescent="0.25">
      <c r="B131" s="5" t="s">
        <v>545</v>
      </c>
      <c r="C131" s="5" t="s">
        <v>1994</v>
      </c>
      <c r="D131" s="271">
        <v>45350</v>
      </c>
      <c r="E131" s="5" t="s">
        <v>1990</v>
      </c>
      <c r="F131" s="265" t="s">
        <v>840</v>
      </c>
      <c r="G131" s="5">
        <v>25</v>
      </c>
      <c r="H131" s="265"/>
      <c r="I131" s="265"/>
      <c r="J131" s="265"/>
      <c r="K131" s="265"/>
      <c r="L131" s="265"/>
      <c r="M131" s="265"/>
      <c r="O131" s="265"/>
      <c r="P131" s="265"/>
      <c r="Q131" s="265">
        <v>2.5</v>
      </c>
      <c r="R131" s="265"/>
      <c r="S131" s="265"/>
      <c r="T131" s="265">
        <v>2.95</v>
      </c>
      <c r="U131" s="265"/>
      <c r="V131" s="265"/>
      <c r="W131" s="265"/>
      <c r="X131" s="265"/>
      <c r="Y131" s="265"/>
      <c r="Z131" s="5">
        <v>22</v>
      </c>
      <c r="AA131" s="265">
        <v>25</v>
      </c>
      <c r="AB131" s="265"/>
      <c r="AD131" s="265"/>
      <c r="AE131" s="265"/>
      <c r="AF131" s="265"/>
      <c r="AG131" s="265"/>
      <c r="AH131" s="265"/>
      <c r="AI131" s="265"/>
      <c r="AJ131" s="265"/>
      <c r="AK131" s="265"/>
      <c r="AL131" s="265"/>
      <c r="AM131" s="265"/>
      <c r="AP131" s="137" t="s">
        <v>293</v>
      </c>
    </row>
    <row r="132" spans="2:42" x14ac:dyDescent="0.25">
      <c r="B132" s="5" t="s">
        <v>545</v>
      </c>
      <c r="C132" s="5" t="s">
        <v>1995</v>
      </c>
      <c r="D132" s="271">
        <v>45350</v>
      </c>
      <c r="E132" s="5" t="s">
        <v>1990</v>
      </c>
      <c r="F132" s="265" t="s">
        <v>840</v>
      </c>
      <c r="G132" s="5">
        <v>25</v>
      </c>
      <c r="H132" s="265"/>
      <c r="I132" s="265"/>
      <c r="J132" s="265"/>
      <c r="K132" s="265"/>
      <c r="L132" s="265"/>
      <c r="M132" s="265"/>
      <c r="O132" s="265"/>
      <c r="P132" s="265"/>
      <c r="Q132" s="265">
        <v>2.5</v>
      </c>
      <c r="R132" s="265"/>
      <c r="S132" s="265"/>
      <c r="T132" s="265">
        <v>2.95</v>
      </c>
      <c r="U132" s="265"/>
      <c r="V132" s="265"/>
      <c r="W132" s="265"/>
      <c r="X132" s="265"/>
      <c r="Y132" s="265"/>
      <c r="Z132" s="5">
        <v>22</v>
      </c>
      <c r="AA132" s="265">
        <v>25</v>
      </c>
      <c r="AB132" s="265"/>
      <c r="AD132" s="265"/>
      <c r="AE132" s="265"/>
      <c r="AF132" s="265"/>
      <c r="AG132" s="265"/>
      <c r="AH132" s="265"/>
      <c r="AI132" s="265"/>
      <c r="AJ132" s="265"/>
      <c r="AK132" s="265"/>
      <c r="AL132" s="265"/>
      <c r="AM132" s="265"/>
      <c r="AP132" s="137" t="s">
        <v>293</v>
      </c>
    </row>
    <row r="133" spans="2:42" x14ac:dyDescent="0.25">
      <c r="B133" s="5" t="s">
        <v>578</v>
      </c>
      <c r="C133" s="5" t="s">
        <v>1885</v>
      </c>
      <c r="D133" s="271">
        <v>46242</v>
      </c>
      <c r="E133" s="5" t="s">
        <v>1886</v>
      </c>
      <c r="F133" s="265">
        <v>0.05</v>
      </c>
      <c r="G133" s="5">
        <v>35</v>
      </c>
      <c r="H133" s="265"/>
      <c r="I133" s="265"/>
      <c r="J133" s="265"/>
      <c r="K133" s="265">
        <v>0.02</v>
      </c>
      <c r="L133" s="265">
        <v>0.02</v>
      </c>
      <c r="M133" s="265"/>
      <c r="O133" s="265"/>
      <c r="P133" s="265"/>
      <c r="Q133" s="265"/>
      <c r="R133" s="265"/>
      <c r="S133" s="265"/>
      <c r="T133" s="265"/>
      <c r="U133" s="265"/>
      <c r="V133" s="265"/>
      <c r="W133" s="265"/>
      <c r="X133" s="265"/>
      <c r="Y133" s="265"/>
      <c r="AA133" s="265">
        <v>10</v>
      </c>
      <c r="AB133" s="265"/>
      <c r="AD133" s="265"/>
      <c r="AE133" s="265"/>
      <c r="AF133" s="265"/>
      <c r="AG133" s="265" t="s">
        <v>842</v>
      </c>
      <c r="AH133" s="265"/>
      <c r="AI133" s="265"/>
      <c r="AJ133" s="265"/>
      <c r="AK133" s="265"/>
      <c r="AL133" s="265"/>
      <c r="AM133" s="265"/>
      <c r="AP133" s="137" t="s">
        <v>698</v>
      </c>
    </row>
    <row r="134" spans="2:42" x14ac:dyDescent="0.25">
      <c r="B134" s="5" t="s">
        <v>578</v>
      </c>
      <c r="C134" s="5" t="s">
        <v>582</v>
      </c>
      <c r="D134" s="271">
        <v>46242</v>
      </c>
      <c r="E134" s="5" t="s">
        <v>1886</v>
      </c>
      <c r="F134" s="265">
        <v>0.05</v>
      </c>
      <c r="G134" s="5">
        <v>35</v>
      </c>
      <c r="H134" s="265"/>
      <c r="I134" s="265"/>
      <c r="J134" s="265"/>
      <c r="K134" s="265">
        <v>0.02</v>
      </c>
      <c r="L134" s="265">
        <v>0.02</v>
      </c>
      <c r="M134" s="265"/>
      <c r="O134" s="265"/>
      <c r="P134" s="265"/>
      <c r="Q134" s="265"/>
      <c r="R134" s="265"/>
      <c r="S134" s="265"/>
      <c r="T134" s="265"/>
      <c r="U134" s="265"/>
      <c r="V134" s="265"/>
      <c r="W134" s="265"/>
      <c r="X134" s="265"/>
      <c r="Y134" s="265"/>
      <c r="AA134" s="265">
        <v>10</v>
      </c>
      <c r="AB134" s="265"/>
      <c r="AD134" s="265"/>
      <c r="AE134" s="265"/>
      <c r="AF134" s="265"/>
      <c r="AG134" s="265" t="s">
        <v>842</v>
      </c>
      <c r="AH134" s="265"/>
      <c r="AI134" s="265"/>
      <c r="AJ134" s="265"/>
      <c r="AK134" s="265"/>
      <c r="AL134" s="265"/>
      <c r="AM134" s="265"/>
      <c r="AP134" s="137" t="s">
        <v>698</v>
      </c>
    </row>
    <row r="135" spans="2:42" x14ac:dyDescent="0.25">
      <c r="B135" s="5" t="s">
        <v>578</v>
      </c>
      <c r="C135" s="5" t="s">
        <v>582</v>
      </c>
      <c r="D135" s="271">
        <v>46242</v>
      </c>
      <c r="E135" s="5" t="s">
        <v>1886</v>
      </c>
      <c r="F135" s="265">
        <v>0.05</v>
      </c>
      <c r="G135" s="5">
        <v>35</v>
      </c>
      <c r="H135" s="265"/>
      <c r="I135" s="265"/>
      <c r="J135" s="265"/>
      <c r="K135" s="265">
        <v>0.02</v>
      </c>
      <c r="L135" s="265">
        <v>0.02</v>
      </c>
      <c r="M135" s="265"/>
      <c r="O135" s="265"/>
      <c r="P135" s="265"/>
      <c r="Q135" s="265"/>
      <c r="R135" s="265"/>
      <c r="S135" s="265"/>
      <c r="T135" s="265"/>
      <c r="U135" s="265"/>
      <c r="V135" s="265"/>
      <c r="W135" s="265"/>
      <c r="X135" s="265"/>
      <c r="Y135" s="265"/>
      <c r="AA135" s="265">
        <v>10</v>
      </c>
      <c r="AB135" s="265"/>
      <c r="AD135" s="265"/>
      <c r="AE135" s="265"/>
      <c r="AF135" s="265"/>
      <c r="AG135" s="265" t="s">
        <v>842</v>
      </c>
      <c r="AH135" s="265"/>
      <c r="AI135" s="265"/>
      <c r="AJ135" s="265"/>
      <c r="AK135" s="265"/>
      <c r="AL135" s="265"/>
      <c r="AM135" s="265"/>
      <c r="AP135" s="137" t="s">
        <v>698</v>
      </c>
    </row>
    <row r="136" spans="2:42" x14ac:dyDescent="0.25">
      <c r="B136" s="5" t="s">
        <v>578</v>
      </c>
      <c r="C136" s="5" t="s">
        <v>581</v>
      </c>
      <c r="D136" s="271">
        <v>45293</v>
      </c>
      <c r="E136" s="5" t="s">
        <v>871</v>
      </c>
      <c r="F136" s="265" t="s">
        <v>840</v>
      </c>
      <c r="G136" s="5">
        <v>35</v>
      </c>
      <c r="H136" s="265"/>
      <c r="I136" s="265"/>
      <c r="J136" s="265"/>
      <c r="K136" s="265" t="s">
        <v>872</v>
      </c>
      <c r="L136" s="265" t="s">
        <v>872</v>
      </c>
      <c r="M136" s="265"/>
      <c r="O136" s="265"/>
      <c r="P136" s="265"/>
      <c r="Q136" s="265"/>
      <c r="R136" s="265"/>
      <c r="S136" s="265"/>
      <c r="T136" s="265">
        <v>5</v>
      </c>
      <c r="U136" s="265"/>
      <c r="V136" s="265"/>
      <c r="W136" s="265"/>
      <c r="X136" s="265"/>
      <c r="Y136" s="265"/>
      <c r="AA136" s="265">
        <v>10</v>
      </c>
      <c r="AB136" s="265"/>
      <c r="AD136" s="265"/>
      <c r="AE136" s="265"/>
      <c r="AF136" s="265"/>
      <c r="AG136" s="265" t="s">
        <v>842</v>
      </c>
      <c r="AH136" s="265"/>
      <c r="AI136" s="265"/>
      <c r="AJ136" s="265"/>
      <c r="AK136" s="265"/>
      <c r="AL136" s="265"/>
      <c r="AM136" s="265"/>
      <c r="AP136" s="137" t="s">
        <v>698</v>
      </c>
    </row>
    <row r="137" spans="2:42" x14ac:dyDescent="0.25">
      <c r="B137" s="5" t="s">
        <v>586</v>
      </c>
      <c r="C137" s="5" t="s">
        <v>588</v>
      </c>
      <c r="D137" s="271">
        <v>46053</v>
      </c>
      <c r="E137" s="5" t="s">
        <v>870</v>
      </c>
      <c r="F137" s="265">
        <v>0.05</v>
      </c>
      <c r="G137" s="5">
        <v>35</v>
      </c>
      <c r="H137" s="265"/>
      <c r="I137" s="265"/>
      <c r="J137" s="265"/>
      <c r="K137" s="265">
        <v>0.02</v>
      </c>
      <c r="L137" s="265">
        <v>0.02</v>
      </c>
      <c r="M137" s="265"/>
      <c r="O137" s="265"/>
      <c r="P137" s="265"/>
      <c r="Q137" s="265"/>
      <c r="R137" s="265"/>
      <c r="S137" s="265"/>
      <c r="T137" s="265"/>
      <c r="U137" s="265"/>
      <c r="V137" s="265"/>
      <c r="W137" s="265"/>
      <c r="X137" s="265"/>
      <c r="Y137" s="265"/>
      <c r="AA137" s="265">
        <v>10</v>
      </c>
      <c r="AB137" s="265"/>
      <c r="AD137" s="265"/>
      <c r="AE137" s="265"/>
      <c r="AF137" s="265"/>
      <c r="AG137" s="265" t="s">
        <v>842</v>
      </c>
      <c r="AH137" s="265"/>
      <c r="AI137" s="265"/>
      <c r="AJ137" s="265"/>
      <c r="AK137" s="265"/>
      <c r="AL137" s="265"/>
      <c r="AM137" s="265"/>
      <c r="AP137" s="137" t="s">
        <v>698</v>
      </c>
    </row>
    <row r="138" spans="2:42" x14ac:dyDescent="0.25">
      <c r="B138" s="5" t="s">
        <v>586</v>
      </c>
      <c r="C138" s="5" t="s">
        <v>588</v>
      </c>
      <c r="D138" s="271">
        <v>46053</v>
      </c>
      <c r="E138" s="5" t="s">
        <v>870</v>
      </c>
      <c r="F138" s="265">
        <v>0.05</v>
      </c>
      <c r="G138" s="5">
        <v>35</v>
      </c>
      <c r="H138" s="265"/>
      <c r="I138" s="265"/>
      <c r="J138" s="265"/>
      <c r="K138" s="265">
        <v>0.02</v>
      </c>
      <c r="L138" s="265">
        <v>0.02</v>
      </c>
      <c r="M138" s="265"/>
      <c r="O138" s="265"/>
      <c r="P138" s="265"/>
      <c r="Q138" s="265"/>
      <c r="R138" s="265"/>
      <c r="S138" s="265"/>
      <c r="T138" s="265"/>
      <c r="U138" s="265"/>
      <c r="V138" s="265"/>
      <c r="W138" s="265"/>
      <c r="X138" s="265"/>
      <c r="Y138" s="265"/>
      <c r="AA138" s="265">
        <v>10</v>
      </c>
      <c r="AB138" s="265"/>
      <c r="AD138" s="265"/>
      <c r="AE138" s="265"/>
      <c r="AF138" s="265"/>
      <c r="AG138" s="265" t="s">
        <v>842</v>
      </c>
      <c r="AH138" s="265"/>
      <c r="AI138" s="265"/>
      <c r="AJ138" s="265"/>
      <c r="AK138" s="265"/>
      <c r="AL138" s="265"/>
      <c r="AM138" s="265"/>
      <c r="AP138" s="137" t="s">
        <v>698</v>
      </c>
    </row>
    <row r="139" spans="2:42" x14ac:dyDescent="0.25">
      <c r="B139" s="5" t="s">
        <v>593</v>
      </c>
      <c r="C139" s="5" t="s">
        <v>1754</v>
      </c>
      <c r="D139" s="271">
        <v>46220</v>
      </c>
      <c r="E139" s="5" t="s">
        <v>1755</v>
      </c>
      <c r="F139" s="265" t="s">
        <v>840</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698</v>
      </c>
    </row>
    <row r="140" spans="2:42" x14ac:dyDescent="0.25">
      <c r="B140" s="5" t="s">
        <v>593</v>
      </c>
      <c r="C140" s="5" t="s">
        <v>1756</v>
      </c>
      <c r="D140" s="271">
        <v>46220</v>
      </c>
      <c r="E140" s="5" t="s">
        <v>1755</v>
      </c>
      <c r="F140" s="265" t="s">
        <v>840</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698</v>
      </c>
    </row>
    <row r="141" spans="2:42" x14ac:dyDescent="0.25">
      <c r="B141" s="5" t="s">
        <v>593</v>
      </c>
      <c r="C141" s="5" t="s">
        <v>1757</v>
      </c>
      <c r="D141" s="271">
        <v>46220</v>
      </c>
      <c r="E141" s="5" t="s">
        <v>1755</v>
      </c>
      <c r="F141" s="265" t="s">
        <v>840</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698</v>
      </c>
    </row>
    <row r="142" spans="2:42" x14ac:dyDescent="0.25">
      <c r="B142" s="5" t="s">
        <v>593</v>
      </c>
      <c r="C142" s="5" t="s">
        <v>1758</v>
      </c>
      <c r="D142" s="271">
        <v>46220</v>
      </c>
      <c r="E142" s="5" t="s">
        <v>1755</v>
      </c>
      <c r="F142" s="265" t="s">
        <v>840</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698</v>
      </c>
    </row>
    <row r="143" spans="2:42" x14ac:dyDescent="0.25">
      <c r="B143" s="5" t="s">
        <v>594</v>
      </c>
      <c r="C143" s="5" t="s">
        <v>1588</v>
      </c>
      <c r="D143" s="271">
        <v>46210</v>
      </c>
      <c r="E143" s="5" t="s">
        <v>1737</v>
      </c>
      <c r="F143" s="265" t="s">
        <v>840</v>
      </c>
      <c r="G143" s="5">
        <v>30</v>
      </c>
      <c r="H143" s="265"/>
      <c r="I143" s="265"/>
      <c r="J143" s="265"/>
      <c r="K143" s="265"/>
      <c r="L143" s="265"/>
      <c r="M143" s="265"/>
      <c r="O143" s="265"/>
      <c r="P143" s="265"/>
      <c r="Q143" s="265"/>
      <c r="R143" s="265"/>
      <c r="S143" s="265"/>
      <c r="T143" s="265">
        <v>5</v>
      </c>
      <c r="U143" s="265"/>
      <c r="V143" s="265"/>
      <c r="W143" s="265"/>
      <c r="X143" s="265"/>
      <c r="Y143" s="265"/>
      <c r="AA143" s="265">
        <v>10</v>
      </c>
      <c r="AB143" s="265"/>
      <c r="AD143" s="265"/>
      <c r="AE143" s="265"/>
      <c r="AF143" s="265"/>
      <c r="AG143" s="265"/>
      <c r="AH143" s="265"/>
      <c r="AI143" s="265">
        <v>5</v>
      </c>
      <c r="AJ143" s="265"/>
      <c r="AK143" s="265"/>
      <c r="AL143" s="265"/>
      <c r="AM143" s="265"/>
      <c r="AP143" s="137" t="s">
        <v>698</v>
      </c>
    </row>
    <row r="144" spans="2:42" x14ac:dyDescent="0.25">
      <c r="B144" s="5" t="s">
        <v>602</v>
      </c>
      <c r="C144" s="5" t="s">
        <v>1615</v>
      </c>
      <c r="D144" s="271">
        <v>46085</v>
      </c>
      <c r="E144" s="5" t="s">
        <v>1616</v>
      </c>
      <c r="F144" s="265" t="s">
        <v>840</v>
      </c>
      <c r="G144" s="5">
        <v>40</v>
      </c>
      <c r="H144" s="265"/>
      <c r="I144" s="265"/>
      <c r="J144" s="265"/>
      <c r="K144" s="265"/>
      <c r="L144" s="265"/>
      <c r="M144" s="265"/>
      <c r="O144" s="265"/>
      <c r="P144" s="265">
        <v>4.75</v>
      </c>
      <c r="Q144" s="265"/>
      <c r="R144" s="265"/>
      <c r="S144" s="265"/>
      <c r="T144" s="265">
        <v>2.75</v>
      </c>
      <c r="U144" s="265"/>
      <c r="V144" s="265"/>
      <c r="W144" s="265"/>
      <c r="X144" s="265"/>
      <c r="Y144" s="265"/>
      <c r="Z144" s="5">
        <v>19.07</v>
      </c>
      <c r="AA144" s="265"/>
      <c r="AB144" s="265">
        <v>42.95</v>
      </c>
      <c r="AC144" s="5">
        <v>34.950000000000003</v>
      </c>
      <c r="AD144" s="265"/>
      <c r="AE144" s="265"/>
      <c r="AF144" s="265">
        <v>75</v>
      </c>
      <c r="AG144" s="265"/>
      <c r="AH144" s="265"/>
      <c r="AI144" s="265"/>
      <c r="AJ144" s="265"/>
      <c r="AK144" s="265"/>
      <c r="AL144" s="265"/>
      <c r="AM144" s="265"/>
      <c r="AP144" s="137" t="s">
        <v>698</v>
      </c>
    </row>
    <row r="145" spans="2:42" x14ac:dyDescent="0.25">
      <c r="B145" s="5" t="s">
        <v>602</v>
      </c>
      <c r="C145" s="5" t="s">
        <v>1615</v>
      </c>
      <c r="D145" s="271">
        <v>46085</v>
      </c>
      <c r="E145" s="5" t="s">
        <v>1616</v>
      </c>
      <c r="F145" s="265" t="s">
        <v>840</v>
      </c>
      <c r="G145" s="5">
        <v>40</v>
      </c>
      <c r="H145" s="265"/>
      <c r="I145" s="265"/>
      <c r="J145" s="265"/>
      <c r="K145" s="265"/>
      <c r="L145" s="265"/>
      <c r="M145" s="265"/>
      <c r="O145" s="265"/>
      <c r="P145" s="265">
        <v>4.75</v>
      </c>
      <c r="Q145" s="265"/>
      <c r="R145" s="265"/>
      <c r="S145" s="265"/>
      <c r="T145" s="265">
        <v>2.75</v>
      </c>
      <c r="U145" s="265"/>
      <c r="V145" s="265"/>
      <c r="W145" s="265"/>
      <c r="X145" s="265"/>
      <c r="Y145" s="265"/>
      <c r="Z145" s="5">
        <v>19.07</v>
      </c>
      <c r="AA145" s="265"/>
      <c r="AB145" s="265">
        <v>42.95</v>
      </c>
      <c r="AC145" s="5">
        <v>34.950000000000003</v>
      </c>
      <c r="AD145" s="265"/>
      <c r="AE145" s="265"/>
      <c r="AF145" s="265">
        <v>75</v>
      </c>
      <c r="AG145" s="265"/>
      <c r="AH145" s="265"/>
      <c r="AI145" s="265"/>
      <c r="AJ145" s="265"/>
      <c r="AK145" s="265"/>
      <c r="AL145" s="265"/>
      <c r="AM145" s="265"/>
      <c r="AP145" s="137" t="s">
        <v>698</v>
      </c>
    </row>
    <row r="146" spans="2:42" x14ac:dyDescent="0.25">
      <c r="B146" s="5" t="s">
        <v>602</v>
      </c>
      <c r="C146" s="5" t="s">
        <v>1615</v>
      </c>
      <c r="D146" s="271">
        <v>46085</v>
      </c>
      <c r="E146" s="5" t="s">
        <v>1616</v>
      </c>
      <c r="F146" s="265" t="s">
        <v>840</v>
      </c>
      <c r="G146" s="5">
        <v>40</v>
      </c>
      <c r="H146" s="265"/>
      <c r="I146" s="265"/>
      <c r="J146" s="265"/>
      <c r="K146" s="265"/>
      <c r="L146" s="265"/>
      <c r="M146" s="265"/>
      <c r="O146" s="265"/>
      <c r="P146" s="265">
        <v>4.75</v>
      </c>
      <c r="Q146" s="265"/>
      <c r="R146" s="265"/>
      <c r="S146" s="265"/>
      <c r="T146" s="265">
        <v>2.75</v>
      </c>
      <c r="U146" s="265"/>
      <c r="V146" s="265"/>
      <c r="W146" s="265"/>
      <c r="X146" s="265"/>
      <c r="Y146" s="265"/>
      <c r="Z146" s="5">
        <v>19.07</v>
      </c>
      <c r="AA146" s="265"/>
      <c r="AB146" s="265">
        <v>42.95</v>
      </c>
      <c r="AC146" s="5">
        <v>34.950000000000003</v>
      </c>
      <c r="AD146" s="265"/>
      <c r="AE146" s="265"/>
      <c r="AF146" s="265">
        <v>75</v>
      </c>
      <c r="AG146" s="265"/>
      <c r="AH146" s="265"/>
      <c r="AI146" s="265"/>
      <c r="AJ146" s="265"/>
      <c r="AK146" s="265"/>
      <c r="AL146" s="265"/>
      <c r="AM146" s="265"/>
      <c r="AP146" s="137" t="s">
        <v>698</v>
      </c>
    </row>
    <row r="147" spans="2:42" x14ac:dyDescent="0.25">
      <c r="B147" s="5" t="s">
        <v>602</v>
      </c>
      <c r="C147" s="5" t="s">
        <v>1615</v>
      </c>
      <c r="D147" s="271">
        <v>46085</v>
      </c>
      <c r="E147" s="5" t="s">
        <v>1616</v>
      </c>
      <c r="F147" s="265" t="s">
        <v>840</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698</v>
      </c>
    </row>
    <row r="148" spans="2:42" x14ac:dyDescent="0.25">
      <c r="B148" s="5" t="s">
        <v>602</v>
      </c>
      <c r="C148" s="5" t="s">
        <v>1615</v>
      </c>
      <c r="D148" s="271">
        <v>46085</v>
      </c>
      <c r="E148" s="5" t="s">
        <v>1616</v>
      </c>
      <c r="F148" s="265" t="s">
        <v>840</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698</v>
      </c>
    </row>
    <row r="149" spans="2:42" x14ac:dyDescent="0.25">
      <c r="B149" s="5" t="s">
        <v>602</v>
      </c>
      <c r="C149" s="5" t="s">
        <v>1615</v>
      </c>
      <c r="D149" s="271">
        <v>46085</v>
      </c>
      <c r="E149" s="5" t="s">
        <v>1616</v>
      </c>
      <c r="F149" s="265" t="s">
        <v>840</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698</v>
      </c>
    </row>
    <row r="150" spans="2:42" x14ac:dyDescent="0.25">
      <c r="B150" s="5" t="s">
        <v>602</v>
      </c>
      <c r="C150" s="5" t="s">
        <v>1615</v>
      </c>
      <c r="D150" s="271">
        <v>46085</v>
      </c>
      <c r="E150" s="5" t="s">
        <v>1616</v>
      </c>
      <c r="F150" s="265" t="s">
        <v>840</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698</v>
      </c>
    </row>
    <row r="151" spans="2:42" x14ac:dyDescent="0.25">
      <c r="B151" s="5" t="s">
        <v>602</v>
      </c>
      <c r="C151" s="5" t="s">
        <v>1615</v>
      </c>
      <c r="D151" s="271">
        <v>46085</v>
      </c>
      <c r="E151" s="5" t="s">
        <v>1616</v>
      </c>
      <c r="F151" s="265" t="s">
        <v>840</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698</v>
      </c>
    </row>
    <row r="152" spans="2:42" x14ac:dyDescent="0.25">
      <c r="B152" s="5" t="s">
        <v>602</v>
      </c>
      <c r="C152" s="5" t="s">
        <v>1615</v>
      </c>
      <c r="D152" s="271">
        <v>46085</v>
      </c>
      <c r="E152" s="5" t="s">
        <v>1616</v>
      </c>
      <c r="F152" s="265" t="s">
        <v>840</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698</v>
      </c>
    </row>
    <row r="153" spans="2:42" x14ac:dyDescent="0.25">
      <c r="B153" s="5" t="s">
        <v>602</v>
      </c>
      <c r="C153" s="5" t="s">
        <v>1615</v>
      </c>
      <c r="D153" s="271">
        <v>46085</v>
      </c>
      <c r="E153" s="5" t="s">
        <v>1616</v>
      </c>
      <c r="F153" s="265" t="s">
        <v>840</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698</v>
      </c>
    </row>
    <row r="154" spans="2:42" x14ac:dyDescent="0.25">
      <c r="B154" s="5" t="s">
        <v>603</v>
      </c>
      <c r="C154" s="5" t="s">
        <v>607</v>
      </c>
      <c r="D154" s="271">
        <v>46084</v>
      </c>
      <c r="E154" s="5" t="s">
        <v>873</v>
      </c>
      <c r="F154" s="265">
        <v>0.05</v>
      </c>
      <c r="G154" s="5">
        <v>30</v>
      </c>
      <c r="H154" s="265"/>
      <c r="I154" s="265"/>
      <c r="J154" s="265"/>
      <c r="K154" s="265"/>
      <c r="L154" s="265"/>
      <c r="M154" s="265"/>
      <c r="O154" s="265"/>
      <c r="P154" s="265"/>
      <c r="Q154" s="265"/>
      <c r="R154" s="265"/>
      <c r="S154" s="265"/>
      <c r="T154" s="265"/>
      <c r="U154" s="265"/>
      <c r="V154" s="265"/>
      <c r="W154" s="265"/>
      <c r="X154" s="265"/>
      <c r="Y154" s="265"/>
      <c r="Z154" s="5">
        <v>25</v>
      </c>
      <c r="AA154" s="265"/>
      <c r="AB154" s="265">
        <v>25</v>
      </c>
      <c r="AD154" s="265"/>
      <c r="AE154" s="265"/>
      <c r="AF154" s="265"/>
      <c r="AG154" s="265"/>
      <c r="AH154" s="265"/>
      <c r="AI154" s="265"/>
      <c r="AJ154" s="265"/>
      <c r="AK154" s="265"/>
      <c r="AL154" s="265"/>
      <c r="AM154" s="265"/>
      <c r="AP154" s="137" t="s">
        <v>698</v>
      </c>
    </row>
    <row r="155" spans="2:42" x14ac:dyDescent="0.25">
      <c r="B155" s="5" t="s">
        <v>603</v>
      </c>
      <c r="C155" s="5" t="s">
        <v>607</v>
      </c>
      <c r="D155" s="271">
        <v>46084</v>
      </c>
      <c r="E155" s="5" t="s">
        <v>873</v>
      </c>
      <c r="F155" s="265">
        <v>0.05</v>
      </c>
      <c r="G155" s="5">
        <v>30</v>
      </c>
      <c r="H155" s="265"/>
      <c r="I155" s="265"/>
      <c r="J155" s="265"/>
      <c r="K155" s="265"/>
      <c r="L155" s="265"/>
      <c r="M155" s="265"/>
      <c r="O155" s="265"/>
      <c r="P155" s="265"/>
      <c r="Q155" s="265"/>
      <c r="R155" s="265"/>
      <c r="S155" s="265"/>
      <c r="T155" s="265"/>
      <c r="U155" s="265"/>
      <c r="V155" s="265"/>
      <c r="W155" s="265"/>
      <c r="X155" s="265"/>
      <c r="Y155" s="265"/>
      <c r="Z155" s="5">
        <v>25</v>
      </c>
      <c r="AA155" s="265"/>
      <c r="AB155" s="265">
        <v>25</v>
      </c>
      <c r="AD155" s="265"/>
      <c r="AE155" s="265"/>
      <c r="AF155" s="265"/>
      <c r="AG155" s="265"/>
      <c r="AH155" s="265"/>
      <c r="AI155" s="265"/>
      <c r="AJ155" s="265"/>
      <c r="AK155" s="265"/>
      <c r="AL155" s="265"/>
      <c r="AM155" s="265"/>
      <c r="AP155" s="137" t="s">
        <v>698</v>
      </c>
    </row>
    <row r="156" spans="2:42" x14ac:dyDescent="0.25">
      <c r="B156" s="5" t="s">
        <v>603</v>
      </c>
      <c r="C156" s="5" t="s">
        <v>607</v>
      </c>
      <c r="D156" s="271">
        <v>46084</v>
      </c>
      <c r="E156" s="5" t="s">
        <v>873</v>
      </c>
      <c r="F156" s="265">
        <v>0.05</v>
      </c>
      <c r="G156" s="5">
        <v>30</v>
      </c>
      <c r="H156" s="265"/>
      <c r="I156" s="265"/>
      <c r="J156" s="265"/>
      <c r="K156" s="265"/>
      <c r="L156" s="265"/>
      <c r="M156" s="265"/>
      <c r="O156" s="265"/>
      <c r="P156" s="265"/>
      <c r="Q156" s="265"/>
      <c r="R156" s="265"/>
      <c r="S156" s="265"/>
      <c r="T156" s="265"/>
      <c r="U156" s="265"/>
      <c r="V156" s="265"/>
      <c r="W156" s="265"/>
      <c r="X156" s="265"/>
      <c r="Y156" s="265"/>
      <c r="Z156" s="5">
        <v>25</v>
      </c>
      <c r="AA156" s="265"/>
      <c r="AB156" s="265">
        <v>25</v>
      </c>
      <c r="AD156" s="265"/>
      <c r="AE156" s="265"/>
      <c r="AF156" s="265"/>
      <c r="AG156" s="265"/>
      <c r="AH156" s="265"/>
      <c r="AI156" s="265"/>
      <c r="AJ156" s="265"/>
      <c r="AK156" s="265"/>
      <c r="AL156" s="265"/>
      <c r="AM156" s="265"/>
      <c r="AP156" s="137" t="s">
        <v>698</v>
      </c>
    </row>
    <row r="157" spans="2:42" x14ac:dyDescent="0.25">
      <c r="B157" s="5" t="s">
        <v>603</v>
      </c>
      <c r="C157" s="5" t="s">
        <v>607</v>
      </c>
      <c r="D157" s="271">
        <v>46084</v>
      </c>
      <c r="E157" s="5" t="s">
        <v>873</v>
      </c>
      <c r="F157" s="265">
        <v>0.05</v>
      </c>
      <c r="G157" s="5">
        <v>30</v>
      </c>
      <c r="H157" s="265"/>
      <c r="I157" s="265"/>
      <c r="J157" s="265"/>
      <c r="K157" s="265"/>
      <c r="L157" s="265"/>
      <c r="M157" s="265"/>
      <c r="O157" s="265"/>
      <c r="P157" s="265"/>
      <c r="Q157" s="265"/>
      <c r="R157" s="265"/>
      <c r="S157" s="265"/>
      <c r="T157" s="265"/>
      <c r="U157" s="265"/>
      <c r="V157" s="265"/>
      <c r="W157" s="265"/>
      <c r="X157" s="265"/>
      <c r="Y157" s="265"/>
      <c r="Z157" s="5">
        <v>25</v>
      </c>
      <c r="AA157" s="265"/>
      <c r="AB157" s="265">
        <v>25</v>
      </c>
      <c r="AD157" s="265"/>
      <c r="AE157" s="265"/>
      <c r="AF157" s="265"/>
      <c r="AG157" s="265"/>
      <c r="AH157" s="265"/>
      <c r="AI157" s="265"/>
      <c r="AJ157" s="265"/>
      <c r="AK157" s="265"/>
      <c r="AL157" s="265"/>
      <c r="AM157" s="265"/>
      <c r="AP157" s="137" t="s">
        <v>698</v>
      </c>
    </row>
    <row r="158" spans="2:42" x14ac:dyDescent="0.25">
      <c r="B158" s="5" t="s">
        <v>603</v>
      </c>
      <c r="C158" s="5" t="s">
        <v>607</v>
      </c>
      <c r="D158" s="271">
        <v>46084</v>
      </c>
      <c r="E158" s="5" t="s">
        <v>873</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698</v>
      </c>
    </row>
    <row r="159" spans="2:42" x14ac:dyDescent="0.25">
      <c r="B159" s="5" t="s">
        <v>603</v>
      </c>
      <c r="C159" s="5" t="s">
        <v>607</v>
      </c>
      <c r="D159" s="271">
        <v>46084</v>
      </c>
      <c r="E159" s="5" t="s">
        <v>873</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698</v>
      </c>
    </row>
    <row r="160" spans="2:42" x14ac:dyDescent="0.25">
      <c r="B160" s="5" t="s">
        <v>614</v>
      </c>
      <c r="C160" s="5" t="s">
        <v>618</v>
      </c>
      <c r="D160" s="271">
        <v>36892</v>
      </c>
      <c r="E160" s="5" t="s">
        <v>874</v>
      </c>
      <c r="F160" s="265" t="s">
        <v>840</v>
      </c>
      <c r="G160" s="5">
        <v>35</v>
      </c>
      <c r="H160" s="265"/>
      <c r="I160" s="265">
        <v>5</v>
      </c>
      <c r="J160" s="265"/>
      <c r="K160" s="265"/>
      <c r="L160" s="265"/>
      <c r="M160" s="265"/>
      <c r="N160" s="5">
        <v>75</v>
      </c>
      <c r="O160" s="265"/>
      <c r="P160" s="265">
        <v>75</v>
      </c>
      <c r="Q160" s="265"/>
      <c r="R160" s="265"/>
      <c r="S160" s="265"/>
      <c r="T160" s="265"/>
      <c r="U160" s="265">
        <v>35</v>
      </c>
      <c r="V160" s="265">
        <v>10</v>
      </c>
      <c r="W160" s="265"/>
      <c r="X160" s="265"/>
      <c r="Y160" s="265"/>
      <c r="Z160" s="5">
        <v>10</v>
      </c>
      <c r="AA160" s="265">
        <v>50</v>
      </c>
      <c r="AB160" s="265"/>
      <c r="AC160" s="5">
        <v>35</v>
      </c>
      <c r="AD160" s="265"/>
      <c r="AE160" s="265"/>
      <c r="AF160" s="265"/>
      <c r="AG160" s="265"/>
      <c r="AH160" s="265"/>
      <c r="AI160" s="265"/>
      <c r="AJ160" s="265">
        <v>5</v>
      </c>
      <c r="AK160" s="265">
        <v>50</v>
      </c>
      <c r="AL160" s="265"/>
      <c r="AM160" s="265"/>
      <c r="AP160" s="137" t="s">
        <v>698</v>
      </c>
    </row>
    <row r="161" spans="2:42" x14ac:dyDescent="0.25">
      <c r="B161" s="5" t="s">
        <v>630</v>
      </c>
      <c r="C161" s="5" t="s">
        <v>633</v>
      </c>
      <c r="D161" s="271">
        <v>46065</v>
      </c>
      <c r="E161" s="5" t="s">
        <v>875</v>
      </c>
      <c r="F161" s="265" t="s">
        <v>840</v>
      </c>
      <c r="G161" s="5">
        <v>25</v>
      </c>
      <c r="H161" s="265"/>
      <c r="I161" s="265"/>
      <c r="J161" s="265"/>
      <c r="K161" s="265"/>
      <c r="L161" s="265"/>
      <c r="M161" s="265"/>
      <c r="O161" s="265"/>
      <c r="P161" s="265">
        <v>5</v>
      </c>
      <c r="Q161" s="265"/>
      <c r="R161" s="265"/>
      <c r="S161" s="265">
        <v>5</v>
      </c>
      <c r="T161" s="265">
        <v>5</v>
      </c>
      <c r="U161" s="265"/>
      <c r="V161" s="265"/>
      <c r="W161" s="265"/>
      <c r="X161" s="265"/>
      <c r="Y161" s="265"/>
      <c r="Z161" s="5">
        <v>25</v>
      </c>
      <c r="AA161" s="265">
        <v>25</v>
      </c>
      <c r="AB161" s="265"/>
      <c r="AD161" s="265"/>
      <c r="AE161" s="265"/>
      <c r="AF161" s="265"/>
      <c r="AG161" s="265"/>
      <c r="AH161" s="265"/>
      <c r="AI161" s="265"/>
      <c r="AJ161" s="265"/>
      <c r="AK161" s="265"/>
      <c r="AL161" s="265"/>
      <c r="AM161" s="265"/>
      <c r="AP161" s="137" t="s">
        <v>698</v>
      </c>
    </row>
    <row r="162" spans="2:42" x14ac:dyDescent="0.25">
      <c r="B162" s="5" t="s">
        <v>630</v>
      </c>
      <c r="C162" s="5" t="s">
        <v>2215</v>
      </c>
      <c r="D162" s="271">
        <v>45116</v>
      </c>
      <c r="E162" s="5" t="s">
        <v>2216</v>
      </c>
      <c r="F162" s="265" t="s">
        <v>840</v>
      </c>
      <c r="G162" s="5" t="s">
        <v>2217</v>
      </c>
      <c r="H162" s="265"/>
      <c r="I162" s="265"/>
      <c r="J162" s="265"/>
      <c r="K162" s="265"/>
      <c r="L162" s="265"/>
      <c r="M162" s="265"/>
      <c r="O162" s="265"/>
      <c r="P162" s="265"/>
      <c r="Q162" s="265"/>
      <c r="R162" s="265"/>
      <c r="S162" s="265"/>
      <c r="T162" s="265"/>
      <c r="U162" s="265"/>
      <c r="V162" s="265"/>
      <c r="W162" s="265"/>
      <c r="X162" s="265"/>
      <c r="Y162" s="265"/>
      <c r="AA162" s="265">
        <v>25</v>
      </c>
      <c r="AB162" s="265"/>
      <c r="AD162" s="265"/>
      <c r="AE162" s="265"/>
      <c r="AF162" s="265"/>
      <c r="AG162" s="265"/>
      <c r="AH162" s="265"/>
      <c r="AI162" s="265"/>
      <c r="AJ162" s="265"/>
      <c r="AK162" s="265"/>
      <c r="AL162" s="265"/>
      <c r="AM162" s="265"/>
      <c r="AP162" s="137" t="s">
        <v>698</v>
      </c>
    </row>
    <row r="163" spans="2:42" x14ac:dyDescent="0.25">
      <c r="B163" s="5" t="s">
        <v>644</v>
      </c>
      <c r="C163" s="5" t="s">
        <v>648</v>
      </c>
      <c r="D163" s="271">
        <v>46135</v>
      </c>
      <c r="E163" s="5" t="s">
        <v>876</v>
      </c>
      <c r="F163" s="265">
        <v>0.05</v>
      </c>
      <c r="G163" s="5">
        <v>25</v>
      </c>
      <c r="H163" s="265">
        <v>4.95</v>
      </c>
      <c r="I163" s="265"/>
      <c r="J163" s="265"/>
      <c r="K163" s="265"/>
      <c r="L163" s="265"/>
      <c r="M163" s="265"/>
      <c r="O163" s="265"/>
      <c r="P163" s="265">
        <v>4.95</v>
      </c>
      <c r="Q163" s="265"/>
      <c r="R163" s="265"/>
      <c r="S163" s="265"/>
      <c r="T163" s="265">
        <v>2.95</v>
      </c>
      <c r="U163" s="265"/>
      <c r="V163" s="265"/>
      <c r="W163" s="265"/>
      <c r="X163" s="265"/>
      <c r="Y163" s="265"/>
      <c r="Z163" s="5">
        <v>25</v>
      </c>
      <c r="AA163" s="265">
        <v>25</v>
      </c>
      <c r="AB163" s="265"/>
      <c r="AC163" s="5">
        <v>25</v>
      </c>
      <c r="AD163" s="265"/>
      <c r="AE163" s="265"/>
      <c r="AF163" s="265">
        <v>24.95</v>
      </c>
      <c r="AG163" s="265"/>
      <c r="AH163" s="265"/>
      <c r="AI163" s="265"/>
      <c r="AJ163" s="265"/>
      <c r="AK163" s="265"/>
      <c r="AL163" s="265"/>
      <c r="AM163" s="265"/>
      <c r="AP163" s="137"/>
    </row>
    <row r="164" spans="2:42" x14ac:dyDescent="0.25">
      <c r="B164" s="5" t="s">
        <v>644</v>
      </c>
      <c r="C164" s="5" t="s">
        <v>648</v>
      </c>
      <c r="D164" s="271">
        <v>46135</v>
      </c>
      <c r="E164" s="5" t="s">
        <v>876</v>
      </c>
      <c r="F164" s="265">
        <v>0.05</v>
      </c>
      <c r="G164" s="5">
        <v>25</v>
      </c>
      <c r="H164" s="265">
        <v>4.95</v>
      </c>
      <c r="I164" s="265"/>
      <c r="J164" s="265"/>
      <c r="K164" s="265"/>
      <c r="L164" s="265"/>
      <c r="M164" s="265"/>
      <c r="O164" s="265"/>
      <c r="P164" s="265">
        <v>4.95</v>
      </c>
      <c r="Q164" s="265"/>
      <c r="R164" s="265"/>
      <c r="S164" s="265"/>
      <c r="T164" s="265">
        <v>2.95</v>
      </c>
      <c r="U164" s="265"/>
      <c r="V164" s="265"/>
      <c r="W164" s="265"/>
      <c r="X164" s="265"/>
      <c r="Y164" s="265"/>
      <c r="Z164" s="5">
        <v>25</v>
      </c>
      <c r="AA164" s="265">
        <v>25</v>
      </c>
      <c r="AB164" s="265"/>
      <c r="AC164" s="5">
        <v>25</v>
      </c>
      <c r="AD164" s="265"/>
      <c r="AE164" s="265"/>
      <c r="AF164" s="265">
        <v>24.95</v>
      </c>
      <c r="AG164" s="265"/>
      <c r="AH164" s="265"/>
      <c r="AI164" s="265"/>
      <c r="AJ164" s="265"/>
      <c r="AK164" s="265"/>
      <c r="AL164" s="265"/>
      <c r="AM164" s="265"/>
      <c r="AP164" s="137"/>
    </row>
    <row r="165" spans="2:42" x14ac:dyDescent="0.25">
      <c r="B165" s="5" t="s">
        <v>644</v>
      </c>
      <c r="C165" s="5" t="s">
        <v>648</v>
      </c>
      <c r="D165" s="271">
        <v>46135</v>
      </c>
      <c r="E165" s="5" t="s">
        <v>876</v>
      </c>
      <c r="F165" s="265">
        <v>0.05</v>
      </c>
      <c r="G165" s="5">
        <v>25</v>
      </c>
      <c r="H165" s="265">
        <v>4.95</v>
      </c>
      <c r="I165" s="265"/>
      <c r="J165" s="265"/>
      <c r="K165" s="265"/>
      <c r="L165" s="265"/>
      <c r="M165" s="265"/>
      <c r="O165" s="265"/>
      <c r="P165" s="265">
        <v>4.95</v>
      </c>
      <c r="Q165" s="265"/>
      <c r="R165" s="265"/>
      <c r="S165" s="265"/>
      <c r="T165" s="265">
        <v>2.95</v>
      </c>
      <c r="U165" s="265"/>
      <c r="V165" s="265"/>
      <c r="W165" s="265"/>
      <c r="X165" s="265"/>
      <c r="Y165" s="265"/>
      <c r="Z165" s="5">
        <v>25</v>
      </c>
      <c r="AA165" s="265">
        <v>25</v>
      </c>
      <c r="AB165" s="265"/>
      <c r="AC165" s="5">
        <v>25</v>
      </c>
      <c r="AD165" s="265"/>
      <c r="AE165" s="265"/>
      <c r="AF165" s="265">
        <v>24.95</v>
      </c>
      <c r="AG165" s="265"/>
      <c r="AH165" s="265"/>
      <c r="AI165" s="265"/>
      <c r="AJ165" s="265"/>
      <c r="AK165" s="265"/>
      <c r="AL165" s="265"/>
      <c r="AM165" s="265"/>
      <c r="AP165" s="137"/>
    </row>
    <row r="166" spans="2:42" x14ac:dyDescent="0.25">
      <c r="B166" s="5" t="s">
        <v>644</v>
      </c>
      <c r="C166" s="5" t="s">
        <v>648</v>
      </c>
      <c r="D166" s="271">
        <v>46135</v>
      </c>
      <c r="E166" s="5" t="s">
        <v>876</v>
      </c>
      <c r="F166" s="265">
        <v>0.05</v>
      </c>
      <c r="G166" s="5">
        <v>25</v>
      </c>
      <c r="H166" s="265">
        <v>4.95</v>
      </c>
      <c r="I166" s="265"/>
      <c r="J166" s="265"/>
      <c r="K166" s="265"/>
      <c r="L166" s="265"/>
      <c r="M166" s="265"/>
      <c r="O166" s="265"/>
      <c r="P166" s="265">
        <v>4.95</v>
      </c>
      <c r="Q166" s="265"/>
      <c r="R166" s="265"/>
      <c r="S166" s="265"/>
      <c r="T166" s="265">
        <v>2.95</v>
      </c>
      <c r="U166" s="265"/>
      <c r="V166" s="265"/>
      <c r="W166" s="265"/>
      <c r="X166" s="265"/>
      <c r="Y166" s="265"/>
      <c r="Z166" s="5">
        <v>25</v>
      </c>
      <c r="AA166" s="265">
        <v>25</v>
      </c>
      <c r="AB166" s="265"/>
      <c r="AC166" s="5">
        <v>25</v>
      </c>
      <c r="AD166" s="265"/>
      <c r="AE166" s="265"/>
      <c r="AF166" s="265">
        <v>24.95</v>
      </c>
      <c r="AG166" s="265"/>
      <c r="AH166" s="265"/>
      <c r="AI166" s="265"/>
      <c r="AJ166" s="265"/>
      <c r="AK166" s="265"/>
      <c r="AL166" s="265"/>
      <c r="AM166" s="265"/>
      <c r="AP166" s="137"/>
    </row>
    <row r="167" spans="2:42" x14ac:dyDescent="0.25">
      <c r="B167" s="5" t="s">
        <v>1238</v>
      </c>
      <c r="C167" s="5" t="s">
        <v>1595</v>
      </c>
      <c r="D167" s="271">
        <v>46170</v>
      </c>
      <c r="E167" s="5" t="s">
        <v>1596</v>
      </c>
      <c r="F167" s="265">
        <v>0.05</v>
      </c>
      <c r="G167" s="5">
        <v>40</v>
      </c>
      <c r="H167" s="265"/>
      <c r="I167" s="265"/>
      <c r="J167" s="265"/>
      <c r="K167" s="265"/>
      <c r="L167" s="265"/>
      <c r="M167" s="265"/>
      <c r="O167" s="265"/>
      <c r="P167" s="265"/>
      <c r="Q167" s="265"/>
      <c r="R167" s="265"/>
      <c r="S167" s="265"/>
      <c r="T167" s="265"/>
      <c r="U167" s="265">
        <v>25</v>
      </c>
      <c r="V167" s="265"/>
      <c r="W167" s="265"/>
      <c r="X167" s="265"/>
      <c r="Y167" s="265"/>
      <c r="Z167" s="5">
        <v>25</v>
      </c>
      <c r="AA167" s="265"/>
      <c r="AB167" s="265"/>
      <c r="AC167" s="5">
        <v>20</v>
      </c>
      <c r="AD167" s="265"/>
      <c r="AE167" s="265"/>
      <c r="AF167" s="265"/>
      <c r="AG167" s="265"/>
      <c r="AH167" s="265"/>
      <c r="AI167" s="265"/>
      <c r="AJ167" s="265"/>
      <c r="AK167" s="265"/>
      <c r="AL167" s="265"/>
      <c r="AM167" s="265"/>
      <c r="AP167" s="137" t="s">
        <v>698</v>
      </c>
    </row>
    <row r="168" spans="2:42" x14ac:dyDescent="0.25">
      <c r="B168" s="5" t="s">
        <v>1238</v>
      </c>
      <c r="C168" s="5" t="s">
        <v>1595</v>
      </c>
      <c r="D168" s="271">
        <v>46170</v>
      </c>
      <c r="E168" s="5" t="s">
        <v>1596</v>
      </c>
      <c r="F168" s="265">
        <v>0.05</v>
      </c>
      <c r="G168" s="5">
        <v>40</v>
      </c>
      <c r="H168" s="265"/>
      <c r="I168" s="265"/>
      <c r="J168" s="265"/>
      <c r="K168" s="265"/>
      <c r="L168" s="265"/>
      <c r="M168" s="265"/>
      <c r="O168" s="265"/>
      <c r="P168" s="265"/>
      <c r="Q168" s="265"/>
      <c r="R168" s="265"/>
      <c r="S168" s="265"/>
      <c r="T168" s="265"/>
      <c r="U168" s="265">
        <v>25</v>
      </c>
      <c r="V168" s="265"/>
      <c r="W168" s="265"/>
      <c r="X168" s="265"/>
      <c r="Y168" s="265"/>
      <c r="Z168" s="5">
        <v>25</v>
      </c>
      <c r="AA168" s="265"/>
      <c r="AB168" s="265"/>
      <c r="AC168" s="5">
        <v>20</v>
      </c>
      <c r="AD168" s="265"/>
      <c r="AE168" s="265"/>
      <c r="AF168" s="265"/>
      <c r="AG168" s="265"/>
      <c r="AH168" s="265"/>
      <c r="AI168" s="265"/>
      <c r="AJ168" s="265"/>
      <c r="AK168" s="265"/>
      <c r="AL168" s="265"/>
      <c r="AM168" s="265"/>
      <c r="AP168" s="137" t="s">
        <v>698</v>
      </c>
    </row>
    <row r="169" spans="2:42" x14ac:dyDescent="0.25">
      <c r="B169" s="5" t="s">
        <v>1238</v>
      </c>
      <c r="C169" s="5" t="s">
        <v>1595</v>
      </c>
      <c r="D169" s="271">
        <v>46170</v>
      </c>
      <c r="E169" s="5" t="s">
        <v>1596</v>
      </c>
      <c r="F169" s="265">
        <v>0.05</v>
      </c>
      <c r="G169" s="5">
        <v>40</v>
      </c>
      <c r="H169" s="265"/>
      <c r="I169" s="265"/>
      <c r="J169" s="265"/>
      <c r="K169" s="265"/>
      <c r="L169" s="265"/>
      <c r="M169" s="265"/>
      <c r="O169" s="265"/>
      <c r="P169" s="265"/>
      <c r="Q169" s="265"/>
      <c r="R169" s="265"/>
      <c r="S169" s="265"/>
      <c r="T169" s="265"/>
      <c r="U169" s="265">
        <v>25</v>
      </c>
      <c r="V169" s="265"/>
      <c r="W169" s="265"/>
      <c r="X169" s="265"/>
      <c r="Y169" s="265"/>
      <c r="Z169" s="5">
        <v>25</v>
      </c>
      <c r="AA169" s="265"/>
      <c r="AB169" s="265"/>
      <c r="AC169" s="5">
        <v>20</v>
      </c>
      <c r="AD169" s="265"/>
      <c r="AE169" s="265"/>
      <c r="AF169" s="265"/>
      <c r="AG169" s="265"/>
      <c r="AH169" s="265"/>
      <c r="AI169" s="265"/>
      <c r="AJ169" s="265"/>
      <c r="AK169" s="265"/>
      <c r="AL169" s="265"/>
      <c r="AM169" s="265"/>
      <c r="AP169" s="137" t="s">
        <v>698</v>
      </c>
    </row>
    <row r="170" spans="2:42" x14ac:dyDescent="0.25">
      <c r="B170" s="5" t="s">
        <v>1238</v>
      </c>
      <c r="C170" s="5" t="s">
        <v>1595</v>
      </c>
      <c r="D170" s="271">
        <v>46170</v>
      </c>
      <c r="E170" s="5" t="s">
        <v>1596</v>
      </c>
      <c r="F170" s="265">
        <v>0.05</v>
      </c>
      <c r="G170" s="5">
        <v>40</v>
      </c>
      <c r="H170" s="265"/>
      <c r="I170" s="265"/>
      <c r="J170" s="265"/>
      <c r="K170" s="265"/>
      <c r="L170" s="265"/>
      <c r="M170" s="265"/>
      <c r="O170" s="265"/>
      <c r="P170" s="265"/>
      <c r="Q170" s="265"/>
      <c r="R170" s="265"/>
      <c r="S170" s="265"/>
      <c r="T170" s="265"/>
      <c r="U170" s="265">
        <v>25</v>
      </c>
      <c r="V170" s="265"/>
      <c r="W170" s="265"/>
      <c r="X170" s="265"/>
      <c r="Y170" s="265"/>
      <c r="Z170" s="5">
        <v>25</v>
      </c>
      <c r="AA170" s="265"/>
      <c r="AB170" s="265"/>
      <c r="AC170" s="5">
        <v>20</v>
      </c>
      <c r="AD170" s="265"/>
      <c r="AE170" s="265"/>
      <c r="AF170" s="265"/>
      <c r="AG170" s="265"/>
      <c r="AH170" s="265"/>
      <c r="AI170" s="265"/>
      <c r="AJ170" s="265"/>
      <c r="AK170" s="265"/>
      <c r="AL170" s="265"/>
      <c r="AM170" s="265"/>
      <c r="AP170" s="137" t="s">
        <v>698</v>
      </c>
    </row>
    <row r="171" spans="2:42" x14ac:dyDescent="0.25">
      <c r="B171" s="5" t="s">
        <v>1238</v>
      </c>
      <c r="C171" s="5" t="s">
        <v>1595</v>
      </c>
      <c r="D171" s="271">
        <v>46170</v>
      </c>
      <c r="E171" s="5" t="s">
        <v>1596</v>
      </c>
      <c r="F171" s="265">
        <v>0.05</v>
      </c>
      <c r="G171" s="5">
        <v>40</v>
      </c>
      <c r="H171" s="265"/>
      <c r="I171" s="265"/>
      <c r="J171" s="265"/>
      <c r="K171" s="265"/>
      <c r="L171" s="265"/>
      <c r="M171" s="265"/>
      <c r="O171" s="265"/>
      <c r="P171" s="265"/>
      <c r="Q171" s="265"/>
      <c r="R171" s="265"/>
      <c r="S171" s="265"/>
      <c r="T171" s="265"/>
      <c r="U171" s="265">
        <v>25</v>
      </c>
      <c r="V171" s="265"/>
      <c r="W171" s="265"/>
      <c r="X171" s="265"/>
      <c r="Y171" s="265"/>
      <c r="Z171" s="5">
        <v>25</v>
      </c>
      <c r="AA171" s="265"/>
      <c r="AB171" s="265"/>
      <c r="AC171" s="5">
        <v>20</v>
      </c>
      <c r="AD171" s="265"/>
      <c r="AE171" s="265"/>
      <c r="AF171" s="265"/>
      <c r="AG171" s="265"/>
      <c r="AH171" s="265"/>
      <c r="AI171" s="265"/>
      <c r="AJ171" s="265"/>
      <c r="AK171" s="265"/>
      <c r="AL171" s="265"/>
      <c r="AM171" s="265"/>
      <c r="AP171" s="137" t="s">
        <v>698</v>
      </c>
    </row>
    <row r="172" spans="2:42" x14ac:dyDescent="0.25">
      <c r="B172" s="5" t="s">
        <v>1238</v>
      </c>
      <c r="C172" s="5" t="s">
        <v>1595</v>
      </c>
      <c r="D172" s="271">
        <v>46170</v>
      </c>
      <c r="E172" s="5" t="s">
        <v>1596</v>
      </c>
      <c r="F172" s="265">
        <v>0.05</v>
      </c>
      <c r="G172" s="5">
        <v>40</v>
      </c>
      <c r="H172" s="265"/>
      <c r="I172" s="265"/>
      <c r="J172" s="265"/>
      <c r="K172" s="265"/>
      <c r="L172" s="265"/>
      <c r="M172" s="265"/>
      <c r="O172" s="265"/>
      <c r="P172" s="265"/>
      <c r="Q172" s="265"/>
      <c r="R172" s="265"/>
      <c r="S172" s="265"/>
      <c r="T172" s="265"/>
      <c r="U172" s="265">
        <v>25</v>
      </c>
      <c r="V172" s="265"/>
      <c r="W172" s="265"/>
      <c r="X172" s="265"/>
      <c r="Y172" s="265"/>
      <c r="Z172" s="5">
        <v>25</v>
      </c>
      <c r="AA172" s="265"/>
      <c r="AB172" s="265"/>
      <c r="AC172" s="5">
        <v>20</v>
      </c>
      <c r="AD172" s="265"/>
      <c r="AE172" s="265"/>
      <c r="AF172" s="265"/>
      <c r="AG172" s="265"/>
      <c r="AH172" s="265"/>
      <c r="AI172" s="265"/>
      <c r="AJ172" s="265"/>
      <c r="AK172" s="265"/>
      <c r="AL172" s="265"/>
      <c r="AM172" s="265"/>
      <c r="AP172" s="137" t="s">
        <v>698</v>
      </c>
    </row>
    <row r="173" spans="2:42" x14ac:dyDescent="0.25">
      <c r="B173" s="5" t="s">
        <v>650</v>
      </c>
      <c r="C173" s="5" t="s">
        <v>1617</v>
      </c>
      <c r="D173" s="271">
        <v>46085</v>
      </c>
      <c r="E173" s="5" t="s">
        <v>1616</v>
      </c>
      <c r="F173" s="265" t="s">
        <v>840</v>
      </c>
      <c r="G173" s="5">
        <v>30</v>
      </c>
      <c r="H173" s="265"/>
      <c r="I173" s="265"/>
      <c r="J173" s="265"/>
      <c r="K173" s="265"/>
      <c r="L173" s="265"/>
      <c r="M173" s="265"/>
      <c r="O173" s="265"/>
      <c r="P173" s="265">
        <v>4.75</v>
      </c>
      <c r="Q173" s="265"/>
      <c r="R173" s="265"/>
      <c r="S173" s="265"/>
      <c r="T173" s="265">
        <v>2.75</v>
      </c>
      <c r="U173" s="265"/>
      <c r="V173" s="265"/>
      <c r="W173" s="265"/>
      <c r="X173" s="265"/>
      <c r="Y173" s="265"/>
      <c r="Z173" s="5">
        <v>12.83</v>
      </c>
      <c r="AA173" s="265"/>
      <c r="AB173" s="265">
        <v>27.95</v>
      </c>
      <c r="AC173" s="5">
        <v>19.95</v>
      </c>
      <c r="AD173" s="265"/>
      <c r="AE173" s="265"/>
      <c r="AF173" s="265">
        <v>35</v>
      </c>
      <c r="AG173" s="265"/>
      <c r="AH173" s="265"/>
      <c r="AI173" s="265"/>
      <c r="AJ173" s="265"/>
      <c r="AK173" s="265"/>
      <c r="AL173" s="265"/>
      <c r="AM173" s="265"/>
      <c r="AP173" s="137" t="s">
        <v>698</v>
      </c>
    </row>
    <row r="174" spans="2:42" x14ac:dyDescent="0.25">
      <c r="B174" s="5" t="s">
        <v>650</v>
      </c>
      <c r="C174" s="5" t="s">
        <v>1617</v>
      </c>
      <c r="D174" s="271">
        <v>46085</v>
      </c>
      <c r="E174" s="5" t="s">
        <v>1616</v>
      </c>
      <c r="F174" s="265" t="s">
        <v>840</v>
      </c>
      <c r="G174" s="5">
        <v>30</v>
      </c>
      <c r="H174" s="265"/>
      <c r="I174" s="265"/>
      <c r="J174" s="265"/>
      <c r="K174" s="265"/>
      <c r="L174" s="265"/>
      <c r="M174" s="265"/>
      <c r="O174" s="265"/>
      <c r="P174" s="265">
        <v>4.75</v>
      </c>
      <c r="Q174" s="265"/>
      <c r="R174" s="265"/>
      <c r="S174" s="265"/>
      <c r="T174" s="265">
        <v>2.75</v>
      </c>
      <c r="U174" s="265"/>
      <c r="V174" s="265"/>
      <c r="W174" s="265"/>
      <c r="X174" s="265"/>
      <c r="Y174" s="265"/>
      <c r="Z174" s="5">
        <v>12.83</v>
      </c>
      <c r="AA174" s="265"/>
      <c r="AB174" s="265">
        <v>27.95</v>
      </c>
      <c r="AC174" s="5">
        <v>19.95</v>
      </c>
      <c r="AD174" s="265"/>
      <c r="AE174" s="265"/>
      <c r="AF174" s="265">
        <v>35</v>
      </c>
      <c r="AG174" s="265"/>
      <c r="AH174" s="265"/>
      <c r="AI174" s="265"/>
      <c r="AJ174" s="265"/>
      <c r="AK174" s="265"/>
      <c r="AL174" s="265"/>
      <c r="AM174" s="265"/>
      <c r="AP174" s="137" t="s">
        <v>698</v>
      </c>
    </row>
    <row r="175" spans="2:42" x14ac:dyDescent="0.25">
      <c r="B175" s="5" t="s">
        <v>650</v>
      </c>
      <c r="C175" s="5" t="s">
        <v>1617</v>
      </c>
      <c r="D175" s="271">
        <v>46085</v>
      </c>
      <c r="E175" s="5" t="s">
        <v>1616</v>
      </c>
      <c r="F175" s="265" t="s">
        <v>840</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698</v>
      </c>
    </row>
    <row r="176" spans="2:42" x14ac:dyDescent="0.25">
      <c r="B176" s="5" t="s">
        <v>650</v>
      </c>
      <c r="C176" s="5" t="s">
        <v>1617</v>
      </c>
      <c r="D176" s="271">
        <v>46085</v>
      </c>
      <c r="E176" s="5" t="s">
        <v>1616</v>
      </c>
      <c r="F176" s="265" t="s">
        <v>840</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698</v>
      </c>
    </row>
    <row r="177" spans="2:42" x14ac:dyDescent="0.25">
      <c r="B177" s="5" t="s">
        <v>650</v>
      </c>
      <c r="C177" s="5" t="s">
        <v>1617</v>
      </c>
      <c r="D177" s="271">
        <v>46085</v>
      </c>
      <c r="E177" s="5" t="s">
        <v>1616</v>
      </c>
      <c r="F177" s="265" t="s">
        <v>840</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698</v>
      </c>
    </row>
    <row r="178" spans="2:42" x14ac:dyDescent="0.25">
      <c r="B178" s="5" t="s">
        <v>650</v>
      </c>
      <c r="C178" s="5" t="s">
        <v>1617</v>
      </c>
      <c r="D178" s="271">
        <v>46085</v>
      </c>
      <c r="E178" s="5" t="s">
        <v>1616</v>
      </c>
      <c r="F178" s="265" t="s">
        <v>840</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698</v>
      </c>
    </row>
    <row r="179" spans="2:42" x14ac:dyDescent="0.25">
      <c r="B179" s="5" t="s">
        <v>650</v>
      </c>
      <c r="C179" s="5" t="s">
        <v>1617</v>
      </c>
      <c r="D179" s="271">
        <v>46085</v>
      </c>
      <c r="E179" s="5" t="s">
        <v>1616</v>
      </c>
      <c r="F179" s="265" t="s">
        <v>840</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698</v>
      </c>
    </row>
    <row r="180" spans="2:42" x14ac:dyDescent="0.25">
      <c r="B180" s="5" t="s">
        <v>650</v>
      </c>
      <c r="C180" s="5" t="s">
        <v>1617</v>
      </c>
      <c r="D180" s="271">
        <v>46085</v>
      </c>
      <c r="E180" s="5" t="s">
        <v>1616</v>
      </c>
      <c r="F180" s="265" t="s">
        <v>840</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698</v>
      </c>
    </row>
    <row r="181" spans="2:42" x14ac:dyDescent="0.25">
      <c r="B181" s="5" t="s">
        <v>650</v>
      </c>
      <c r="C181" s="5" t="s">
        <v>1617</v>
      </c>
      <c r="D181" s="271">
        <v>46085</v>
      </c>
      <c r="E181" s="5" t="s">
        <v>1616</v>
      </c>
      <c r="F181" s="265" t="s">
        <v>840</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698</v>
      </c>
    </row>
    <row r="182" spans="2:42" x14ac:dyDescent="0.25">
      <c r="B182" s="5" t="s">
        <v>650</v>
      </c>
      <c r="C182" s="5" t="s">
        <v>1617</v>
      </c>
      <c r="D182" s="271">
        <v>46085</v>
      </c>
      <c r="E182" s="5" t="s">
        <v>1616</v>
      </c>
      <c r="F182" s="265" t="s">
        <v>840</v>
      </c>
      <c r="G182" s="5">
        <v>30</v>
      </c>
      <c r="H182" s="265"/>
      <c r="I182" s="265"/>
      <c r="J182" s="265"/>
      <c r="K182" s="265"/>
      <c r="L182" s="265"/>
      <c r="M182" s="265"/>
      <c r="O182" s="265"/>
      <c r="P182" s="265">
        <v>4.75</v>
      </c>
      <c r="Q182" s="265"/>
      <c r="R182" s="265"/>
      <c r="S182" s="265"/>
      <c r="T182" s="265">
        <v>2.75</v>
      </c>
      <c r="U182" s="265"/>
      <c r="V182" s="265"/>
      <c r="W182" s="265"/>
      <c r="X182" s="265"/>
      <c r="Y182" s="265"/>
      <c r="Z182" s="5">
        <v>12.83</v>
      </c>
      <c r="AA182" s="265"/>
      <c r="AB182" s="265">
        <v>27.95</v>
      </c>
      <c r="AC182" s="5">
        <v>19.95</v>
      </c>
      <c r="AD182" s="265"/>
      <c r="AE182" s="265"/>
      <c r="AF182" s="265">
        <v>35</v>
      </c>
      <c r="AG182" s="265"/>
      <c r="AH182" s="265"/>
      <c r="AI182" s="265"/>
      <c r="AJ182" s="265"/>
      <c r="AK182" s="265"/>
      <c r="AL182" s="265"/>
      <c r="AM182" s="265"/>
      <c r="AP182" s="137" t="s">
        <v>698</v>
      </c>
    </row>
    <row r="183" spans="2:42" x14ac:dyDescent="0.25">
      <c r="B183" s="5" t="s">
        <v>651</v>
      </c>
      <c r="C183" s="5" t="s">
        <v>1887</v>
      </c>
      <c r="D183" s="271">
        <v>46242</v>
      </c>
      <c r="E183" s="5" t="s">
        <v>1888</v>
      </c>
      <c r="F183" s="265" t="s">
        <v>840</v>
      </c>
      <c r="G183" s="5">
        <v>30</v>
      </c>
      <c r="H183" s="265"/>
      <c r="I183" s="265"/>
      <c r="J183" s="265"/>
      <c r="K183" s="265">
        <v>2.95</v>
      </c>
      <c r="L183" s="265">
        <v>2.95</v>
      </c>
      <c r="M183" s="265"/>
      <c r="O183" s="265"/>
      <c r="P183" s="265">
        <v>6.95</v>
      </c>
      <c r="Q183" s="265"/>
      <c r="R183" s="265"/>
      <c r="S183" s="265"/>
      <c r="T183" s="265"/>
      <c r="U183" s="265"/>
      <c r="V183" s="265"/>
      <c r="W183" s="265"/>
      <c r="X183" s="265"/>
      <c r="Y183" s="265"/>
      <c r="Z183" s="5">
        <v>9.99</v>
      </c>
      <c r="AA183" s="265">
        <v>50</v>
      </c>
      <c r="AB183" s="265"/>
      <c r="AD183" s="265"/>
      <c r="AE183" s="265">
        <v>3</v>
      </c>
      <c r="AF183" s="265"/>
      <c r="AG183" s="265"/>
      <c r="AH183" s="265"/>
      <c r="AI183" s="265"/>
      <c r="AJ183" s="265"/>
      <c r="AK183" s="265"/>
      <c r="AL183" s="265"/>
      <c r="AM183" s="265"/>
      <c r="AP183" s="137" t="s">
        <v>698</v>
      </c>
    </row>
    <row r="184" spans="2:42" x14ac:dyDescent="0.25">
      <c r="B184" s="5" t="s">
        <v>651</v>
      </c>
      <c r="C184" s="5" t="s">
        <v>1889</v>
      </c>
      <c r="D184" s="271">
        <v>46242</v>
      </c>
      <c r="E184" s="5" t="s">
        <v>1888</v>
      </c>
      <c r="F184" s="265" t="s">
        <v>840</v>
      </c>
      <c r="G184" s="5">
        <v>30</v>
      </c>
      <c r="H184" s="265"/>
      <c r="I184" s="265"/>
      <c r="J184" s="265"/>
      <c r="K184" s="265">
        <v>2.95</v>
      </c>
      <c r="L184" s="265">
        <v>2.95</v>
      </c>
      <c r="M184" s="265"/>
      <c r="O184" s="265"/>
      <c r="P184" s="265">
        <v>6.95</v>
      </c>
      <c r="Q184" s="265"/>
      <c r="R184" s="265"/>
      <c r="S184" s="265"/>
      <c r="T184" s="265"/>
      <c r="U184" s="265"/>
      <c r="V184" s="265"/>
      <c r="W184" s="265"/>
      <c r="X184" s="265"/>
      <c r="Y184" s="265"/>
      <c r="Z184" s="5">
        <v>9.99</v>
      </c>
      <c r="AA184" s="265">
        <v>50</v>
      </c>
      <c r="AB184" s="265"/>
      <c r="AD184" s="265"/>
      <c r="AE184" s="265">
        <v>3</v>
      </c>
      <c r="AF184" s="265"/>
      <c r="AG184" s="265"/>
      <c r="AH184" s="265"/>
      <c r="AI184" s="265"/>
      <c r="AJ184" s="265"/>
      <c r="AK184" s="265"/>
      <c r="AL184" s="265"/>
      <c r="AM184" s="265"/>
      <c r="AP184" s="137" t="s">
        <v>698</v>
      </c>
    </row>
    <row r="185" spans="2:42" x14ac:dyDescent="0.25">
      <c r="B185" s="5" t="s">
        <v>651</v>
      </c>
      <c r="C185" s="5" t="s">
        <v>662</v>
      </c>
      <c r="D185" s="271">
        <v>45116</v>
      </c>
      <c r="E185" s="5" t="s">
        <v>877</v>
      </c>
      <c r="F185" s="265" t="s">
        <v>840</v>
      </c>
      <c r="G185" s="5">
        <v>30</v>
      </c>
      <c r="H185" s="265"/>
      <c r="I185" s="265"/>
      <c r="J185" s="265"/>
      <c r="K185" s="265">
        <v>2.95</v>
      </c>
      <c r="L185" s="265">
        <v>2.95</v>
      </c>
      <c r="M185" s="265"/>
      <c r="O185" s="265"/>
      <c r="P185" s="265">
        <v>6.95</v>
      </c>
      <c r="Q185" s="265"/>
      <c r="R185" s="265"/>
      <c r="S185" s="265"/>
      <c r="T185" s="265"/>
      <c r="U185" s="265"/>
      <c r="V185" s="265"/>
      <c r="W185" s="265"/>
      <c r="X185" s="265"/>
      <c r="Y185" s="265"/>
      <c r="Z185" s="5">
        <v>9.99</v>
      </c>
      <c r="AA185" s="265">
        <v>50</v>
      </c>
      <c r="AB185" s="265"/>
      <c r="AD185" s="265"/>
      <c r="AE185" s="265">
        <v>3</v>
      </c>
      <c r="AF185" s="265"/>
      <c r="AG185" s="265"/>
      <c r="AH185" s="265"/>
      <c r="AI185" s="265"/>
      <c r="AJ185" s="265"/>
      <c r="AK185" s="265"/>
      <c r="AL185" s="265"/>
      <c r="AM185" s="265"/>
      <c r="AP185" s="137" t="s">
        <v>698</v>
      </c>
    </row>
    <row r="186" spans="2:42" x14ac:dyDescent="0.25">
      <c r="B186" s="5" t="s">
        <v>651</v>
      </c>
      <c r="C186" s="5" t="s">
        <v>654</v>
      </c>
      <c r="D186" s="271">
        <v>45116</v>
      </c>
      <c r="E186" s="5" t="s">
        <v>877</v>
      </c>
      <c r="F186" s="265" t="s">
        <v>840</v>
      </c>
      <c r="G186" s="5">
        <v>30</v>
      </c>
      <c r="H186" s="265"/>
      <c r="I186" s="265"/>
      <c r="J186" s="265"/>
      <c r="K186" s="265">
        <v>2.95</v>
      </c>
      <c r="L186" s="265">
        <v>2.95</v>
      </c>
      <c r="M186" s="265"/>
      <c r="O186" s="265"/>
      <c r="P186" s="265">
        <v>6.95</v>
      </c>
      <c r="Q186" s="265"/>
      <c r="R186" s="265"/>
      <c r="S186" s="265"/>
      <c r="T186" s="265"/>
      <c r="U186" s="265"/>
      <c r="V186" s="265"/>
      <c r="W186" s="265"/>
      <c r="X186" s="265"/>
      <c r="Y186" s="265"/>
      <c r="Z186" s="5">
        <v>9.99</v>
      </c>
      <c r="AA186" s="265">
        <v>50</v>
      </c>
      <c r="AB186" s="265"/>
      <c r="AD186" s="265"/>
      <c r="AE186" s="265">
        <v>3</v>
      </c>
      <c r="AF186" s="265"/>
      <c r="AG186" s="265"/>
      <c r="AH186" s="265"/>
      <c r="AI186" s="265"/>
      <c r="AJ186" s="265"/>
      <c r="AK186" s="265"/>
      <c r="AL186" s="265"/>
      <c r="AM186" s="265"/>
      <c r="AP186" s="137" t="s">
        <v>698</v>
      </c>
    </row>
    <row r="187" spans="2:42" x14ac:dyDescent="0.25">
      <c r="B187" s="5" t="s">
        <v>651</v>
      </c>
      <c r="C187" s="5" t="s">
        <v>660</v>
      </c>
      <c r="D187" s="271">
        <v>45116</v>
      </c>
      <c r="E187" s="5" t="s">
        <v>877</v>
      </c>
      <c r="F187" s="265" t="s">
        <v>840</v>
      </c>
      <c r="G187" s="5">
        <v>30</v>
      </c>
      <c r="H187" s="265"/>
      <c r="I187" s="265"/>
      <c r="J187" s="265"/>
      <c r="K187" s="265">
        <v>2.95</v>
      </c>
      <c r="L187" s="265">
        <v>2.95</v>
      </c>
      <c r="M187" s="265"/>
      <c r="O187" s="265"/>
      <c r="P187" s="265">
        <v>6.95</v>
      </c>
      <c r="Q187" s="265"/>
      <c r="R187" s="265"/>
      <c r="S187" s="265"/>
      <c r="T187" s="265"/>
      <c r="U187" s="265"/>
      <c r="V187" s="265"/>
      <c r="W187" s="265"/>
      <c r="X187" s="265"/>
      <c r="Y187" s="265"/>
      <c r="Z187" s="5">
        <v>9.99</v>
      </c>
      <c r="AA187" s="265">
        <v>50</v>
      </c>
      <c r="AB187" s="265"/>
      <c r="AD187" s="265"/>
      <c r="AE187" s="265">
        <v>3</v>
      </c>
      <c r="AF187" s="265"/>
      <c r="AG187" s="265"/>
      <c r="AH187" s="265"/>
      <c r="AI187" s="265"/>
      <c r="AJ187" s="265"/>
      <c r="AK187" s="265"/>
      <c r="AL187" s="265"/>
      <c r="AM187" s="265"/>
      <c r="AP187" s="137" t="s">
        <v>698</v>
      </c>
    </row>
    <row r="188" spans="2:42" x14ac:dyDescent="0.25">
      <c r="B188" s="5" t="s">
        <v>651</v>
      </c>
      <c r="C188" s="5" t="s">
        <v>1803</v>
      </c>
      <c r="D188" s="271">
        <v>36892</v>
      </c>
      <c r="E188" s="5" t="s">
        <v>877</v>
      </c>
      <c r="F188" s="265" t="s">
        <v>840</v>
      </c>
      <c r="G188" s="5">
        <v>30</v>
      </c>
      <c r="H188" s="265"/>
      <c r="I188" s="265"/>
      <c r="J188" s="265"/>
      <c r="K188" s="265">
        <v>2.95</v>
      </c>
      <c r="L188" s="265">
        <v>2.95</v>
      </c>
      <c r="M188" s="265"/>
      <c r="O188" s="265"/>
      <c r="P188" s="265">
        <v>6.95</v>
      </c>
      <c r="Q188" s="265"/>
      <c r="R188" s="265"/>
      <c r="S188" s="265"/>
      <c r="T188" s="265"/>
      <c r="U188" s="265"/>
      <c r="V188" s="265"/>
      <c r="W188" s="265"/>
      <c r="X188" s="265"/>
      <c r="Y188" s="265"/>
      <c r="Z188" s="5">
        <v>9.99</v>
      </c>
      <c r="AA188" s="265">
        <v>50</v>
      </c>
      <c r="AB188" s="265"/>
      <c r="AD188" s="265"/>
      <c r="AE188" s="265">
        <v>3</v>
      </c>
      <c r="AF188" s="265"/>
      <c r="AG188" s="265"/>
      <c r="AH188" s="265"/>
      <c r="AI188" s="265"/>
      <c r="AJ188" s="265"/>
      <c r="AK188" s="265"/>
      <c r="AL188" s="265"/>
      <c r="AM188" s="265"/>
      <c r="AP188" s="137" t="s">
        <v>698</v>
      </c>
    </row>
    <row r="189" spans="2:42" x14ac:dyDescent="0.25">
      <c r="B189" s="5" t="s">
        <v>651</v>
      </c>
      <c r="C189" s="5" t="s">
        <v>1804</v>
      </c>
      <c r="D189" s="271">
        <v>36892</v>
      </c>
      <c r="E189" s="5" t="s">
        <v>877</v>
      </c>
      <c r="F189" s="265" t="s">
        <v>840</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698</v>
      </c>
    </row>
    <row r="190" spans="2:42" x14ac:dyDescent="0.25">
      <c r="B190" s="5" t="s">
        <v>651</v>
      </c>
      <c r="C190" s="5" t="s">
        <v>667</v>
      </c>
      <c r="D190" s="271">
        <v>36892</v>
      </c>
      <c r="E190" s="5" t="s">
        <v>877</v>
      </c>
      <c r="F190" s="265" t="s">
        <v>840</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698</v>
      </c>
    </row>
    <row r="191" spans="2:42" x14ac:dyDescent="0.25">
      <c r="B191" s="5" t="s">
        <v>651</v>
      </c>
      <c r="C191" s="5" t="s">
        <v>670</v>
      </c>
      <c r="D191" s="271">
        <v>36892</v>
      </c>
      <c r="E191" s="5" t="s">
        <v>877</v>
      </c>
      <c r="F191" s="265" t="s">
        <v>840</v>
      </c>
      <c r="G191" s="5">
        <v>30</v>
      </c>
      <c r="H191" s="265"/>
      <c r="I191" s="265"/>
      <c r="J191" s="265"/>
      <c r="K191" s="265">
        <v>2.95</v>
      </c>
      <c r="L191" s="265">
        <v>2.95</v>
      </c>
      <c r="M191" s="265"/>
      <c r="O191" s="265"/>
      <c r="P191" s="265">
        <v>6.95</v>
      </c>
      <c r="Q191" s="265"/>
      <c r="R191" s="265"/>
      <c r="S191" s="265"/>
      <c r="T191" s="265"/>
      <c r="U191" s="265"/>
      <c r="V191" s="265"/>
      <c r="W191" s="265"/>
      <c r="X191" s="265"/>
      <c r="Y191" s="265"/>
      <c r="Z191" s="5">
        <v>9.99</v>
      </c>
      <c r="AA191" s="265">
        <v>50</v>
      </c>
      <c r="AB191" s="265"/>
      <c r="AD191" s="265"/>
      <c r="AE191" s="265">
        <v>3</v>
      </c>
      <c r="AF191" s="265"/>
      <c r="AG191" s="265"/>
      <c r="AH191" s="265"/>
      <c r="AI191" s="265"/>
      <c r="AJ191" s="265"/>
      <c r="AK191" s="265"/>
      <c r="AL191" s="265"/>
      <c r="AM191" s="265"/>
      <c r="AP191" s="137" t="s">
        <v>698</v>
      </c>
    </row>
    <row r="192" spans="2:42" x14ac:dyDescent="0.25">
      <c r="B192" s="5" t="s">
        <v>673</v>
      </c>
      <c r="C192" s="5" t="s">
        <v>685</v>
      </c>
      <c r="D192" s="271">
        <v>46081</v>
      </c>
      <c r="E192" s="5" t="s">
        <v>878</v>
      </c>
      <c r="F192" s="265">
        <v>0.05</v>
      </c>
      <c r="G192" s="5">
        <v>25</v>
      </c>
      <c r="H192" s="265"/>
      <c r="I192" s="265"/>
      <c r="J192" s="265"/>
      <c r="K192" s="265"/>
      <c r="L192" s="265"/>
      <c r="M192" s="265"/>
      <c r="O192" s="265"/>
      <c r="P192" s="265"/>
      <c r="Q192" s="265">
        <v>2.5</v>
      </c>
      <c r="R192" s="265"/>
      <c r="S192" s="265"/>
      <c r="T192" s="265">
        <v>2.95</v>
      </c>
      <c r="U192" s="265"/>
      <c r="V192" s="265"/>
      <c r="W192" s="265"/>
      <c r="X192" s="265"/>
      <c r="Y192" s="265"/>
      <c r="Z192" s="5">
        <v>25</v>
      </c>
      <c r="AA192" s="265">
        <v>25</v>
      </c>
      <c r="AB192" s="265"/>
      <c r="AD192" s="265"/>
      <c r="AE192" s="265"/>
      <c r="AF192" s="265"/>
      <c r="AG192" s="265"/>
      <c r="AH192" s="265"/>
      <c r="AI192" s="265"/>
      <c r="AJ192" s="265"/>
      <c r="AK192" s="265"/>
      <c r="AL192" s="265"/>
      <c r="AM192" s="265"/>
      <c r="AP192" s="137" t="s">
        <v>698</v>
      </c>
    </row>
    <row r="193" spans="2:42" x14ac:dyDescent="0.25">
      <c r="B193" s="5" t="s">
        <v>673</v>
      </c>
      <c r="C193" s="5" t="s">
        <v>682</v>
      </c>
      <c r="D193" s="271">
        <v>46081</v>
      </c>
      <c r="E193" s="5" t="s">
        <v>878</v>
      </c>
      <c r="F193" s="265">
        <v>0.05</v>
      </c>
      <c r="G193" s="5">
        <v>25</v>
      </c>
      <c r="H193" s="265"/>
      <c r="I193" s="265"/>
      <c r="J193" s="265"/>
      <c r="K193" s="265"/>
      <c r="L193" s="265"/>
      <c r="M193" s="265"/>
      <c r="O193" s="265"/>
      <c r="P193" s="265"/>
      <c r="Q193" s="265">
        <v>2.5</v>
      </c>
      <c r="R193" s="265"/>
      <c r="S193" s="265"/>
      <c r="T193" s="265">
        <v>2.95</v>
      </c>
      <c r="U193" s="265"/>
      <c r="V193" s="265"/>
      <c r="W193" s="265"/>
      <c r="X193" s="265"/>
      <c r="Y193" s="265"/>
      <c r="Z193" s="5">
        <v>25</v>
      </c>
      <c r="AA193" s="265">
        <v>25</v>
      </c>
      <c r="AB193" s="265"/>
      <c r="AD193" s="265"/>
      <c r="AE193" s="265"/>
      <c r="AF193" s="265"/>
      <c r="AG193" s="265"/>
      <c r="AH193" s="265"/>
      <c r="AI193" s="265"/>
      <c r="AJ193" s="265"/>
      <c r="AK193" s="265"/>
      <c r="AL193" s="265"/>
      <c r="AM193" s="265"/>
      <c r="AP193" s="137" t="s">
        <v>698</v>
      </c>
    </row>
    <row r="194" spans="2:42" x14ac:dyDescent="0.25">
      <c r="B194" s="5" t="s">
        <v>673</v>
      </c>
      <c r="C194" s="5" t="s">
        <v>1996</v>
      </c>
      <c r="D194" s="271">
        <v>45912</v>
      </c>
      <c r="E194" s="5" t="s">
        <v>878</v>
      </c>
      <c r="F194" s="265">
        <v>0.05</v>
      </c>
      <c r="G194" s="5">
        <v>25</v>
      </c>
      <c r="H194" s="265"/>
      <c r="I194" s="265"/>
      <c r="J194" s="265"/>
      <c r="K194" s="265"/>
      <c r="L194" s="265"/>
      <c r="M194" s="265"/>
      <c r="O194" s="265"/>
      <c r="P194" s="265"/>
      <c r="Q194" s="265">
        <v>2.5</v>
      </c>
      <c r="R194" s="265"/>
      <c r="S194" s="265"/>
      <c r="T194" s="265">
        <v>2.95</v>
      </c>
      <c r="U194" s="265"/>
      <c r="V194" s="265"/>
      <c r="W194" s="265"/>
      <c r="X194" s="265"/>
      <c r="Y194" s="265"/>
      <c r="Z194" s="5">
        <v>25</v>
      </c>
      <c r="AA194" s="265">
        <v>25</v>
      </c>
      <c r="AB194" s="265"/>
      <c r="AD194" s="265"/>
      <c r="AE194" s="265"/>
      <c r="AF194" s="265"/>
      <c r="AG194" s="265"/>
      <c r="AH194" s="265"/>
      <c r="AI194" s="265"/>
      <c r="AJ194" s="265"/>
      <c r="AK194" s="265"/>
      <c r="AL194" s="265"/>
      <c r="AM194" s="265"/>
      <c r="AP194" s="137" t="s">
        <v>698</v>
      </c>
    </row>
    <row r="195" spans="2:42" x14ac:dyDescent="0.25">
      <c r="B195" s="5" t="s">
        <v>673</v>
      </c>
      <c r="C195" s="5" t="s">
        <v>1997</v>
      </c>
      <c r="D195" s="271">
        <v>45912</v>
      </c>
      <c r="E195" s="5" t="s">
        <v>878</v>
      </c>
      <c r="F195" s="265">
        <v>0.05</v>
      </c>
      <c r="G195" s="5">
        <v>25</v>
      </c>
      <c r="H195" s="265"/>
      <c r="I195" s="265"/>
      <c r="J195" s="265"/>
      <c r="K195" s="265"/>
      <c r="L195" s="265"/>
      <c r="M195" s="265"/>
      <c r="O195" s="265"/>
      <c r="P195" s="265"/>
      <c r="Q195" s="265">
        <v>2.5</v>
      </c>
      <c r="R195" s="265"/>
      <c r="S195" s="265"/>
      <c r="T195" s="265">
        <v>2.95</v>
      </c>
      <c r="U195" s="265"/>
      <c r="V195" s="265"/>
      <c r="W195" s="265"/>
      <c r="X195" s="265"/>
      <c r="Y195" s="265"/>
      <c r="Z195" s="5">
        <v>25</v>
      </c>
      <c r="AA195" s="265">
        <v>25</v>
      </c>
      <c r="AB195" s="265"/>
      <c r="AD195" s="265"/>
      <c r="AE195" s="265"/>
      <c r="AF195" s="265"/>
      <c r="AG195" s="265"/>
      <c r="AH195" s="265"/>
      <c r="AI195" s="265"/>
      <c r="AJ195" s="265"/>
      <c r="AK195" s="265"/>
      <c r="AL195" s="265"/>
      <c r="AM195" s="265"/>
      <c r="AP195" s="137" t="s">
        <v>698</v>
      </c>
    </row>
    <row r="196" spans="2:42" x14ac:dyDescent="0.25">
      <c r="B196" s="5" t="s">
        <v>673</v>
      </c>
      <c r="C196" s="5" t="s">
        <v>695</v>
      </c>
      <c r="D196" s="271">
        <v>45419</v>
      </c>
      <c r="E196" s="5" t="s">
        <v>879</v>
      </c>
      <c r="F196" s="265" t="s">
        <v>840</v>
      </c>
      <c r="G196" s="5">
        <v>25</v>
      </c>
      <c r="H196" s="265"/>
      <c r="I196" s="265"/>
      <c r="J196" s="265"/>
      <c r="K196" s="265"/>
      <c r="L196" s="265"/>
      <c r="M196" s="265"/>
      <c r="O196" s="265"/>
      <c r="P196" s="265"/>
      <c r="Q196" s="265">
        <v>2.5</v>
      </c>
      <c r="R196" s="265"/>
      <c r="S196" s="265"/>
      <c r="T196" s="265">
        <v>2.95</v>
      </c>
      <c r="U196" s="265"/>
      <c r="V196" s="265"/>
      <c r="W196" s="265"/>
      <c r="X196" s="265"/>
      <c r="Y196" s="265"/>
      <c r="Z196" s="5">
        <v>25</v>
      </c>
      <c r="AA196" s="265">
        <v>25</v>
      </c>
      <c r="AB196" s="265"/>
      <c r="AD196" s="265"/>
      <c r="AE196" s="265"/>
      <c r="AF196" s="265"/>
      <c r="AG196" s="265"/>
      <c r="AH196" s="265"/>
      <c r="AI196" s="265"/>
      <c r="AJ196" s="265"/>
      <c r="AK196" s="265"/>
      <c r="AL196" s="265"/>
      <c r="AM196" s="265"/>
      <c r="AP196" s="137" t="s">
        <v>293</v>
      </c>
    </row>
    <row r="197" spans="2:42" x14ac:dyDescent="0.25">
      <c r="B197" s="5" t="s">
        <v>673</v>
      </c>
      <c r="C197" s="5" t="s">
        <v>693</v>
      </c>
      <c r="D197" s="271">
        <v>45419</v>
      </c>
      <c r="E197" s="5" t="s">
        <v>879</v>
      </c>
      <c r="F197" s="265" t="s">
        <v>840</v>
      </c>
      <c r="G197" s="5">
        <v>25</v>
      </c>
      <c r="H197" s="265"/>
      <c r="I197" s="265"/>
      <c r="J197" s="265"/>
      <c r="K197" s="265"/>
      <c r="L197" s="265"/>
      <c r="M197" s="265"/>
      <c r="O197" s="265"/>
      <c r="P197" s="265"/>
      <c r="Q197" s="265">
        <v>2.5</v>
      </c>
      <c r="R197" s="265"/>
      <c r="S197" s="265"/>
      <c r="T197" s="265">
        <v>2.95</v>
      </c>
      <c r="U197" s="265"/>
      <c r="V197" s="265"/>
      <c r="W197" s="265"/>
      <c r="X197" s="265"/>
      <c r="Y197" s="265"/>
      <c r="Z197" s="5">
        <v>25</v>
      </c>
      <c r="AA197" s="265">
        <v>25</v>
      </c>
      <c r="AB197" s="265"/>
      <c r="AD197" s="265"/>
      <c r="AE197" s="265"/>
      <c r="AF197" s="265"/>
      <c r="AG197" s="265"/>
      <c r="AH197" s="265"/>
      <c r="AI197" s="265"/>
      <c r="AJ197" s="265"/>
      <c r="AK197" s="265"/>
      <c r="AL197" s="265"/>
      <c r="AM197" s="265"/>
      <c r="AP197" s="137" t="s">
        <v>293</v>
      </c>
    </row>
    <row r="198" spans="2:42" x14ac:dyDescent="0.25">
      <c r="B198" s="5" t="s">
        <v>673</v>
      </c>
      <c r="C198" s="5" t="s">
        <v>691</v>
      </c>
      <c r="D198" s="271">
        <v>45419</v>
      </c>
      <c r="E198" s="5" t="s">
        <v>879</v>
      </c>
      <c r="F198" s="265" t="s">
        <v>840</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293</v>
      </c>
    </row>
    <row r="199" spans="2:42" x14ac:dyDescent="0.25">
      <c r="B199" s="5" t="s">
        <v>673</v>
      </c>
      <c r="C199" s="5" t="s">
        <v>688</v>
      </c>
      <c r="D199" s="271">
        <v>45419</v>
      </c>
      <c r="E199" s="5" t="s">
        <v>879</v>
      </c>
      <c r="F199" s="265" t="s">
        <v>840</v>
      </c>
      <c r="G199" s="5">
        <v>25</v>
      </c>
      <c r="H199" s="265"/>
      <c r="I199" s="265"/>
      <c r="J199" s="265"/>
      <c r="K199" s="265"/>
      <c r="L199" s="265"/>
      <c r="M199" s="265"/>
      <c r="O199" s="265"/>
      <c r="P199" s="265"/>
      <c r="Q199" s="265">
        <v>2.5</v>
      </c>
      <c r="R199" s="265"/>
      <c r="S199" s="265"/>
      <c r="T199" s="265">
        <v>2.95</v>
      </c>
      <c r="U199" s="265"/>
      <c r="V199" s="265"/>
      <c r="W199" s="265"/>
      <c r="X199" s="265"/>
      <c r="Y199" s="265"/>
      <c r="Z199" s="5">
        <v>25</v>
      </c>
      <c r="AA199" s="265">
        <v>25</v>
      </c>
      <c r="AB199" s="265"/>
      <c r="AD199" s="265"/>
      <c r="AE199" s="265"/>
      <c r="AF199" s="265"/>
      <c r="AG199" s="265"/>
      <c r="AH199" s="265"/>
      <c r="AI199" s="265"/>
      <c r="AJ199" s="265"/>
      <c r="AK199" s="265"/>
      <c r="AL199" s="265"/>
      <c r="AM199" s="265"/>
      <c r="AP199" s="137" t="s">
        <v>293</v>
      </c>
    </row>
    <row r="200" spans="2:42" x14ac:dyDescent="0.25">
      <c r="B200" s="5" t="s">
        <v>673</v>
      </c>
      <c r="C200" s="5" t="s">
        <v>1998</v>
      </c>
      <c r="D200" s="271">
        <v>45350</v>
      </c>
      <c r="E200" s="5" t="s">
        <v>1999</v>
      </c>
      <c r="F200" s="265" t="s">
        <v>840</v>
      </c>
      <c r="G200" s="5">
        <v>25</v>
      </c>
      <c r="H200" s="265"/>
      <c r="I200" s="265"/>
      <c r="J200" s="265"/>
      <c r="K200" s="265"/>
      <c r="L200" s="265"/>
      <c r="M200" s="265"/>
      <c r="O200" s="265"/>
      <c r="P200" s="265"/>
      <c r="Q200" s="265">
        <v>2.5</v>
      </c>
      <c r="R200" s="265"/>
      <c r="S200" s="265"/>
      <c r="T200" s="265">
        <v>2.95</v>
      </c>
      <c r="U200" s="265"/>
      <c r="V200" s="265"/>
      <c r="W200" s="265"/>
      <c r="X200" s="265"/>
      <c r="Y200" s="265"/>
      <c r="Z200" s="5">
        <v>22</v>
      </c>
      <c r="AA200" s="265">
        <v>25</v>
      </c>
      <c r="AB200" s="265"/>
      <c r="AD200" s="265"/>
      <c r="AE200" s="265"/>
      <c r="AF200" s="265"/>
      <c r="AG200" s="265"/>
      <c r="AH200" s="265"/>
      <c r="AI200" s="265"/>
      <c r="AJ200" s="265"/>
      <c r="AK200" s="265"/>
      <c r="AL200" s="265"/>
      <c r="AM200" s="265"/>
      <c r="AP200" s="137" t="s">
        <v>293</v>
      </c>
    </row>
    <row r="201" spans="2:42" x14ac:dyDescent="0.25">
      <c r="B201" s="5" t="s">
        <v>673</v>
      </c>
      <c r="C201" s="5" t="s">
        <v>2000</v>
      </c>
      <c r="D201" s="271">
        <v>45350</v>
      </c>
      <c r="E201" s="5" t="s">
        <v>1999</v>
      </c>
      <c r="F201" s="265" t="s">
        <v>840</v>
      </c>
      <c r="G201" s="5">
        <v>25</v>
      </c>
      <c r="H201" s="265"/>
      <c r="I201" s="265"/>
      <c r="J201" s="265"/>
      <c r="K201" s="265"/>
      <c r="L201" s="265"/>
      <c r="M201" s="265"/>
      <c r="O201" s="265"/>
      <c r="P201" s="265"/>
      <c r="Q201" s="265">
        <v>2.5</v>
      </c>
      <c r="R201" s="265"/>
      <c r="S201" s="265"/>
      <c r="T201" s="265">
        <v>2.95</v>
      </c>
      <c r="U201" s="265"/>
      <c r="V201" s="265"/>
      <c r="W201" s="265"/>
      <c r="X201" s="265"/>
      <c r="Y201" s="265"/>
      <c r="Z201" s="5">
        <v>22</v>
      </c>
      <c r="AA201" s="265">
        <v>25</v>
      </c>
      <c r="AB201" s="265"/>
      <c r="AD201" s="265"/>
      <c r="AE201" s="265"/>
      <c r="AF201" s="265"/>
      <c r="AG201" s="265"/>
      <c r="AH201" s="265"/>
      <c r="AI201" s="265"/>
      <c r="AJ201" s="265"/>
      <c r="AK201" s="265"/>
      <c r="AL201" s="265"/>
      <c r="AM201" s="265"/>
      <c r="AP201" s="137" t="s">
        <v>293</v>
      </c>
    </row>
    <row r="202" spans="2:42" x14ac:dyDescent="0.25">
      <c r="B202" s="5" t="s">
        <v>697</v>
      </c>
      <c r="C202" s="5" t="s">
        <v>1665</v>
      </c>
      <c r="D202" s="271">
        <v>46003</v>
      </c>
      <c r="E202" s="5" t="s">
        <v>1664</v>
      </c>
      <c r="F202" s="265">
        <v>0.05</v>
      </c>
      <c r="G202" s="5">
        <v>30</v>
      </c>
      <c r="H202" s="265"/>
      <c r="I202" s="265"/>
      <c r="J202" s="265"/>
      <c r="K202" s="265">
        <v>3</v>
      </c>
      <c r="L202" s="265">
        <v>3</v>
      </c>
      <c r="M202" s="265"/>
      <c r="O202" s="265"/>
      <c r="P202" s="265">
        <v>7</v>
      </c>
      <c r="Q202" s="265"/>
      <c r="R202" s="265"/>
      <c r="S202" s="265"/>
      <c r="T202" s="265"/>
      <c r="U202" s="265"/>
      <c r="V202" s="265"/>
      <c r="W202" s="265"/>
      <c r="X202" s="265"/>
      <c r="Y202" s="265"/>
      <c r="Z202" s="5">
        <v>9.99</v>
      </c>
      <c r="AA202" s="265">
        <v>50</v>
      </c>
      <c r="AB202" s="265"/>
      <c r="AD202" s="265"/>
      <c r="AE202" s="265">
        <v>3</v>
      </c>
      <c r="AF202" s="265"/>
      <c r="AG202" s="265"/>
      <c r="AH202" s="265"/>
      <c r="AI202" s="265"/>
      <c r="AJ202" s="265"/>
      <c r="AK202" s="265"/>
      <c r="AL202" s="265"/>
      <c r="AM202" s="265"/>
      <c r="AP202" s="137" t="s">
        <v>698</v>
      </c>
    </row>
    <row r="203" spans="2:42" x14ac:dyDescent="0.25">
      <c r="B203" s="5" t="s">
        <v>697</v>
      </c>
      <c r="C203" s="5" t="s">
        <v>1666</v>
      </c>
      <c r="D203" s="271">
        <v>46003</v>
      </c>
      <c r="E203" s="5" t="s">
        <v>1664</v>
      </c>
      <c r="F203" s="265">
        <v>0.05</v>
      </c>
      <c r="G203" s="5">
        <v>30</v>
      </c>
      <c r="H203" s="265"/>
      <c r="I203" s="265"/>
      <c r="J203" s="265"/>
      <c r="K203" s="265">
        <v>3</v>
      </c>
      <c r="L203" s="265">
        <v>3</v>
      </c>
      <c r="M203" s="265"/>
      <c r="O203" s="265"/>
      <c r="P203" s="265">
        <v>7</v>
      </c>
      <c r="Q203" s="265"/>
      <c r="R203" s="265"/>
      <c r="S203" s="265"/>
      <c r="T203" s="265"/>
      <c r="U203" s="265"/>
      <c r="V203" s="265"/>
      <c r="W203" s="265"/>
      <c r="X203" s="265"/>
      <c r="Y203" s="265"/>
      <c r="Z203" s="5">
        <v>9.99</v>
      </c>
      <c r="AA203" s="265">
        <v>50</v>
      </c>
      <c r="AB203" s="265"/>
      <c r="AD203" s="265"/>
      <c r="AE203" s="265">
        <v>3</v>
      </c>
      <c r="AF203" s="265"/>
      <c r="AG203" s="265"/>
      <c r="AH203" s="265"/>
      <c r="AI203" s="265"/>
      <c r="AJ203" s="265"/>
      <c r="AK203" s="265"/>
      <c r="AL203" s="265"/>
      <c r="AM203" s="265"/>
      <c r="AP203" s="137" t="s">
        <v>698</v>
      </c>
    </row>
    <row r="204" spans="2:42" x14ac:dyDescent="0.25">
      <c r="B204" s="5" t="s">
        <v>697</v>
      </c>
      <c r="C204" s="5" t="s">
        <v>1667</v>
      </c>
      <c r="D204" s="271">
        <v>46002</v>
      </c>
      <c r="E204" s="5" t="s">
        <v>1668</v>
      </c>
      <c r="F204" s="265">
        <v>0.05</v>
      </c>
      <c r="G204" s="5">
        <v>30</v>
      </c>
      <c r="H204" s="265"/>
      <c r="I204" s="265"/>
      <c r="J204" s="265"/>
      <c r="K204" s="265">
        <v>3</v>
      </c>
      <c r="L204" s="265">
        <v>3</v>
      </c>
      <c r="M204" s="265"/>
      <c r="O204" s="265"/>
      <c r="P204" s="265">
        <v>7</v>
      </c>
      <c r="Q204" s="265"/>
      <c r="R204" s="265"/>
      <c r="S204" s="265"/>
      <c r="T204" s="265"/>
      <c r="U204" s="265"/>
      <c r="V204" s="265"/>
      <c r="W204" s="265"/>
      <c r="X204" s="265"/>
      <c r="Y204" s="265"/>
      <c r="Z204" s="5">
        <v>9.99</v>
      </c>
      <c r="AA204" s="265">
        <v>50</v>
      </c>
      <c r="AB204" s="265"/>
      <c r="AD204" s="265"/>
      <c r="AE204" s="265">
        <v>3</v>
      </c>
      <c r="AF204" s="265"/>
      <c r="AG204" s="265"/>
      <c r="AH204" s="265"/>
      <c r="AI204" s="265"/>
      <c r="AJ204" s="265"/>
      <c r="AK204" s="265"/>
      <c r="AL204" s="265"/>
      <c r="AM204" s="265"/>
      <c r="AP204" s="137" t="s">
        <v>698</v>
      </c>
    </row>
    <row r="205" spans="2:42" x14ac:dyDescent="0.25">
      <c r="B205" s="5" t="s">
        <v>697</v>
      </c>
      <c r="C205" s="5" t="s">
        <v>1669</v>
      </c>
      <c r="D205" s="271">
        <v>46002</v>
      </c>
      <c r="E205" s="5" t="s">
        <v>1668</v>
      </c>
      <c r="F205" s="265">
        <v>0.05</v>
      </c>
      <c r="G205" s="5">
        <v>30</v>
      </c>
      <c r="H205" s="265"/>
      <c r="I205" s="265"/>
      <c r="J205" s="265"/>
      <c r="K205" s="265">
        <v>3</v>
      </c>
      <c r="L205" s="265">
        <v>3</v>
      </c>
      <c r="M205" s="265"/>
      <c r="O205" s="265"/>
      <c r="P205" s="265">
        <v>7</v>
      </c>
      <c r="Q205" s="265"/>
      <c r="R205" s="265"/>
      <c r="S205" s="265"/>
      <c r="T205" s="265"/>
      <c r="U205" s="265"/>
      <c r="V205" s="265"/>
      <c r="W205" s="265"/>
      <c r="X205" s="265"/>
      <c r="Y205" s="265"/>
      <c r="Z205" s="5">
        <v>9.99</v>
      </c>
      <c r="AA205" s="265">
        <v>50</v>
      </c>
      <c r="AB205" s="265"/>
      <c r="AD205" s="265"/>
      <c r="AE205" s="265">
        <v>3</v>
      </c>
      <c r="AF205" s="265"/>
      <c r="AG205" s="265"/>
      <c r="AH205" s="265"/>
      <c r="AI205" s="265"/>
      <c r="AJ205" s="265"/>
      <c r="AK205" s="265"/>
      <c r="AL205" s="265"/>
      <c r="AM205" s="265"/>
      <c r="AP205" s="137" t="s">
        <v>698</v>
      </c>
    </row>
    <row r="206" spans="2:42" x14ac:dyDescent="0.25">
      <c r="B206" s="5" t="s">
        <v>697</v>
      </c>
      <c r="C206" s="5" t="s">
        <v>1670</v>
      </c>
      <c r="D206" s="271">
        <v>45996</v>
      </c>
      <c r="E206" s="5" t="s">
        <v>1668</v>
      </c>
      <c r="F206" s="265">
        <v>0.05</v>
      </c>
      <c r="G206" s="5">
        <v>30</v>
      </c>
      <c r="H206" s="265"/>
      <c r="I206" s="265"/>
      <c r="J206" s="265"/>
      <c r="K206" s="265">
        <v>3</v>
      </c>
      <c r="L206" s="265">
        <v>3</v>
      </c>
      <c r="M206" s="265"/>
      <c r="O206" s="265"/>
      <c r="P206" s="265">
        <v>7</v>
      </c>
      <c r="Q206" s="265"/>
      <c r="R206" s="265"/>
      <c r="S206" s="265"/>
      <c r="T206" s="265"/>
      <c r="U206" s="265"/>
      <c r="V206" s="265"/>
      <c r="W206" s="265"/>
      <c r="X206" s="265"/>
      <c r="Y206" s="265"/>
      <c r="Z206" s="5">
        <v>9.99</v>
      </c>
      <c r="AA206" s="265">
        <v>50</v>
      </c>
      <c r="AB206" s="265"/>
      <c r="AD206" s="265"/>
      <c r="AE206" s="265">
        <v>3</v>
      </c>
      <c r="AF206" s="265"/>
      <c r="AG206" s="265"/>
      <c r="AH206" s="265"/>
      <c r="AI206" s="265"/>
      <c r="AJ206" s="265"/>
      <c r="AK206" s="265"/>
      <c r="AL206" s="265"/>
      <c r="AM206" s="265"/>
      <c r="AP206" s="137" t="s">
        <v>698</v>
      </c>
    </row>
    <row r="207" spans="2:42" x14ac:dyDescent="0.25">
      <c r="B207" s="5" t="s">
        <v>697</v>
      </c>
      <c r="C207" s="5" t="s">
        <v>1671</v>
      </c>
      <c r="D207" s="271">
        <v>45996</v>
      </c>
      <c r="E207" s="5" t="s">
        <v>1668</v>
      </c>
      <c r="F207" s="265">
        <v>0.05</v>
      </c>
      <c r="G207" s="5">
        <v>30</v>
      </c>
      <c r="H207" s="265"/>
      <c r="I207" s="265"/>
      <c r="J207" s="265"/>
      <c r="K207" s="265">
        <v>3</v>
      </c>
      <c r="L207" s="265">
        <v>3</v>
      </c>
      <c r="M207" s="265"/>
      <c r="O207" s="265"/>
      <c r="P207" s="265">
        <v>7</v>
      </c>
      <c r="Q207" s="265"/>
      <c r="R207" s="265"/>
      <c r="S207" s="265"/>
      <c r="T207" s="265"/>
      <c r="U207" s="265"/>
      <c r="V207" s="265"/>
      <c r="W207" s="265"/>
      <c r="X207" s="265"/>
      <c r="Y207" s="265"/>
      <c r="Z207" s="5">
        <v>9.99</v>
      </c>
      <c r="AA207" s="265">
        <v>50</v>
      </c>
      <c r="AB207" s="265"/>
      <c r="AD207" s="265"/>
      <c r="AE207" s="265">
        <v>3</v>
      </c>
      <c r="AF207" s="265"/>
      <c r="AG207" s="265"/>
      <c r="AH207" s="265"/>
      <c r="AI207" s="265"/>
      <c r="AJ207" s="265"/>
      <c r="AK207" s="265"/>
      <c r="AL207" s="265"/>
      <c r="AM207" s="265"/>
      <c r="AP207" s="137" t="s">
        <v>698</v>
      </c>
    </row>
    <row r="208" spans="2:42" x14ac:dyDescent="0.25">
      <c r="B208" s="5" t="s">
        <v>699</v>
      </c>
      <c r="C208" s="5" t="s">
        <v>703</v>
      </c>
      <c r="D208" s="271">
        <v>45607</v>
      </c>
      <c r="E208" s="5" t="s">
        <v>880</v>
      </c>
      <c r="F208" s="265">
        <v>0.05</v>
      </c>
      <c r="G208" s="5">
        <v>25</v>
      </c>
      <c r="H208" s="265"/>
      <c r="I208" s="265"/>
      <c r="J208" s="265"/>
      <c r="K208" s="265"/>
      <c r="L208" s="265"/>
      <c r="M208" s="265"/>
      <c r="O208" s="265"/>
      <c r="P208" s="265"/>
      <c r="Q208" s="265"/>
      <c r="R208" s="265"/>
      <c r="S208" s="265"/>
      <c r="T208" s="265"/>
      <c r="U208" s="265"/>
      <c r="V208" s="265"/>
      <c r="W208" s="265"/>
      <c r="X208" s="265"/>
      <c r="Y208" s="265"/>
      <c r="Z208" s="5">
        <v>10</v>
      </c>
      <c r="AA208" s="265">
        <v>35</v>
      </c>
      <c r="AB208" s="265"/>
      <c r="AC208" s="5">
        <v>35</v>
      </c>
      <c r="AD208" s="265"/>
      <c r="AE208" s="265"/>
      <c r="AF208" s="265"/>
      <c r="AG208" s="265"/>
      <c r="AH208" s="265"/>
      <c r="AI208" s="265"/>
      <c r="AJ208" s="265"/>
      <c r="AK208" s="265"/>
      <c r="AL208" s="265"/>
      <c r="AM208" s="265"/>
      <c r="AP208" s="137" t="s">
        <v>698</v>
      </c>
    </row>
    <row r="209" spans="2:42" x14ac:dyDescent="0.25">
      <c r="B209" s="5" t="s">
        <v>720</v>
      </c>
      <c r="C209" s="5" t="s">
        <v>750</v>
      </c>
      <c r="D209" s="271">
        <v>45612</v>
      </c>
      <c r="E209" s="5" t="s">
        <v>881</v>
      </c>
      <c r="F209" s="265" t="s">
        <v>840</v>
      </c>
      <c r="G209" s="5">
        <v>30</v>
      </c>
      <c r="H209" s="265"/>
      <c r="I209" s="265"/>
      <c r="J209" s="265"/>
      <c r="K209" s="265"/>
      <c r="L209" s="265"/>
      <c r="M209" s="265"/>
      <c r="O209" s="265">
        <v>4.95</v>
      </c>
      <c r="P209" s="265">
        <v>3.95</v>
      </c>
      <c r="Q209" s="265"/>
      <c r="R209" s="265"/>
      <c r="S209" s="265">
        <v>2</v>
      </c>
      <c r="T209" s="265">
        <v>2</v>
      </c>
      <c r="U209" s="265"/>
      <c r="V209" s="265"/>
      <c r="W209" s="265"/>
      <c r="X209" s="265"/>
      <c r="Y209" s="265"/>
      <c r="Z209" s="5">
        <v>20</v>
      </c>
      <c r="AA209" s="265">
        <v>20</v>
      </c>
      <c r="AB209" s="265"/>
      <c r="AC209" s="5">
        <v>30</v>
      </c>
      <c r="AD209" s="265"/>
      <c r="AE209" s="265"/>
      <c r="AF209" s="265"/>
      <c r="AG209" s="265"/>
      <c r="AH209" s="265"/>
      <c r="AI209" s="265"/>
      <c r="AJ209" s="265"/>
      <c r="AK209" s="265"/>
      <c r="AL209" s="265"/>
      <c r="AM209" s="265"/>
      <c r="AP209" s="137" t="s">
        <v>698</v>
      </c>
    </row>
    <row r="210" spans="2:42" x14ac:dyDescent="0.25">
      <c r="B210" s="5" t="s">
        <v>720</v>
      </c>
      <c r="C210" s="5" t="s">
        <v>753</v>
      </c>
      <c r="D210" s="271">
        <v>45612</v>
      </c>
      <c r="E210" s="5" t="s">
        <v>881</v>
      </c>
      <c r="F210" s="265" t="s">
        <v>840</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698</v>
      </c>
    </row>
    <row r="211" spans="2:42" x14ac:dyDescent="0.25">
      <c r="B211" s="5" t="s">
        <v>720</v>
      </c>
      <c r="C211" s="5" t="s">
        <v>746</v>
      </c>
      <c r="D211" s="271">
        <v>45579</v>
      </c>
      <c r="E211" s="5" t="s">
        <v>881</v>
      </c>
      <c r="F211" s="265" t="s">
        <v>840</v>
      </c>
      <c r="G211" s="5">
        <v>30</v>
      </c>
      <c r="H211" s="265"/>
      <c r="I211" s="265"/>
      <c r="J211" s="265"/>
      <c r="K211" s="265"/>
      <c r="L211" s="265"/>
      <c r="M211" s="265"/>
      <c r="O211" s="265">
        <v>4.95</v>
      </c>
      <c r="P211" s="265">
        <v>3.95</v>
      </c>
      <c r="Q211" s="265"/>
      <c r="R211" s="265"/>
      <c r="S211" s="265">
        <v>2</v>
      </c>
      <c r="T211" s="265">
        <v>2</v>
      </c>
      <c r="U211" s="265"/>
      <c r="V211" s="265"/>
      <c r="W211" s="265"/>
      <c r="X211" s="265"/>
      <c r="Y211" s="265"/>
      <c r="Z211" s="5">
        <v>20</v>
      </c>
      <c r="AA211" s="265">
        <v>20</v>
      </c>
      <c r="AB211" s="265"/>
      <c r="AC211" s="5">
        <v>30</v>
      </c>
      <c r="AD211" s="265"/>
      <c r="AE211" s="265"/>
      <c r="AF211" s="265"/>
      <c r="AG211" s="265"/>
      <c r="AH211" s="265"/>
      <c r="AI211" s="265"/>
      <c r="AJ211" s="265"/>
      <c r="AK211" s="265"/>
      <c r="AL211" s="265"/>
      <c r="AM211" s="265"/>
      <c r="AP211" s="137" t="s">
        <v>698</v>
      </c>
    </row>
    <row r="212" spans="2:42" x14ac:dyDescent="0.25">
      <c r="B212" s="5" t="s">
        <v>720</v>
      </c>
      <c r="C212" s="5" t="s">
        <v>739</v>
      </c>
      <c r="D212" s="271">
        <v>45579</v>
      </c>
      <c r="E212" s="5" t="s">
        <v>881</v>
      </c>
      <c r="F212" s="265" t="s">
        <v>840</v>
      </c>
      <c r="G212" s="5">
        <v>30</v>
      </c>
      <c r="H212" s="265"/>
      <c r="I212" s="265"/>
      <c r="J212" s="265"/>
      <c r="K212" s="265"/>
      <c r="L212" s="265"/>
      <c r="M212" s="265"/>
      <c r="O212" s="265">
        <v>4.95</v>
      </c>
      <c r="P212" s="265">
        <v>3.95</v>
      </c>
      <c r="Q212" s="265"/>
      <c r="R212" s="265"/>
      <c r="S212" s="265">
        <v>2</v>
      </c>
      <c r="T212" s="265">
        <v>2</v>
      </c>
      <c r="U212" s="265"/>
      <c r="V212" s="265"/>
      <c r="W212" s="265"/>
      <c r="X212" s="265"/>
      <c r="Y212" s="265"/>
      <c r="Z212" s="5">
        <v>20</v>
      </c>
      <c r="AA212" s="265">
        <v>20</v>
      </c>
      <c r="AB212" s="265"/>
      <c r="AC212" s="5">
        <v>30</v>
      </c>
      <c r="AD212" s="265"/>
      <c r="AE212" s="265"/>
      <c r="AF212" s="265"/>
      <c r="AG212" s="265"/>
      <c r="AH212" s="265"/>
      <c r="AI212" s="265"/>
      <c r="AJ212" s="265"/>
      <c r="AK212" s="265"/>
      <c r="AL212" s="265"/>
      <c r="AM212" s="265"/>
      <c r="AP212" s="137" t="s">
        <v>698</v>
      </c>
    </row>
    <row r="213" spans="2:42" x14ac:dyDescent="0.25">
      <c r="B213" s="5" t="s">
        <v>720</v>
      </c>
      <c r="C213" s="5" t="s">
        <v>732</v>
      </c>
      <c r="D213" s="271">
        <v>45579</v>
      </c>
      <c r="E213" s="5" t="s">
        <v>881</v>
      </c>
      <c r="F213" s="265" t="s">
        <v>840</v>
      </c>
      <c r="G213" s="5">
        <v>30</v>
      </c>
      <c r="H213" s="265"/>
      <c r="I213" s="265"/>
      <c r="J213" s="265"/>
      <c r="K213" s="265"/>
      <c r="L213" s="265"/>
      <c r="M213" s="265"/>
      <c r="O213" s="265">
        <v>4.95</v>
      </c>
      <c r="P213" s="265">
        <v>3.95</v>
      </c>
      <c r="Q213" s="265"/>
      <c r="R213" s="265"/>
      <c r="S213" s="265">
        <v>2</v>
      </c>
      <c r="T213" s="265">
        <v>2</v>
      </c>
      <c r="U213" s="265"/>
      <c r="V213" s="265"/>
      <c r="W213" s="265"/>
      <c r="X213" s="265"/>
      <c r="Y213" s="265"/>
      <c r="Z213" s="5">
        <v>20</v>
      </c>
      <c r="AA213" s="265">
        <v>20</v>
      </c>
      <c r="AB213" s="265"/>
      <c r="AC213" s="5">
        <v>30</v>
      </c>
      <c r="AD213" s="265"/>
      <c r="AE213" s="265"/>
      <c r="AF213" s="265"/>
      <c r="AG213" s="265"/>
      <c r="AH213" s="265"/>
      <c r="AI213" s="265"/>
      <c r="AJ213" s="265"/>
      <c r="AK213" s="265"/>
      <c r="AL213" s="265"/>
      <c r="AM213" s="265"/>
      <c r="AP213" s="137" t="s">
        <v>698</v>
      </c>
    </row>
    <row r="214" spans="2:42" x14ac:dyDescent="0.25">
      <c r="B214" s="5" t="s">
        <v>720</v>
      </c>
      <c r="C214" s="5" t="s">
        <v>743</v>
      </c>
      <c r="D214" s="271">
        <v>45579</v>
      </c>
      <c r="E214" s="5" t="s">
        <v>881</v>
      </c>
      <c r="F214" s="265" t="s">
        <v>840</v>
      </c>
      <c r="G214" s="5">
        <v>30</v>
      </c>
      <c r="H214" s="265"/>
      <c r="I214" s="265"/>
      <c r="J214" s="265"/>
      <c r="K214" s="265"/>
      <c r="L214" s="265"/>
      <c r="M214" s="265"/>
      <c r="O214" s="265">
        <v>4.95</v>
      </c>
      <c r="P214" s="265">
        <v>3.95</v>
      </c>
      <c r="Q214" s="265"/>
      <c r="R214" s="265"/>
      <c r="S214" s="265">
        <v>2</v>
      </c>
      <c r="T214" s="265">
        <v>2</v>
      </c>
      <c r="U214" s="265"/>
      <c r="V214" s="265"/>
      <c r="W214" s="265"/>
      <c r="X214" s="265"/>
      <c r="Y214" s="265"/>
      <c r="Z214" s="5">
        <v>20</v>
      </c>
      <c r="AA214" s="265">
        <v>20</v>
      </c>
      <c r="AB214" s="265"/>
      <c r="AC214" s="5">
        <v>30</v>
      </c>
      <c r="AD214" s="265"/>
      <c r="AE214" s="265"/>
      <c r="AF214" s="265"/>
      <c r="AG214" s="265"/>
      <c r="AH214" s="265"/>
      <c r="AI214" s="265"/>
      <c r="AJ214" s="265"/>
      <c r="AK214" s="265"/>
      <c r="AL214" s="265"/>
      <c r="AM214" s="265"/>
      <c r="AP214" s="137" t="s">
        <v>698</v>
      </c>
    </row>
    <row r="215" spans="2:42" x14ac:dyDescent="0.25">
      <c r="B215" s="5" t="s">
        <v>720</v>
      </c>
      <c r="C215" s="5" t="s">
        <v>736</v>
      </c>
      <c r="D215" s="271">
        <v>45579</v>
      </c>
      <c r="E215" s="5" t="s">
        <v>881</v>
      </c>
      <c r="F215" s="265" t="s">
        <v>840</v>
      </c>
      <c r="G215" s="5">
        <v>30</v>
      </c>
      <c r="H215" s="265"/>
      <c r="I215" s="265"/>
      <c r="J215" s="265"/>
      <c r="K215" s="265"/>
      <c r="L215" s="265"/>
      <c r="M215" s="265"/>
      <c r="O215" s="265">
        <v>4.95</v>
      </c>
      <c r="P215" s="265">
        <v>3.95</v>
      </c>
      <c r="Q215" s="265"/>
      <c r="R215" s="265"/>
      <c r="S215" s="265">
        <v>2</v>
      </c>
      <c r="T215" s="265">
        <v>2</v>
      </c>
      <c r="U215" s="265"/>
      <c r="V215" s="265"/>
      <c r="W215" s="265"/>
      <c r="X215" s="265"/>
      <c r="Y215" s="265"/>
      <c r="Z215" s="5">
        <v>20</v>
      </c>
      <c r="AA215" s="265">
        <v>20</v>
      </c>
      <c r="AB215" s="265"/>
      <c r="AC215" s="5">
        <v>30</v>
      </c>
      <c r="AD215" s="265"/>
      <c r="AE215" s="265"/>
      <c r="AF215" s="265"/>
      <c r="AG215" s="265"/>
      <c r="AH215" s="265"/>
      <c r="AI215" s="265"/>
      <c r="AJ215" s="265"/>
      <c r="AK215" s="265"/>
      <c r="AL215" s="265"/>
      <c r="AM215" s="265"/>
      <c r="AP215" s="137" t="s">
        <v>698</v>
      </c>
    </row>
    <row r="216" spans="2:42" x14ac:dyDescent="0.25">
      <c r="B216" s="5" t="s">
        <v>720</v>
      </c>
      <c r="C216" s="5" t="s">
        <v>726</v>
      </c>
      <c r="D216" s="271">
        <v>45579</v>
      </c>
      <c r="E216" s="5" t="s">
        <v>881</v>
      </c>
      <c r="F216" s="265" t="s">
        <v>840</v>
      </c>
      <c r="G216" s="5">
        <v>30</v>
      </c>
      <c r="H216" s="265"/>
      <c r="I216" s="265"/>
      <c r="J216" s="265"/>
      <c r="K216" s="265"/>
      <c r="L216" s="265"/>
      <c r="M216" s="265"/>
      <c r="O216" s="265">
        <v>4.95</v>
      </c>
      <c r="P216" s="265">
        <v>3.95</v>
      </c>
      <c r="Q216" s="265"/>
      <c r="R216" s="265"/>
      <c r="S216" s="265">
        <v>2</v>
      </c>
      <c r="T216" s="265">
        <v>2</v>
      </c>
      <c r="U216" s="265"/>
      <c r="V216" s="265"/>
      <c r="W216" s="265"/>
      <c r="X216" s="265"/>
      <c r="Y216" s="265"/>
      <c r="Z216" s="5">
        <v>20</v>
      </c>
      <c r="AA216" s="265">
        <v>20</v>
      </c>
      <c r="AB216" s="265"/>
      <c r="AC216" s="5">
        <v>30</v>
      </c>
      <c r="AD216" s="265"/>
      <c r="AE216" s="265"/>
      <c r="AF216" s="265"/>
      <c r="AG216" s="265"/>
      <c r="AH216" s="265"/>
      <c r="AI216" s="265"/>
      <c r="AJ216" s="265"/>
      <c r="AK216" s="265"/>
      <c r="AL216" s="265"/>
      <c r="AM216" s="265"/>
      <c r="AP216" s="137" t="s">
        <v>698</v>
      </c>
    </row>
    <row r="217" spans="2:42" x14ac:dyDescent="0.25">
      <c r="B217" s="5" t="s">
        <v>756</v>
      </c>
      <c r="C217" s="5" t="s">
        <v>1631</v>
      </c>
      <c r="D217" s="271">
        <v>46187</v>
      </c>
      <c r="E217" s="5" t="s">
        <v>1632</v>
      </c>
      <c r="F217" s="265" t="s">
        <v>840</v>
      </c>
      <c r="G217" s="5">
        <v>30</v>
      </c>
      <c r="H217" s="265"/>
      <c r="I217" s="265" t="s">
        <v>1633</v>
      </c>
      <c r="J217" s="265" t="s">
        <v>1633</v>
      </c>
      <c r="K217" s="265" t="s">
        <v>1633</v>
      </c>
      <c r="L217" s="265"/>
      <c r="M217" s="265" t="s">
        <v>1633</v>
      </c>
      <c r="O217" s="265"/>
      <c r="P217" s="265"/>
      <c r="Q217" s="265"/>
      <c r="R217" s="265"/>
      <c r="S217" s="265"/>
      <c r="T217" s="265"/>
      <c r="U217" s="265"/>
      <c r="V217" s="265"/>
      <c r="W217" s="265"/>
      <c r="X217" s="265"/>
      <c r="Y217" s="265"/>
      <c r="Z217" s="5">
        <v>20</v>
      </c>
      <c r="AA217" s="265">
        <v>30</v>
      </c>
      <c r="AB217" s="265"/>
      <c r="AC217" s="5">
        <v>30</v>
      </c>
      <c r="AD217" s="265"/>
      <c r="AE217" s="265"/>
      <c r="AF217" s="265"/>
      <c r="AG217" s="265"/>
      <c r="AH217" s="265"/>
      <c r="AI217" s="265"/>
      <c r="AJ217" s="265"/>
      <c r="AK217" s="265"/>
      <c r="AL217" s="265"/>
      <c r="AM217" s="265"/>
      <c r="AP217" s="137" t="s">
        <v>698</v>
      </c>
    </row>
    <row r="218" spans="2:42" x14ac:dyDescent="0.25">
      <c r="B218" s="5" t="s">
        <v>757</v>
      </c>
      <c r="C218" s="5" t="s">
        <v>758</v>
      </c>
      <c r="D218" s="271">
        <v>45208</v>
      </c>
      <c r="E218" s="5" t="s">
        <v>882</v>
      </c>
      <c r="F218" s="265" t="s">
        <v>840</v>
      </c>
      <c r="G218" s="5">
        <v>30</v>
      </c>
      <c r="H218" s="265"/>
      <c r="I218" s="265"/>
      <c r="J218" s="265"/>
      <c r="K218" s="265"/>
      <c r="L218" s="265"/>
      <c r="M218" s="265"/>
      <c r="O218" s="265">
        <v>4.95</v>
      </c>
      <c r="P218" s="265">
        <v>3.95</v>
      </c>
      <c r="Q218" s="265"/>
      <c r="R218" s="265"/>
      <c r="S218" s="265">
        <v>2</v>
      </c>
      <c r="T218" s="265">
        <v>2</v>
      </c>
      <c r="U218" s="265"/>
      <c r="V218" s="265"/>
      <c r="W218" s="265"/>
      <c r="X218" s="265"/>
      <c r="Y218" s="265"/>
      <c r="Z218" s="5">
        <v>20</v>
      </c>
      <c r="AA218" s="265"/>
      <c r="AB218" s="265">
        <v>30</v>
      </c>
      <c r="AD218" s="265"/>
      <c r="AE218" s="265"/>
      <c r="AF218" s="265"/>
      <c r="AG218" s="265"/>
      <c r="AH218" s="265"/>
      <c r="AI218" s="265"/>
      <c r="AJ218" s="265"/>
      <c r="AK218" s="265"/>
      <c r="AL218" s="265"/>
      <c r="AM218" s="265"/>
      <c r="AP218" s="137" t="s">
        <v>698</v>
      </c>
    </row>
    <row r="219" spans="2:42" x14ac:dyDescent="0.25">
      <c r="B219" s="5" t="s">
        <v>761</v>
      </c>
      <c r="C219" s="5" t="s">
        <v>2244</v>
      </c>
      <c r="D219" s="271">
        <v>45332</v>
      </c>
      <c r="E219" s="5" t="s">
        <v>2245</v>
      </c>
      <c r="F219" s="265" t="s">
        <v>840</v>
      </c>
      <c r="G219" s="5">
        <v>30</v>
      </c>
      <c r="H219" s="265"/>
      <c r="I219" s="265"/>
      <c r="J219" s="265"/>
      <c r="K219" s="265"/>
      <c r="L219" s="265"/>
      <c r="M219" s="265"/>
      <c r="O219" s="265"/>
      <c r="P219" s="265"/>
      <c r="Q219" s="265"/>
      <c r="R219" s="265"/>
      <c r="S219" s="265"/>
      <c r="T219" s="265"/>
      <c r="U219" s="265"/>
      <c r="V219" s="265"/>
      <c r="W219" s="265"/>
      <c r="X219" s="265"/>
      <c r="Y219" s="265"/>
      <c r="Z219" s="5">
        <v>10</v>
      </c>
      <c r="AA219" s="265"/>
      <c r="AB219" s="265">
        <v>30</v>
      </c>
      <c r="AD219" s="265"/>
      <c r="AE219" s="265"/>
      <c r="AF219" s="265"/>
      <c r="AG219" s="265"/>
      <c r="AH219" s="265"/>
      <c r="AI219" s="265"/>
      <c r="AJ219" s="265"/>
      <c r="AK219" s="265"/>
      <c r="AL219" s="265"/>
      <c r="AM219" s="265"/>
      <c r="AP219" s="137" t="s">
        <v>698</v>
      </c>
    </row>
    <row r="220" spans="2:42" x14ac:dyDescent="0.25">
      <c r="B220" s="5" t="s">
        <v>1338</v>
      </c>
      <c r="C220" s="5" t="s">
        <v>1714</v>
      </c>
      <c r="D220" s="271">
        <v>46205</v>
      </c>
      <c r="E220" s="5" t="s">
        <v>1705</v>
      </c>
      <c r="F220" s="265" t="s">
        <v>840</v>
      </c>
      <c r="G220" s="5">
        <v>29.95</v>
      </c>
      <c r="H220" s="265"/>
      <c r="I220" s="265">
        <v>5.95</v>
      </c>
      <c r="J220" s="265"/>
      <c r="K220" s="265"/>
      <c r="L220" s="265"/>
      <c r="M220" s="265"/>
      <c r="O220" s="265">
        <v>4.95</v>
      </c>
      <c r="P220" s="265">
        <v>3.95</v>
      </c>
      <c r="Q220" s="265"/>
      <c r="R220" s="265">
        <v>19.95</v>
      </c>
      <c r="S220" s="265">
        <v>3.95</v>
      </c>
      <c r="T220" s="265"/>
      <c r="U220" s="265">
        <v>9.9499999999999993</v>
      </c>
      <c r="V220" s="265"/>
      <c r="W220" s="265">
        <v>9.9499999999999993</v>
      </c>
      <c r="X220" s="265"/>
      <c r="Y220" s="265"/>
      <c r="Z220" s="5">
        <v>19.95</v>
      </c>
      <c r="AA220" s="265"/>
      <c r="AB220" s="265">
        <v>29.95</v>
      </c>
      <c r="AC220" s="5">
        <v>29.95</v>
      </c>
      <c r="AD220" s="265"/>
      <c r="AE220" s="265"/>
      <c r="AF220" s="265">
        <v>24.95</v>
      </c>
      <c r="AG220" s="265"/>
      <c r="AH220" s="265"/>
      <c r="AI220" s="265"/>
      <c r="AJ220" s="265">
        <v>9.9499999999999993</v>
      </c>
      <c r="AK220" s="265"/>
      <c r="AL220" s="265"/>
      <c r="AM220" s="265" t="s">
        <v>1706</v>
      </c>
      <c r="AP220" s="137" t="s">
        <v>698</v>
      </c>
    </row>
    <row r="221" spans="2:42" x14ac:dyDescent="0.25">
      <c r="B221" s="5" t="s">
        <v>1338</v>
      </c>
      <c r="C221" s="5" t="s">
        <v>1713</v>
      </c>
      <c r="D221" s="271">
        <v>46205</v>
      </c>
      <c r="E221" s="5" t="s">
        <v>1705</v>
      </c>
      <c r="F221" s="265" t="s">
        <v>840</v>
      </c>
      <c r="G221" s="5">
        <v>29.95</v>
      </c>
      <c r="H221" s="265"/>
      <c r="I221" s="265">
        <v>5.95</v>
      </c>
      <c r="J221" s="265"/>
      <c r="K221" s="265"/>
      <c r="L221" s="265"/>
      <c r="M221" s="265"/>
      <c r="O221" s="265">
        <v>4.95</v>
      </c>
      <c r="P221" s="265">
        <v>3.95</v>
      </c>
      <c r="Q221" s="265"/>
      <c r="R221" s="265">
        <v>19.95</v>
      </c>
      <c r="S221" s="265">
        <v>3.95</v>
      </c>
      <c r="T221" s="265"/>
      <c r="U221" s="265">
        <v>9.9499999999999993</v>
      </c>
      <c r="V221" s="265"/>
      <c r="W221" s="265">
        <v>9.9499999999999993</v>
      </c>
      <c r="X221" s="265"/>
      <c r="Y221" s="265"/>
      <c r="Z221" s="5">
        <v>19.95</v>
      </c>
      <c r="AA221" s="265"/>
      <c r="AB221" s="265">
        <v>29.95</v>
      </c>
      <c r="AC221" s="5">
        <v>29.95</v>
      </c>
      <c r="AD221" s="265"/>
      <c r="AE221" s="265"/>
      <c r="AF221" s="265">
        <v>24.95</v>
      </c>
      <c r="AG221" s="265"/>
      <c r="AH221" s="265"/>
      <c r="AI221" s="265"/>
      <c r="AJ221" s="265">
        <v>9.9499999999999993</v>
      </c>
      <c r="AK221" s="265"/>
      <c r="AL221" s="265"/>
      <c r="AM221" s="265" t="s">
        <v>1706</v>
      </c>
      <c r="AP221" s="137" t="s">
        <v>698</v>
      </c>
    </row>
    <row r="223" spans="2:42" x14ac:dyDescent="0.25">
      <c r="B223" s="5" t="s">
        <v>883</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884</v>
      </c>
    </row>
    <row r="2" spans="1:4" x14ac:dyDescent="0.25">
      <c r="A2" s="34" t="s">
        <v>227</v>
      </c>
    </row>
    <row r="4" spans="1:4" x14ac:dyDescent="0.25">
      <c r="A4" s="16" t="s">
        <v>885</v>
      </c>
    </row>
    <row r="5" spans="1:4" x14ac:dyDescent="0.25">
      <c r="A5" t="s">
        <v>886</v>
      </c>
    </row>
    <row r="7" spans="1:4" s="1" customFormat="1" ht="15.75" thickBot="1" x14ac:dyDescent="0.3">
      <c r="B7" s="1" t="s">
        <v>887</v>
      </c>
      <c r="C7" s="1" t="s">
        <v>888</v>
      </c>
      <c r="D7" s="1" t="s">
        <v>889</v>
      </c>
    </row>
    <row r="8" spans="1:4" x14ac:dyDescent="0.25">
      <c r="B8" s="314" t="s">
        <v>10</v>
      </c>
      <c r="C8" s="17" t="s">
        <v>890</v>
      </c>
      <c r="D8" s="317" t="s">
        <v>891</v>
      </c>
    </row>
    <row r="9" spans="1:4" x14ac:dyDescent="0.25">
      <c r="B9" s="316"/>
      <c r="C9" s="18" t="s">
        <v>892</v>
      </c>
      <c r="D9" s="318"/>
    </row>
    <row r="10" spans="1:4" x14ac:dyDescent="0.25">
      <c r="B10" s="316"/>
      <c r="C10" s="19" t="s">
        <v>235</v>
      </c>
      <c r="D10" s="318"/>
    </row>
    <row r="11" spans="1:4" x14ac:dyDescent="0.25">
      <c r="B11" s="316"/>
      <c r="C11" s="19" t="s">
        <v>237</v>
      </c>
      <c r="D11" s="318"/>
    </row>
    <row r="12" spans="1:4" ht="15.75" thickBot="1" x14ac:dyDescent="0.3">
      <c r="B12" s="315"/>
      <c r="C12" s="20" t="s">
        <v>893</v>
      </c>
      <c r="D12" s="319"/>
    </row>
    <row r="13" spans="1:4" x14ac:dyDescent="0.25">
      <c r="B13" s="314" t="s">
        <v>894</v>
      </c>
      <c r="C13" s="21" t="s">
        <v>895</v>
      </c>
      <c r="D13" s="317" t="s">
        <v>896</v>
      </c>
    </row>
    <row r="14" spans="1:4" x14ac:dyDescent="0.25">
      <c r="B14" s="316"/>
      <c r="C14" s="19" t="s">
        <v>897</v>
      </c>
      <c r="D14" s="318"/>
    </row>
    <row r="15" spans="1:4" ht="15.75" thickBot="1" x14ac:dyDescent="0.3">
      <c r="B15" s="315"/>
      <c r="C15" s="22" t="s">
        <v>898</v>
      </c>
      <c r="D15" s="319"/>
    </row>
    <row r="16" spans="1:4" x14ac:dyDescent="0.25">
      <c r="B16" s="314" t="s">
        <v>899</v>
      </c>
      <c r="C16" s="21" t="s">
        <v>900</v>
      </c>
      <c r="D16" s="317" t="s">
        <v>901</v>
      </c>
    </row>
    <row r="17" spans="2:4" ht="15.75" thickBot="1" x14ac:dyDescent="0.3">
      <c r="B17" s="315"/>
      <c r="C17" s="20" t="s">
        <v>902</v>
      </c>
      <c r="D17" s="319"/>
    </row>
    <row r="18" spans="2:4" x14ac:dyDescent="0.25">
      <c r="B18" s="314" t="s">
        <v>903</v>
      </c>
      <c r="C18" s="17" t="s">
        <v>904</v>
      </c>
      <c r="D18" s="280" t="s">
        <v>905</v>
      </c>
    </row>
    <row r="19" spans="2:4" ht="45" x14ac:dyDescent="0.25">
      <c r="B19" s="320"/>
      <c r="C19" s="19" t="s">
        <v>906</v>
      </c>
      <c r="D19" s="67" t="s">
        <v>907</v>
      </c>
    </row>
    <row r="20" spans="2:4" ht="60" x14ac:dyDescent="0.25">
      <c r="B20" s="316"/>
      <c r="C20" s="19" t="s">
        <v>908</v>
      </c>
      <c r="D20" s="40" t="s">
        <v>909</v>
      </c>
    </row>
    <row r="21" spans="2:4" ht="30.75" thickBot="1" x14ac:dyDescent="0.3">
      <c r="B21" s="315"/>
      <c r="C21" s="22" t="s">
        <v>910</v>
      </c>
      <c r="D21" s="282" t="s">
        <v>911</v>
      </c>
    </row>
    <row r="22" spans="2:4" x14ac:dyDescent="0.25">
      <c r="B22" s="314" t="s">
        <v>912</v>
      </c>
      <c r="C22" s="21" t="s">
        <v>913</v>
      </c>
      <c r="D22" s="280"/>
    </row>
    <row r="23" spans="2:4" ht="15.75" thickBot="1" x14ac:dyDescent="0.3">
      <c r="B23" s="315"/>
      <c r="C23" s="22" t="s">
        <v>914</v>
      </c>
      <c r="D23" s="282"/>
    </row>
    <row r="24" spans="2:4" x14ac:dyDescent="0.25">
      <c r="B24" s="314" t="s">
        <v>915</v>
      </c>
      <c r="C24" s="21" t="s">
        <v>228</v>
      </c>
      <c r="D24" s="280" t="s">
        <v>916</v>
      </c>
    </row>
    <row r="25" spans="2:4" x14ac:dyDescent="0.25">
      <c r="B25" s="316"/>
      <c r="C25" s="18" t="s">
        <v>238</v>
      </c>
      <c r="D25" s="281" t="s">
        <v>917</v>
      </c>
    </row>
    <row r="26" spans="2:4" ht="15.75" thickBot="1" x14ac:dyDescent="0.3">
      <c r="B26" s="315"/>
      <c r="C26" s="22" t="s">
        <v>236</v>
      </c>
      <c r="D26" s="69" t="s">
        <v>918</v>
      </c>
    </row>
    <row r="27" spans="2:4" x14ac:dyDescent="0.25">
      <c r="B27" s="314" t="s">
        <v>919</v>
      </c>
      <c r="C27" s="17" t="s">
        <v>920</v>
      </c>
      <c r="D27" s="281" t="s">
        <v>917</v>
      </c>
    </row>
    <row r="28" spans="2:4" ht="15.75" thickBot="1" x14ac:dyDescent="0.3">
      <c r="B28" s="315"/>
      <c r="C28" s="22" t="s">
        <v>921</v>
      </c>
      <c r="D28" s="282"/>
    </row>
    <row r="29" spans="2:4" ht="15.75" thickBot="1" x14ac:dyDescent="0.3">
      <c r="B29" s="314" t="s">
        <v>922</v>
      </c>
      <c r="C29" s="21" t="s">
        <v>920</v>
      </c>
      <c r="D29" s="69" t="s">
        <v>918</v>
      </c>
    </row>
    <row r="30" spans="2:4" ht="15.75" thickBot="1" x14ac:dyDescent="0.3">
      <c r="B30" s="315"/>
      <c r="C30" s="22" t="s">
        <v>921</v>
      </c>
      <c r="D30" s="282"/>
    </row>
    <row r="31" spans="2:4" x14ac:dyDescent="0.25">
      <c r="B31" s="314" t="s">
        <v>923</v>
      </c>
      <c r="C31" s="21" t="s">
        <v>924</v>
      </c>
      <c r="D31" s="280"/>
    </row>
    <row r="32" spans="2:4" x14ac:dyDescent="0.25">
      <c r="B32" s="316"/>
      <c r="C32" s="19" t="s">
        <v>925</v>
      </c>
      <c r="D32" s="281"/>
    </row>
    <row r="33" spans="2:4" x14ac:dyDescent="0.25">
      <c r="B33" s="316"/>
      <c r="C33" s="19" t="s">
        <v>926</v>
      </c>
      <c r="D33" s="281"/>
    </row>
    <row r="34" spans="2:4" x14ac:dyDescent="0.25">
      <c r="B34" s="316"/>
      <c r="C34" s="19" t="s">
        <v>927</v>
      </c>
      <c r="D34" s="281"/>
    </row>
    <row r="35" spans="2:4" ht="15.75" thickBot="1" x14ac:dyDescent="0.3">
      <c r="B35" s="315"/>
      <c r="C35" s="22" t="s">
        <v>928</v>
      </c>
      <c r="D35" s="282"/>
    </row>
    <row r="36" spans="2:4" ht="30.75" thickBot="1" x14ac:dyDescent="0.3">
      <c r="B36" s="23" t="s">
        <v>929</v>
      </c>
      <c r="C36" s="24" t="s">
        <v>930</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931</v>
      </c>
    </row>
    <row r="2" spans="1:3" x14ac:dyDescent="0.25">
      <c r="A2" s="34" t="s">
        <v>227</v>
      </c>
    </row>
    <row r="4" spans="1:3" x14ac:dyDescent="0.25">
      <c r="B4" s="1" t="s">
        <v>932</v>
      </c>
      <c r="C4" s="1" t="s">
        <v>933</v>
      </c>
    </row>
    <row r="5" spans="1:3" x14ac:dyDescent="0.25">
      <c r="B5" t="s">
        <v>105</v>
      </c>
      <c r="C5" t="str">
        <f t="shared" ref="C5:C55" si="0">IF(Locked,"[Any]",$B5)</f>
        <v>[Any]</v>
      </c>
    </row>
    <row r="6" spans="1:3" x14ac:dyDescent="0.25">
      <c r="B6" t="s">
        <v>934</v>
      </c>
      <c r="C6" t="str">
        <f t="shared" si="0"/>
        <v>[Any]</v>
      </c>
    </row>
    <row r="7" spans="1:3" x14ac:dyDescent="0.25">
      <c r="B7" t="s">
        <v>935</v>
      </c>
      <c r="C7" t="str">
        <f t="shared" si="0"/>
        <v>[Any]</v>
      </c>
    </row>
    <row r="8" spans="1:3" x14ac:dyDescent="0.25">
      <c r="B8" t="s">
        <v>936</v>
      </c>
      <c r="C8" t="str">
        <f t="shared" si="0"/>
        <v>[Any]</v>
      </c>
    </row>
    <row r="9" spans="1:3" x14ac:dyDescent="0.25">
      <c r="B9" t="s">
        <v>937</v>
      </c>
      <c r="C9" t="str">
        <f t="shared" si="0"/>
        <v>[Any]</v>
      </c>
    </row>
    <row r="10" spans="1:3" x14ac:dyDescent="0.25">
      <c r="B10" t="s">
        <v>938</v>
      </c>
      <c r="C10" t="str">
        <f t="shared" si="0"/>
        <v>[Any]</v>
      </c>
    </row>
    <row r="11" spans="1:3" x14ac:dyDescent="0.25">
      <c r="B11" t="s">
        <v>373</v>
      </c>
      <c r="C11" t="str">
        <f t="shared" si="0"/>
        <v>[Any]</v>
      </c>
    </row>
    <row r="12" spans="1:3" x14ac:dyDescent="0.25">
      <c r="B12" t="s">
        <v>384</v>
      </c>
      <c r="C12" t="str">
        <f t="shared" si="0"/>
        <v>[Any]</v>
      </c>
    </row>
    <row r="13" spans="1:3" x14ac:dyDescent="0.25">
      <c r="B13" t="s">
        <v>939</v>
      </c>
      <c r="C13" t="str">
        <f t="shared" si="0"/>
        <v>[Any]</v>
      </c>
    </row>
    <row r="14" spans="1:3" x14ac:dyDescent="0.25">
      <c r="B14" t="s">
        <v>393</v>
      </c>
      <c r="C14" t="str">
        <f t="shared" si="0"/>
        <v>[Any]</v>
      </c>
    </row>
    <row r="15" spans="1:3" x14ac:dyDescent="0.25">
      <c r="B15" t="s">
        <v>940</v>
      </c>
      <c r="C15" t="str">
        <f t="shared" si="0"/>
        <v>[Any]</v>
      </c>
    </row>
    <row r="16" spans="1:3" x14ac:dyDescent="0.25">
      <c r="B16" t="s">
        <v>941</v>
      </c>
      <c r="C16" t="str">
        <f t="shared" si="0"/>
        <v>[Any]</v>
      </c>
    </row>
    <row r="17" spans="2:3" x14ac:dyDescent="0.25">
      <c r="B17" t="s">
        <v>942</v>
      </c>
      <c r="C17" t="str">
        <f t="shared" si="0"/>
        <v>[Any]</v>
      </c>
    </row>
    <row r="18" spans="2:3" x14ac:dyDescent="0.25">
      <c r="B18" t="s">
        <v>449</v>
      </c>
      <c r="C18" t="str">
        <f t="shared" si="0"/>
        <v>[Any]</v>
      </c>
    </row>
    <row r="19" spans="2:3" x14ac:dyDescent="0.25">
      <c r="B19" t="s">
        <v>456</v>
      </c>
      <c r="C19" t="str">
        <f t="shared" si="0"/>
        <v>[Any]</v>
      </c>
    </row>
    <row r="20" spans="2:3" x14ac:dyDescent="0.25">
      <c r="B20" t="s">
        <v>943</v>
      </c>
      <c r="C20" t="str">
        <f t="shared" si="0"/>
        <v>[Any]</v>
      </c>
    </row>
    <row r="21" spans="2:3" x14ac:dyDescent="0.25">
      <c r="B21" t="s">
        <v>944</v>
      </c>
      <c r="C21" t="str">
        <f t="shared" si="0"/>
        <v>[Any]</v>
      </c>
    </row>
    <row r="22" spans="2:3" x14ac:dyDescent="0.25">
      <c r="B22" t="s">
        <v>478</v>
      </c>
      <c r="C22" t="str">
        <f t="shared" si="0"/>
        <v>[Any]</v>
      </c>
    </row>
    <row r="23" spans="2:3" x14ac:dyDescent="0.25">
      <c r="B23" t="s">
        <v>483</v>
      </c>
      <c r="C23" t="str">
        <f t="shared" si="0"/>
        <v>[Any]</v>
      </c>
    </row>
    <row r="24" spans="2:3" x14ac:dyDescent="0.25">
      <c r="B24" t="s">
        <v>483</v>
      </c>
      <c r="C24" t="str">
        <f t="shared" si="0"/>
        <v>[Any]</v>
      </c>
    </row>
    <row r="25" spans="2:3" x14ac:dyDescent="0.25">
      <c r="B25" t="s">
        <v>945</v>
      </c>
      <c r="C25" t="str">
        <f t="shared" si="0"/>
        <v>[Any]</v>
      </c>
    </row>
    <row r="26" spans="2:3" x14ac:dyDescent="0.25">
      <c r="B26" t="s">
        <v>946</v>
      </c>
      <c r="C26" t="str">
        <f t="shared" si="0"/>
        <v>[Any]</v>
      </c>
    </row>
    <row r="27" spans="2:3" x14ac:dyDescent="0.25">
      <c r="B27" t="s">
        <v>947</v>
      </c>
      <c r="C27" t="str">
        <f t="shared" si="0"/>
        <v>[Any]</v>
      </c>
    </row>
    <row r="28" spans="2:3" x14ac:dyDescent="0.25">
      <c r="B28" t="s">
        <v>948</v>
      </c>
      <c r="C28" t="str">
        <f t="shared" si="0"/>
        <v>[Any]</v>
      </c>
    </row>
    <row r="29" spans="2:3" x14ac:dyDescent="0.25">
      <c r="B29" t="s">
        <v>949</v>
      </c>
      <c r="C29" t="str">
        <f t="shared" si="0"/>
        <v>[Any]</v>
      </c>
    </row>
    <row r="30" spans="2:3" x14ac:dyDescent="0.25">
      <c r="B30" t="s">
        <v>950</v>
      </c>
      <c r="C30" t="str">
        <f t="shared" si="0"/>
        <v>[Any]</v>
      </c>
    </row>
    <row r="31" spans="2:3" x14ac:dyDescent="0.25">
      <c r="B31" t="s">
        <v>951</v>
      </c>
      <c r="C31" t="str">
        <f t="shared" si="0"/>
        <v>[Any]</v>
      </c>
    </row>
    <row r="32" spans="2:3" x14ac:dyDescent="0.25">
      <c r="B32" t="s">
        <v>952</v>
      </c>
      <c r="C32" t="str">
        <f t="shared" si="0"/>
        <v>[Any]</v>
      </c>
    </row>
    <row r="33" spans="2:3" x14ac:dyDescent="0.25">
      <c r="B33" t="s">
        <v>953</v>
      </c>
      <c r="C33" t="str">
        <f t="shared" si="0"/>
        <v>[Any]</v>
      </c>
    </row>
    <row r="34" spans="2:3" x14ac:dyDescent="0.25">
      <c r="B34" t="s">
        <v>954</v>
      </c>
      <c r="C34" t="str">
        <f t="shared" si="0"/>
        <v>[Any]</v>
      </c>
    </row>
    <row r="35" spans="2:3" x14ac:dyDescent="0.25">
      <c r="B35" t="s">
        <v>955</v>
      </c>
      <c r="C35" t="str">
        <f t="shared" si="0"/>
        <v>[Any]</v>
      </c>
    </row>
    <row r="36" spans="2:3" x14ac:dyDescent="0.25">
      <c r="B36" t="s">
        <v>956</v>
      </c>
      <c r="C36" t="str">
        <f t="shared" si="0"/>
        <v>[Any]</v>
      </c>
    </row>
    <row r="37" spans="2:3" x14ac:dyDescent="0.25">
      <c r="B37" t="s">
        <v>578</v>
      </c>
      <c r="C37" t="str">
        <f t="shared" si="0"/>
        <v>[Any]</v>
      </c>
    </row>
    <row r="38" spans="2:3" x14ac:dyDescent="0.25">
      <c r="B38" t="s">
        <v>578</v>
      </c>
      <c r="C38" t="str">
        <f t="shared" si="0"/>
        <v>[Any]</v>
      </c>
    </row>
    <row r="39" spans="2:3" x14ac:dyDescent="0.25">
      <c r="B39" t="s">
        <v>957</v>
      </c>
      <c r="C39" t="str">
        <f t="shared" si="0"/>
        <v>[Any]</v>
      </c>
    </row>
    <row r="40" spans="2:3" x14ac:dyDescent="0.25">
      <c r="B40" t="s">
        <v>958</v>
      </c>
      <c r="C40" t="str">
        <f t="shared" si="0"/>
        <v>[Any]</v>
      </c>
    </row>
    <row r="41" spans="2:3" x14ac:dyDescent="0.25">
      <c r="B41" t="s">
        <v>602</v>
      </c>
      <c r="C41" t="str">
        <f t="shared" si="0"/>
        <v>[Any]</v>
      </c>
    </row>
    <row r="42" spans="2:3" x14ac:dyDescent="0.25">
      <c r="B42" t="s">
        <v>959</v>
      </c>
      <c r="C42" t="str">
        <f t="shared" si="0"/>
        <v>[Any]</v>
      </c>
    </row>
    <row r="43" spans="2:3" x14ac:dyDescent="0.25">
      <c r="B43" t="s">
        <v>960</v>
      </c>
      <c r="C43" t="str">
        <f t="shared" si="0"/>
        <v>[Any]</v>
      </c>
    </row>
    <row r="44" spans="2:3" x14ac:dyDescent="0.25">
      <c r="B44" t="s">
        <v>961</v>
      </c>
      <c r="C44" t="str">
        <f t="shared" si="0"/>
        <v>[Any]</v>
      </c>
    </row>
    <row r="45" spans="2:3" x14ac:dyDescent="0.25">
      <c r="B45" t="s">
        <v>962</v>
      </c>
      <c r="C45" t="str">
        <f t="shared" si="0"/>
        <v>[Any]</v>
      </c>
    </row>
    <row r="46" spans="2:3" x14ac:dyDescent="0.25">
      <c r="B46" t="s">
        <v>963</v>
      </c>
      <c r="C46" t="str">
        <f t="shared" si="0"/>
        <v>[Any]</v>
      </c>
    </row>
    <row r="47" spans="2:3" x14ac:dyDescent="0.25">
      <c r="B47" t="s">
        <v>964</v>
      </c>
      <c r="C47" t="str">
        <f t="shared" si="0"/>
        <v>[Any]</v>
      </c>
    </row>
    <row r="48" spans="2:3" x14ac:dyDescent="0.25">
      <c r="B48" t="s">
        <v>965</v>
      </c>
      <c r="C48" t="str">
        <f t="shared" si="0"/>
        <v>[Any]</v>
      </c>
    </row>
    <row r="49" spans="2:3" x14ac:dyDescent="0.25">
      <c r="B49" t="s">
        <v>697</v>
      </c>
      <c r="C49" t="str">
        <f t="shared" si="0"/>
        <v>[Any]</v>
      </c>
    </row>
    <row r="50" spans="2:3" x14ac:dyDescent="0.25">
      <c r="B50" t="s">
        <v>699</v>
      </c>
      <c r="C50" t="str">
        <f t="shared" si="0"/>
        <v>[Any]</v>
      </c>
    </row>
    <row r="51" spans="2:3" x14ac:dyDescent="0.25">
      <c r="B51" t="s">
        <v>699</v>
      </c>
      <c r="C51" t="str">
        <f t="shared" si="0"/>
        <v>[Any]</v>
      </c>
    </row>
    <row r="52" spans="2:3" x14ac:dyDescent="0.25">
      <c r="B52" t="s">
        <v>966</v>
      </c>
      <c r="C52" t="str">
        <f t="shared" si="0"/>
        <v>[Any]</v>
      </c>
    </row>
    <row r="53" spans="2:3" x14ac:dyDescent="0.25">
      <c r="B53" t="s">
        <v>967</v>
      </c>
      <c r="C53" t="str">
        <f t="shared" si="0"/>
        <v>[Any]</v>
      </c>
    </row>
    <row r="54" spans="2:3" x14ac:dyDescent="0.25">
      <c r="B54" t="s">
        <v>968</v>
      </c>
      <c r="C54" t="str">
        <f t="shared" si="0"/>
        <v>[Any]</v>
      </c>
    </row>
    <row r="55" spans="2:3" x14ac:dyDescent="0.25">
      <c r="B55" t="s">
        <v>969</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970</v>
      </c>
      <c r="I1" s="1" t="s">
        <v>971</v>
      </c>
    </row>
    <row r="2" spans="1:11" x14ac:dyDescent="0.25">
      <c r="A2" s="34" t="s">
        <v>227</v>
      </c>
    </row>
    <row r="3" spans="1:11" x14ac:dyDescent="0.25">
      <c r="G3" s="232" t="s">
        <v>972</v>
      </c>
      <c r="H3" s="233" t="s">
        <v>973</v>
      </c>
      <c r="I3" s="231" t="s">
        <v>974</v>
      </c>
    </row>
    <row r="4" spans="1:11" hidden="1" x14ac:dyDescent="0.25"/>
    <row r="5" spans="1:11" s="2" customFormat="1" ht="45" x14ac:dyDescent="0.25">
      <c r="B5" s="2" t="s">
        <v>975</v>
      </c>
      <c r="C5" s="2" t="s">
        <v>976</v>
      </c>
      <c r="D5" s="76" t="s">
        <v>977</v>
      </c>
      <c r="E5" s="2" t="s">
        <v>978</v>
      </c>
      <c r="F5" s="2" t="s">
        <v>979</v>
      </c>
      <c r="G5" s="77" t="s">
        <v>980</v>
      </c>
      <c r="H5" s="2" t="s">
        <v>981</v>
      </c>
      <c r="I5" s="63" t="s">
        <v>982</v>
      </c>
      <c r="J5" s="2" t="s">
        <v>983</v>
      </c>
      <c r="K5" s="2" t="s">
        <v>984</v>
      </c>
    </row>
    <row r="6" spans="1:11" x14ac:dyDescent="0.25">
      <c r="B6" t="s">
        <v>208</v>
      </c>
      <c r="C6" t="s">
        <v>985</v>
      </c>
      <c r="D6" t="s">
        <v>985</v>
      </c>
      <c r="E6" t="s">
        <v>208</v>
      </c>
      <c r="F6" t="s">
        <v>208</v>
      </c>
      <c r="G6" s="75">
        <v>37324</v>
      </c>
      <c r="H6">
        <v>3.9169999999999998</v>
      </c>
      <c r="I6" s="6">
        <v>1</v>
      </c>
      <c r="J6" s="78"/>
      <c r="K6" s="78"/>
    </row>
    <row r="7" spans="1:11" x14ac:dyDescent="0.25">
      <c r="B7" s="82" t="s">
        <v>986</v>
      </c>
      <c r="C7" t="s">
        <v>985</v>
      </c>
      <c r="D7" t="s">
        <v>422</v>
      </c>
      <c r="E7" t="s">
        <v>941</v>
      </c>
      <c r="F7" t="s">
        <v>987</v>
      </c>
      <c r="G7" s="75">
        <v>37324</v>
      </c>
      <c r="H7">
        <v>3.9169999999999998</v>
      </c>
      <c r="I7" s="6">
        <v>1</v>
      </c>
      <c r="J7" s="78">
        <v>43528</v>
      </c>
      <c r="K7" s="78"/>
    </row>
    <row r="8" spans="1:11" x14ac:dyDescent="0.25">
      <c r="B8" s="82" t="s">
        <v>208</v>
      </c>
      <c r="C8" t="s">
        <v>985</v>
      </c>
      <c r="D8" t="s">
        <v>988</v>
      </c>
      <c r="E8" t="s">
        <v>208</v>
      </c>
      <c r="F8" t="s">
        <v>208</v>
      </c>
      <c r="G8" s="75">
        <v>37324</v>
      </c>
      <c r="H8">
        <v>3.9169999999999998</v>
      </c>
      <c r="I8" s="6">
        <v>1</v>
      </c>
      <c r="J8" s="78"/>
      <c r="K8" s="78"/>
    </row>
    <row r="9" spans="1:11" x14ac:dyDescent="0.25">
      <c r="B9" s="82" t="s">
        <v>208</v>
      </c>
      <c r="C9" t="s">
        <v>989</v>
      </c>
      <c r="D9" t="s">
        <v>989</v>
      </c>
      <c r="E9" t="s">
        <v>208</v>
      </c>
      <c r="F9" t="s">
        <v>208</v>
      </c>
      <c r="G9" s="75">
        <v>2538</v>
      </c>
      <c r="H9" t="s">
        <v>208</v>
      </c>
      <c r="I9" s="6">
        <v>0</v>
      </c>
      <c r="J9" s="78"/>
      <c r="K9" s="78"/>
    </row>
    <row r="10" spans="1:11" x14ac:dyDescent="0.25">
      <c r="B10" s="82" t="s">
        <v>208</v>
      </c>
      <c r="C10" t="s">
        <v>989</v>
      </c>
      <c r="D10" t="s">
        <v>990</v>
      </c>
      <c r="E10" t="s">
        <v>208</v>
      </c>
      <c r="F10" t="s">
        <v>208</v>
      </c>
      <c r="G10" s="75">
        <v>2538</v>
      </c>
      <c r="H10" t="s">
        <v>208</v>
      </c>
      <c r="I10" s="6">
        <v>0</v>
      </c>
      <c r="J10" s="78"/>
      <c r="K10" s="78"/>
    </row>
    <row r="11" spans="1:11" x14ac:dyDescent="0.25">
      <c r="B11" s="82" t="s">
        <v>208</v>
      </c>
      <c r="C11" t="s">
        <v>989</v>
      </c>
      <c r="D11" t="s">
        <v>991</v>
      </c>
      <c r="E11" t="s">
        <v>992</v>
      </c>
      <c r="F11" t="s">
        <v>993</v>
      </c>
      <c r="G11" s="75">
        <v>2538</v>
      </c>
      <c r="H11" t="s">
        <v>208</v>
      </c>
      <c r="I11" s="6">
        <v>0</v>
      </c>
      <c r="J11" s="78">
        <v>38113</v>
      </c>
      <c r="K11" s="78"/>
    </row>
    <row r="12" spans="1:11" x14ac:dyDescent="0.25">
      <c r="B12" s="82" t="s">
        <v>208</v>
      </c>
      <c r="C12" t="s">
        <v>989</v>
      </c>
      <c r="D12" t="s">
        <v>994</v>
      </c>
      <c r="E12" t="s">
        <v>208</v>
      </c>
      <c r="F12" t="s">
        <v>208</v>
      </c>
      <c r="G12" s="75">
        <v>2538</v>
      </c>
      <c r="H12" t="s">
        <v>208</v>
      </c>
      <c r="I12" s="6">
        <v>0</v>
      </c>
      <c r="J12" s="78" t="s">
        <v>208</v>
      </c>
      <c r="K12" s="78"/>
    </row>
    <row r="13" spans="1:11" x14ac:dyDescent="0.25">
      <c r="B13" s="82" t="s">
        <v>208</v>
      </c>
      <c r="C13" t="s">
        <v>995</v>
      </c>
      <c r="D13" t="s">
        <v>995</v>
      </c>
      <c r="E13" t="s">
        <v>208</v>
      </c>
      <c r="F13" t="s">
        <v>208</v>
      </c>
      <c r="G13" s="75">
        <v>5601</v>
      </c>
      <c r="H13" t="s">
        <v>208</v>
      </c>
      <c r="I13" s="6">
        <v>0</v>
      </c>
      <c r="J13" s="78" t="s">
        <v>208</v>
      </c>
      <c r="K13" s="78"/>
    </row>
    <row r="14" spans="1:11" x14ac:dyDescent="0.25">
      <c r="B14" s="82" t="s">
        <v>208</v>
      </c>
      <c r="C14" t="s">
        <v>995</v>
      </c>
      <c r="D14" t="s">
        <v>996</v>
      </c>
      <c r="E14" t="s">
        <v>208</v>
      </c>
      <c r="F14" t="s">
        <v>208</v>
      </c>
      <c r="G14" s="75">
        <v>5601</v>
      </c>
      <c r="H14" t="s">
        <v>208</v>
      </c>
      <c r="I14" s="6">
        <v>0</v>
      </c>
      <c r="J14" s="78" t="s">
        <v>208</v>
      </c>
      <c r="K14" s="78"/>
    </row>
    <row r="15" spans="1:11" x14ac:dyDescent="0.25">
      <c r="B15" s="82" t="s">
        <v>208</v>
      </c>
      <c r="C15" t="s">
        <v>995</v>
      </c>
      <c r="D15" t="s">
        <v>997</v>
      </c>
      <c r="E15" t="s">
        <v>208</v>
      </c>
      <c r="F15" t="s">
        <v>208</v>
      </c>
      <c r="G15" s="75">
        <v>5601</v>
      </c>
      <c r="H15" t="s">
        <v>208</v>
      </c>
      <c r="I15" s="6">
        <v>0</v>
      </c>
      <c r="J15" s="78" t="s">
        <v>208</v>
      </c>
      <c r="K15" s="78"/>
    </row>
    <row r="16" spans="1:11" x14ac:dyDescent="0.25">
      <c r="B16" s="82" t="s">
        <v>208</v>
      </c>
      <c r="C16" t="s">
        <v>995</v>
      </c>
      <c r="D16" t="s">
        <v>998</v>
      </c>
      <c r="E16" t="s">
        <v>208</v>
      </c>
      <c r="F16" t="s">
        <v>208</v>
      </c>
      <c r="G16" s="75">
        <v>5601</v>
      </c>
      <c r="H16" t="s">
        <v>208</v>
      </c>
      <c r="I16" s="6">
        <v>0</v>
      </c>
      <c r="J16" s="78" t="s">
        <v>208</v>
      </c>
      <c r="K16" s="78"/>
    </row>
    <row r="17" spans="2:11" x14ac:dyDescent="0.25">
      <c r="B17" s="82" t="s">
        <v>208</v>
      </c>
      <c r="C17" t="s">
        <v>995</v>
      </c>
      <c r="D17" t="s">
        <v>999</v>
      </c>
      <c r="E17" t="s">
        <v>1000</v>
      </c>
      <c r="F17" t="s">
        <v>1001</v>
      </c>
      <c r="G17" s="75">
        <v>5601</v>
      </c>
      <c r="H17" t="s">
        <v>208</v>
      </c>
      <c r="I17" s="6">
        <v>0</v>
      </c>
      <c r="J17" s="78">
        <v>38001</v>
      </c>
      <c r="K17" s="78"/>
    </row>
    <row r="18" spans="2:11" x14ac:dyDescent="0.25">
      <c r="B18" s="82" t="s">
        <v>208</v>
      </c>
      <c r="C18" t="s">
        <v>1002</v>
      </c>
      <c r="D18" t="s">
        <v>1002</v>
      </c>
      <c r="E18" t="s">
        <v>208</v>
      </c>
      <c r="F18" t="s">
        <v>208</v>
      </c>
      <c r="G18" s="75">
        <v>4992</v>
      </c>
      <c r="H18" t="s">
        <v>208</v>
      </c>
      <c r="I18" s="6">
        <v>0</v>
      </c>
      <c r="J18" s="78" t="s">
        <v>208</v>
      </c>
      <c r="K18" s="78"/>
    </row>
    <row r="19" spans="2:11" x14ac:dyDescent="0.25">
      <c r="B19" s="82" t="s">
        <v>208</v>
      </c>
      <c r="C19" t="s">
        <v>1003</v>
      </c>
      <c r="D19" t="s">
        <v>1003</v>
      </c>
      <c r="E19" t="s">
        <v>208</v>
      </c>
      <c r="F19" t="s">
        <v>208</v>
      </c>
      <c r="G19" s="75">
        <v>379298</v>
      </c>
      <c r="H19">
        <v>0.51400000000000001</v>
      </c>
      <c r="I19" s="6">
        <v>5</v>
      </c>
      <c r="J19" s="78" t="s">
        <v>208</v>
      </c>
      <c r="K19" s="78"/>
    </row>
    <row r="20" spans="2:11" x14ac:dyDescent="0.25">
      <c r="B20" s="82" t="s">
        <v>208</v>
      </c>
      <c r="C20" t="s">
        <v>1003</v>
      </c>
      <c r="D20" t="s">
        <v>1004</v>
      </c>
      <c r="E20" t="s">
        <v>208</v>
      </c>
      <c r="F20" t="s">
        <v>208</v>
      </c>
      <c r="G20" s="75">
        <v>379298</v>
      </c>
      <c r="H20">
        <v>0.51400000000000001</v>
      </c>
      <c r="I20" s="6">
        <v>5</v>
      </c>
      <c r="J20" s="78" t="s">
        <v>208</v>
      </c>
      <c r="K20" s="78"/>
    </row>
    <row r="21" spans="2:11" x14ac:dyDescent="0.25">
      <c r="B21" t="s">
        <v>1005</v>
      </c>
      <c r="C21" t="s">
        <v>1003</v>
      </c>
      <c r="D21" t="s">
        <v>1006</v>
      </c>
      <c r="E21" t="s">
        <v>936</v>
      </c>
      <c r="F21" t="s">
        <v>1007</v>
      </c>
      <c r="G21" s="75">
        <v>379298</v>
      </c>
      <c r="H21">
        <v>0.51400000000000001</v>
      </c>
      <c r="I21" s="6">
        <v>5</v>
      </c>
      <c r="J21" s="78">
        <v>38653</v>
      </c>
      <c r="K21" s="78"/>
    </row>
    <row r="22" spans="2:11" x14ac:dyDescent="0.25">
      <c r="B22" t="s">
        <v>208</v>
      </c>
      <c r="C22" t="s">
        <v>1008</v>
      </c>
      <c r="D22" t="s">
        <v>1008</v>
      </c>
      <c r="E22" t="s">
        <v>1009</v>
      </c>
      <c r="F22" t="s">
        <v>1010</v>
      </c>
      <c r="G22" s="75">
        <v>0</v>
      </c>
      <c r="H22" t="s">
        <v>208</v>
      </c>
      <c r="I22" s="6">
        <v>0</v>
      </c>
      <c r="J22" s="78" t="s">
        <v>208</v>
      </c>
      <c r="K22" s="78"/>
    </row>
    <row r="23" spans="2:11" x14ac:dyDescent="0.25">
      <c r="B23" t="s">
        <v>208</v>
      </c>
      <c r="C23" t="s">
        <v>1011</v>
      </c>
      <c r="D23" t="s">
        <v>1011</v>
      </c>
      <c r="E23" t="s">
        <v>208</v>
      </c>
      <c r="F23" t="s">
        <v>208</v>
      </c>
      <c r="G23" s="75">
        <v>0</v>
      </c>
      <c r="H23" t="s">
        <v>208</v>
      </c>
      <c r="I23" s="6">
        <v>0</v>
      </c>
      <c r="J23" s="78"/>
      <c r="K23" s="78"/>
    </row>
    <row r="24" spans="2:11" x14ac:dyDescent="0.25">
      <c r="B24" t="s">
        <v>208</v>
      </c>
      <c r="C24" t="s">
        <v>331</v>
      </c>
      <c r="D24" t="s">
        <v>331</v>
      </c>
      <c r="E24" t="s">
        <v>1012</v>
      </c>
      <c r="F24" t="s">
        <v>1013</v>
      </c>
      <c r="G24" s="75">
        <v>28830</v>
      </c>
      <c r="H24">
        <v>2.0139999999999998</v>
      </c>
      <c r="I24" s="6">
        <v>2</v>
      </c>
      <c r="J24" s="78">
        <v>38467</v>
      </c>
      <c r="K24" s="78"/>
    </row>
    <row r="25" spans="2:11" x14ac:dyDescent="0.25">
      <c r="B25" t="s">
        <v>208</v>
      </c>
      <c r="C25" t="s">
        <v>331</v>
      </c>
      <c r="D25" t="s">
        <v>1014</v>
      </c>
      <c r="E25" t="s">
        <v>208</v>
      </c>
      <c r="F25" t="s">
        <v>208</v>
      </c>
      <c r="G25" s="75">
        <v>28830</v>
      </c>
      <c r="H25">
        <v>2.0139999999999998</v>
      </c>
      <c r="I25" s="6">
        <v>2</v>
      </c>
      <c r="J25" s="78" t="s">
        <v>208</v>
      </c>
      <c r="K25" s="78"/>
    </row>
    <row r="26" spans="2:11" x14ac:dyDescent="0.25">
      <c r="B26" t="s">
        <v>208</v>
      </c>
      <c r="C26" t="s">
        <v>331</v>
      </c>
      <c r="D26" t="s">
        <v>1013</v>
      </c>
      <c r="E26" t="s">
        <v>208</v>
      </c>
      <c r="F26" t="s">
        <v>208</v>
      </c>
      <c r="G26" s="75">
        <v>28830</v>
      </c>
      <c r="H26">
        <v>2.0139999999999998</v>
      </c>
      <c r="I26" s="6">
        <v>2</v>
      </c>
      <c r="J26" s="78" t="s">
        <v>208</v>
      </c>
      <c r="K26" s="78"/>
    </row>
    <row r="27" spans="2:11" x14ac:dyDescent="0.25">
      <c r="B27" t="s">
        <v>208</v>
      </c>
      <c r="C27" t="s">
        <v>331</v>
      </c>
      <c r="D27" t="s">
        <v>1015</v>
      </c>
      <c r="E27" t="s">
        <v>208</v>
      </c>
      <c r="F27" t="s">
        <v>208</v>
      </c>
      <c r="G27" s="75">
        <v>28830</v>
      </c>
      <c r="H27">
        <v>2.0139999999999998</v>
      </c>
      <c r="I27" s="6">
        <v>2</v>
      </c>
      <c r="J27" s="78" t="s">
        <v>208</v>
      </c>
      <c r="K27" s="78"/>
    </row>
    <row r="28" spans="2:11" x14ac:dyDescent="0.25">
      <c r="B28" t="s">
        <v>208</v>
      </c>
      <c r="C28" t="s">
        <v>331</v>
      </c>
      <c r="D28" t="s">
        <v>1016</v>
      </c>
      <c r="E28" t="s">
        <v>208</v>
      </c>
      <c r="F28" t="s">
        <v>208</v>
      </c>
      <c r="G28" s="75">
        <v>28830</v>
      </c>
      <c r="H28">
        <v>2.0139999999999998</v>
      </c>
      <c r="I28" s="6">
        <v>2</v>
      </c>
      <c r="J28" s="78" t="s">
        <v>208</v>
      </c>
      <c r="K28" s="78"/>
    </row>
    <row r="29" spans="2:11" x14ac:dyDescent="0.25">
      <c r="B29" t="s">
        <v>208</v>
      </c>
      <c r="C29" t="s">
        <v>1017</v>
      </c>
      <c r="D29" t="s">
        <v>1017</v>
      </c>
      <c r="E29" t="s">
        <v>208</v>
      </c>
      <c r="F29" t="s">
        <v>208</v>
      </c>
      <c r="G29" s="75">
        <v>0</v>
      </c>
      <c r="H29" t="s">
        <v>208</v>
      </c>
      <c r="I29" s="6">
        <v>0</v>
      </c>
      <c r="J29" s="78">
        <v>45834</v>
      </c>
      <c r="K29" s="78"/>
    </row>
    <row r="30" spans="2:11" x14ac:dyDescent="0.25">
      <c r="B30" t="s">
        <v>208</v>
      </c>
      <c r="C30" t="s">
        <v>1018</v>
      </c>
      <c r="D30" t="s">
        <v>1018</v>
      </c>
      <c r="E30" t="s">
        <v>1019</v>
      </c>
      <c r="F30" t="s">
        <v>1020</v>
      </c>
      <c r="G30" s="75">
        <v>0</v>
      </c>
      <c r="H30" t="s">
        <v>208</v>
      </c>
      <c r="I30" s="6">
        <v>0</v>
      </c>
      <c r="J30" s="78">
        <v>44628</v>
      </c>
      <c r="K30" s="78"/>
    </row>
    <row r="31" spans="2:11" x14ac:dyDescent="0.25">
      <c r="B31" t="s">
        <v>208</v>
      </c>
      <c r="C31" t="s">
        <v>1021</v>
      </c>
      <c r="D31" t="s">
        <v>1021</v>
      </c>
      <c r="E31" t="s">
        <v>1022</v>
      </c>
      <c r="F31" t="s">
        <v>1023</v>
      </c>
      <c r="G31" s="75">
        <v>0</v>
      </c>
      <c r="H31" t="s">
        <v>208</v>
      </c>
      <c r="I31" s="6">
        <v>0</v>
      </c>
      <c r="J31" s="78">
        <v>45289</v>
      </c>
      <c r="K31" s="78"/>
    </row>
    <row r="32" spans="2:11" x14ac:dyDescent="0.25">
      <c r="B32" t="s">
        <v>1023</v>
      </c>
      <c r="C32" t="s">
        <v>1021</v>
      </c>
      <c r="D32" t="s">
        <v>294</v>
      </c>
      <c r="E32" t="s">
        <v>935</v>
      </c>
      <c r="F32" t="s">
        <v>935</v>
      </c>
      <c r="G32" s="75">
        <v>0</v>
      </c>
      <c r="H32" t="s">
        <v>208</v>
      </c>
      <c r="I32" s="6">
        <v>0</v>
      </c>
      <c r="J32" s="78">
        <v>45289</v>
      </c>
      <c r="K32" s="78"/>
    </row>
    <row r="33" spans="2:11" x14ac:dyDescent="0.25">
      <c r="B33" t="s">
        <v>208</v>
      </c>
      <c r="C33" t="s">
        <v>1021</v>
      </c>
      <c r="D33" t="s">
        <v>1024</v>
      </c>
      <c r="E33" t="s">
        <v>208</v>
      </c>
      <c r="F33" t="s">
        <v>208</v>
      </c>
      <c r="G33" s="75">
        <v>0</v>
      </c>
      <c r="H33" t="s">
        <v>208</v>
      </c>
      <c r="I33" s="6">
        <v>0</v>
      </c>
      <c r="J33" s="78"/>
      <c r="K33" s="78"/>
    </row>
    <row r="34" spans="2:11" x14ac:dyDescent="0.25">
      <c r="B34" t="s">
        <v>208</v>
      </c>
      <c r="C34" t="s">
        <v>1021</v>
      </c>
      <c r="D34" t="s">
        <v>364</v>
      </c>
      <c r="E34" t="s">
        <v>364</v>
      </c>
      <c r="F34" t="s">
        <v>1025</v>
      </c>
      <c r="G34" s="75">
        <v>0</v>
      </c>
      <c r="H34" t="s">
        <v>208</v>
      </c>
      <c r="I34" s="6">
        <v>0</v>
      </c>
      <c r="J34" s="78">
        <v>45289</v>
      </c>
      <c r="K34" s="78"/>
    </row>
    <row r="35" spans="2:11" x14ac:dyDescent="0.25">
      <c r="B35" t="s">
        <v>208</v>
      </c>
      <c r="C35" t="s">
        <v>1021</v>
      </c>
      <c r="D35" t="s">
        <v>1026</v>
      </c>
      <c r="E35" t="s">
        <v>1026</v>
      </c>
      <c r="F35" t="s">
        <v>1027</v>
      </c>
      <c r="G35" s="75">
        <v>0</v>
      </c>
      <c r="H35" t="s">
        <v>208</v>
      </c>
      <c r="I35" s="6">
        <v>0</v>
      </c>
      <c r="J35" s="78"/>
      <c r="K35" s="78"/>
    </row>
    <row r="36" spans="2:11" x14ac:dyDescent="0.25">
      <c r="B36" t="s">
        <v>208</v>
      </c>
      <c r="C36" t="s">
        <v>1021</v>
      </c>
      <c r="D36" t="s">
        <v>1028</v>
      </c>
      <c r="E36" t="s">
        <v>1029</v>
      </c>
      <c r="F36" t="s">
        <v>1029</v>
      </c>
      <c r="G36" s="75">
        <v>0</v>
      </c>
      <c r="H36" t="s">
        <v>208</v>
      </c>
      <c r="I36" s="6">
        <v>0</v>
      </c>
      <c r="J36" s="78"/>
      <c r="K36" s="78"/>
    </row>
    <row r="37" spans="2:11" x14ac:dyDescent="0.25">
      <c r="B37" t="s">
        <v>208</v>
      </c>
      <c r="C37" t="s">
        <v>1030</v>
      </c>
      <c r="D37" t="s">
        <v>1030</v>
      </c>
      <c r="E37" t="s">
        <v>208</v>
      </c>
      <c r="F37" t="s">
        <v>208</v>
      </c>
      <c r="G37" s="75">
        <v>0</v>
      </c>
      <c r="H37" t="s">
        <v>208</v>
      </c>
      <c r="I37" s="6">
        <v>0</v>
      </c>
      <c r="J37" s="78"/>
      <c r="K37" s="78"/>
    </row>
    <row r="38" spans="2:11" x14ac:dyDescent="0.25">
      <c r="B38" t="s">
        <v>208</v>
      </c>
      <c r="C38" t="s">
        <v>1031</v>
      </c>
      <c r="D38" t="s">
        <v>1031</v>
      </c>
      <c r="E38" t="s">
        <v>208</v>
      </c>
      <c r="F38" t="s">
        <v>208</v>
      </c>
      <c r="G38" s="75">
        <v>0</v>
      </c>
      <c r="H38" t="s">
        <v>208</v>
      </c>
      <c r="I38" s="6">
        <v>0</v>
      </c>
      <c r="J38" s="78"/>
      <c r="K38" s="78"/>
    </row>
    <row r="39" spans="2:11" x14ac:dyDescent="0.25">
      <c r="B39" t="s">
        <v>208</v>
      </c>
      <c r="C39" t="s">
        <v>1031</v>
      </c>
      <c r="D39" t="s">
        <v>1032</v>
      </c>
      <c r="E39" t="s">
        <v>208</v>
      </c>
      <c r="F39" t="s">
        <v>208</v>
      </c>
      <c r="G39" s="75">
        <v>0</v>
      </c>
      <c r="H39" t="s">
        <v>208</v>
      </c>
      <c r="I39" s="6">
        <v>0</v>
      </c>
      <c r="J39" s="78"/>
      <c r="K39" s="78"/>
    </row>
    <row r="40" spans="2:11" x14ac:dyDescent="0.25">
      <c r="B40" t="s">
        <v>208</v>
      </c>
      <c r="C40" t="s">
        <v>1031</v>
      </c>
      <c r="D40" t="s">
        <v>373</v>
      </c>
      <c r="E40" t="s">
        <v>373</v>
      </c>
      <c r="F40" t="s">
        <v>1033</v>
      </c>
      <c r="G40" s="75">
        <v>0</v>
      </c>
      <c r="H40" t="s">
        <v>208</v>
      </c>
      <c r="I40" s="6">
        <v>0</v>
      </c>
      <c r="J40" s="78">
        <v>45359</v>
      </c>
      <c r="K40" s="78"/>
    </row>
    <row r="41" spans="2:11" x14ac:dyDescent="0.25">
      <c r="B41" t="s">
        <v>208</v>
      </c>
      <c r="C41" t="s">
        <v>1034</v>
      </c>
      <c r="D41" t="s">
        <v>1034</v>
      </c>
      <c r="E41" t="s">
        <v>208</v>
      </c>
      <c r="F41" t="s">
        <v>208</v>
      </c>
      <c r="G41" s="75">
        <v>0</v>
      </c>
      <c r="H41">
        <v>1.244</v>
      </c>
      <c r="I41" s="6">
        <v>3</v>
      </c>
      <c r="J41" s="78">
        <v>44852</v>
      </c>
      <c r="K41" s="78"/>
    </row>
    <row r="42" spans="2:11" x14ac:dyDescent="0.25">
      <c r="B42" t="s">
        <v>208</v>
      </c>
      <c r="C42" t="s">
        <v>1034</v>
      </c>
      <c r="D42" t="s">
        <v>1035</v>
      </c>
      <c r="E42" t="s">
        <v>208</v>
      </c>
      <c r="F42" t="s">
        <v>208</v>
      </c>
      <c r="G42" s="75">
        <v>0</v>
      </c>
      <c r="H42">
        <v>1.244</v>
      </c>
      <c r="I42" s="6">
        <v>3</v>
      </c>
      <c r="J42" s="78">
        <v>44852</v>
      </c>
      <c r="K42" s="78"/>
    </row>
    <row r="43" spans="2:11" x14ac:dyDescent="0.25">
      <c r="B43" t="s">
        <v>208</v>
      </c>
      <c r="C43" t="s">
        <v>1034</v>
      </c>
      <c r="D43" t="s">
        <v>1036</v>
      </c>
      <c r="E43" t="s">
        <v>208</v>
      </c>
      <c r="F43" t="s">
        <v>208</v>
      </c>
      <c r="G43" s="75">
        <v>0</v>
      </c>
      <c r="H43">
        <v>1.244</v>
      </c>
      <c r="I43" s="6">
        <v>3</v>
      </c>
      <c r="J43" s="78">
        <v>44852</v>
      </c>
      <c r="K43" s="78"/>
    </row>
    <row r="44" spans="2:11" x14ac:dyDescent="0.25">
      <c r="B44" t="s">
        <v>208</v>
      </c>
      <c r="C44" t="s">
        <v>1034</v>
      </c>
      <c r="D44" t="s">
        <v>384</v>
      </c>
      <c r="E44" t="s">
        <v>384</v>
      </c>
      <c r="F44" t="s">
        <v>1037</v>
      </c>
      <c r="G44" s="75">
        <v>0</v>
      </c>
      <c r="H44">
        <v>1.244</v>
      </c>
      <c r="I44" s="6">
        <v>3</v>
      </c>
      <c r="J44" s="78">
        <v>44852</v>
      </c>
      <c r="K44" s="78"/>
    </row>
    <row r="45" spans="2:11" x14ac:dyDescent="0.25">
      <c r="B45" t="s">
        <v>208</v>
      </c>
      <c r="C45" t="s">
        <v>1034</v>
      </c>
      <c r="D45" t="s">
        <v>1038</v>
      </c>
      <c r="E45" t="s">
        <v>208</v>
      </c>
      <c r="F45" t="s">
        <v>208</v>
      </c>
      <c r="G45" s="75">
        <v>0</v>
      </c>
      <c r="H45">
        <v>1.244</v>
      </c>
      <c r="I45" s="6">
        <v>3</v>
      </c>
      <c r="J45" s="78">
        <v>44852</v>
      </c>
      <c r="K45" s="78"/>
    </row>
    <row r="46" spans="2:11" x14ac:dyDescent="0.25">
      <c r="B46" t="s">
        <v>208</v>
      </c>
      <c r="C46" t="s">
        <v>1034</v>
      </c>
      <c r="D46" t="s">
        <v>1039</v>
      </c>
      <c r="E46" t="s">
        <v>208</v>
      </c>
      <c r="F46" t="s">
        <v>208</v>
      </c>
      <c r="G46" s="75">
        <v>0</v>
      </c>
      <c r="H46">
        <v>1.244</v>
      </c>
      <c r="I46" s="6">
        <v>3</v>
      </c>
      <c r="J46" s="78">
        <v>44852</v>
      </c>
      <c r="K46" s="78"/>
    </row>
    <row r="47" spans="2:11" x14ac:dyDescent="0.25">
      <c r="B47" t="s">
        <v>208</v>
      </c>
      <c r="C47" t="s">
        <v>1040</v>
      </c>
      <c r="D47" t="s">
        <v>1040</v>
      </c>
      <c r="E47" t="s">
        <v>1041</v>
      </c>
      <c r="F47" t="s">
        <v>1042</v>
      </c>
      <c r="G47" s="75">
        <v>0</v>
      </c>
      <c r="H47" t="s">
        <v>208</v>
      </c>
      <c r="I47" s="6">
        <v>0</v>
      </c>
      <c r="J47" s="78" t="s">
        <v>208</v>
      </c>
      <c r="K47" s="78"/>
    </row>
    <row r="48" spans="2:11" x14ac:dyDescent="0.25">
      <c r="B48" t="s">
        <v>208</v>
      </c>
      <c r="C48" t="s">
        <v>1043</v>
      </c>
      <c r="D48" t="s">
        <v>1043</v>
      </c>
      <c r="E48" t="s">
        <v>208</v>
      </c>
      <c r="F48" t="s">
        <v>208</v>
      </c>
      <c r="G48" s="75">
        <v>0</v>
      </c>
      <c r="H48" t="s">
        <v>208</v>
      </c>
      <c r="I48" s="6">
        <v>0</v>
      </c>
      <c r="J48" s="78" t="s">
        <v>208</v>
      </c>
      <c r="K48" s="78"/>
    </row>
    <row r="49" spans="2:11" x14ac:dyDescent="0.25">
      <c r="B49" t="s">
        <v>208</v>
      </c>
      <c r="C49" t="s">
        <v>392</v>
      </c>
      <c r="D49" t="s">
        <v>392</v>
      </c>
      <c r="E49" t="s">
        <v>1044</v>
      </c>
      <c r="F49" t="s">
        <v>1045</v>
      </c>
      <c r="G49" s="75">
        <v>0</v>
      </c>
      <c r="H49" t="s">
        <v>208</v>
      </c>
      <c r="I49" s="6">
        <v>0</v>
      </c>
      <c r="J49" s="78">
        <v>44488</v>
      </c>
      <c r="K49" s="78"/>
    </row>
    <row r="50" spans="2:11" x14ac:dyDescent="0.25">
      <c r="B50" t="s">
        <v>208</v>
      </c>
      <c r="C50" t="s">
        <v>392</v>
      </c>
      <c r="D50" t="s">
        <v>1044</v>
      </c>
      <c r="E50" t="s">
        <v>1044</v>
      </c>
      <c r="F50" t="s">
        <v>1045</v>
      </c>
      <c r="G50" s="75">
        <v>0</v>
      </c>
      <c r="H50" t="s">
        <v>208</v>
      </c>
      <c r="I50" s="6">
        <v>0</v>
      </c>
      <c r="J50" s="78">
        <v>44488</v>
      </c>
      <c r="K50" s="78"/>
    </row>
    <row r="51" spans="2:11" x14ac:dyDescent="0.25">
      <c r="B51" t="s">
        <v>208</v>
      </c>
      <c r="C51" t="s">
        <v>1046</v>
      </c>
      <c r="D51" t="s">
        <v>1046</v>
      </c>
      <c r="E51" t="s">
        <v>208</v>
      </c>
      <c r="F51" t="s">
        <v>208</v>
      </c>
      <c r="G51" s="75">
        <v>10801</v>
      </c>
      <c r="H51" t="s">
        <v>208</v>
      </c>
      <c r="I51" s="6">
        <v>0</v>
      </c>
      <c r="J51" s="78" t="s">
        <v>208</v>
      </c>
      <c r="K51" s="78"/>
    </row>
    <row r="52" spans="2:11" x14ac:dyDescent="0.25">
      <c r="B52" t="s">
        <v>208</v>
      </c>
      <c r="C52" t="s">
        <v>1046</v>
      </c>
      <c r="D52" t="s">
        <v>1047</v>
      </c>
      <c r="E52" t="s">
        <v>1048</v>
      </c>
      <c r="F52" t="s">
        <v>1049</v>
      </c>
      <c r="G52" s="75">
        <v>10801</v>
      </c>
      <c r="H52" t="s">
        <v>208</v>
      </c>
      <c r="I52" s="6">
        <v>0</v>
      </c>
      <c r="J52" s="78">
        <v>39169</v>
      </c>
      <c r="K52" s="78"/>
    </row>
    <row r="53" spans="2:11" x14ac:dyDescent="0.25">
      <c r="B53" t="s">
        <v>208</v>
      </c>
      <c r="C53" t="s">
        <v>1046</v>
      </c>
      <c r="D53" t="s">
        <v>1050</v>
      </c>
      <c r="E53" t="s">
        <v>1051</v>
      </c>
      <c r="F53" t="s">
        <v>1052</v>
      </c>
      <c r="G53" s="75">
        <v>10801</v>
      </c>
      <c r="H53" t="s">
        <v>208</v>
      </c>
      <c r="I53" s="6">
        <v>0</v>
      </c>
      <c r="J53" s="78">
        <v>39169</v>
      </c>
      <c r="K53" s="78"/>
    </row>
    <row r="54" spans="2:11" x14ac:dyDescent="0.25">
      <c r="B54" t="s">
        <v>208</v>
      </c>
      <c r="C54" t="s">
        <v>1046</v>
      </c>
      <c r="D54" t="s">
        <v>1053</v>
      </c>
      <c r="E54" t="s">
        <v>208</v>
      </c>
      <c r="F54" t="s">
        <v>208</v>
      </c>
      <c r="G54" s="75">
        <v>10801</v>
      </c>
      <c r="H54" t="s">
        <v>208</v>
      </c>
      <c r="I54" s="6">
        <v>0</v>
      </c>
      <c r="J54" s="78">
        <v>39169</v>
      </c>
      <c r="K54" s="78"/>
    </row>
    <row r="55" spans="2:11" x14ac:dyDescent="0.25">
      <c r="B55" t="s">
        <v>208</v>
      </c>
      <c r="C55" t="s">
        <v>1046</v>
      </c>
      <c r="D55" t="s">
        <v>1054</v>
      </c>
      <c r="E55" t="s">
        <v>1055</v>
      </c>
      <c r="F55" t="s">
        <v>1056</v>
      </c>
      <c r="G55" s="75">
        <v>10801</v>
      </c>
      <c r="H55" t="s">
        <v>208</v>
      </c>
      <c r="I55" s="6">
        <v>0</v>
      </c>
      <c r="J55" s="78">
        <v>39169</v>
      </c>
      <c r="K55" s="78"/>
    </row>
    <row r="56" spans="2:11" x14ac:dyDescent="0.25">
      <c r="B56" t="s">
        <v>208</v>
      </c>
      <c r="C56" t="s">
        <v>1057</v>
      </c>
      <c r="D56" t="s">
        <v>1057</v>
      </c>
      <c r="E56" t="s">
        <v>208</v>
      </c>
      <c r="F56" t="s">
        <v>208</v>
      </c>
      <c r="G56" s="75">
        <v>0</v>
      </c>
      <c r="H56" t="s">
        <v>208</v>
      </c>
      <c r="I56" s="6">
        <v>0</v>
      </c>
      <c r="J56" s="78" t="s">
        <v>208</v>
      </c>
      <c r="K56" s="78"/>
    </row>
    <row r="57" spans="2:11" x14ac:dyDescent="0.25">
      <c r="B57" t="s">
        <v>208</v>
      </c>
      <c r="C57" t="s">
        <v>1058</v>
      </c>
      <c r="D57" t="s">
        <v>1058</v>
      </c>
      <c r="E57" t="s">
        <v>208</v>
      </c>
      <c r="F57" t="s">
        <v>208</v>
      </c>
      <c r="G57" s="75">
        <v>657</v>
      </c>
      <c r="H57">
        <v>1.9810000000000001</v>
      </c>
      <c r="I57" s="6">
        <v>2</v>
      </c>
      <c r="J57" s="78">
        <v>44431</v>
      </c>
      <c r="K57" s="78"/>
    </row>
    <row r="58" spans="2:11" x14ac:dyDescent="0.25">
      <c r="B58" t="s">
        <v>1059</v>
      </c>
      <c r="C58" t="s">
        <v>1058</v>
      </c>
      <c r="D58" t="s">
        <v>393</v>
      </c>
      <c r="E58" t="s">
        <v>393</v>
      </c>
      <c r="F58" t="s">
        <v>1060</v>
      </c>
      <c r="G58" s="75">
        <v>657</v>
      </c>
      <c r="H58">
        <v>1.9810000000000001</v>
      </c>
      <c r="I58" s="6">
        <v>2</v>
      </c>
      <c r="J58" s="78">
        <v>44431</v>
      </c>
      <c r="K58" s="78"/>
    </row>
    <row r="59" spans="2:11" x14ac:dyDescent="0.25">
      <c r="B59" t="s">
        <v>208</v>
      </c>
      <c r="C59" t="s">
        <v>1058</v>
      </c>
      <c r="D59" t="s">
        <v>1061</v>
      </c>
      <c r="E59" t="s">
        <v>208</v>
      </c>
      <c r="F59" t="s">
        <v>208</v>
      </c>
      <c r="G59" s="75">
        <v>657</v>
      </c>
      <c r="H59">
        <v>1.9810000000000001</v>
      </c>
      <c r="I59" s="6">
        <v>2</v>
      </c>
      <c r="J59" s="78">
        <v>44431</v>
      </c>
      <c r="K59" s="78"/>
    </row>
    <row r="60" spans="2:11" x14ac:dyDescent="0.25">
      <c r="B60" t="s">
        <v>208</v>
      </c>
      <c r="C60" t="s">
        <v>1058</v>
      </c>
      <c r="D60" t="s">
        <v>1062</v>
      </c>
      <c r="E60" t="s">
        <v>208</v>
      </c>
      <c r="F60" t="s">
        <v>208</v>
      </c>
      <c r="G60" s="75">
        <v>657</v>
      </c>
      <c r="H60">
        <v>1.9810000000000001</v>
      </c>
      <c r="I60" s="6">
        <v>2</v>
      </c>
      <c r="J60" s="78">
        <v>44431</v>
      </c>
      <c r="K60" s="78"/>
    </row>
    <row r="61" spans="2:11" x14ac:dyDescent="0.25">
      <c r="B61" t="s">
        <v>208</v>
      </c>
      <c r="C61" t="s">
        <v>1058</v>
      </c>
      <c r="D61" t="s">
        <v>1063</v>
      </c>
      <c r="E61" t="s">
        <v>1063</v>
      </c>
      <c r="F61" t="s">
        <v>1064</v>
      </c>
      <c r="G61" s="75">
        <v>657</v>
      </c>
      <c r="H61">
        <v>1.9810000000000001</v>
      </c>
      <c r="I61" s="6">
        <v>2</v>
      </c>
      <c r="J61" s="78">
        <v>44431</v>
      </c>
      <c r="K61" s="78"/>
    </row>
    <row r="62" spans="2:11" x14ac:dyDescent="0.25">
      <c r="B62" t="s">
        <v>1065</v>
      </c>
      <c r="C62" t="s">
        <v>405</v>
      </c>
      <c r="D62" t="s">
        <v>405</v>
      </c>
      <c r="E62" t="s">
        <v>1066</v>
      </c>
      <c r="F62" t="s">
        <v>1067</v>
      </c>
      <c r="G62" s="75">
        <v>155124</v>
      </c>
      <c r="H62">
        <v>1.9E-2</v>
      </c>
      <c r="I62" s="6">
        <v>5</v>
      </c>
      <c r="J62" s="78">
        <v>38246</v>
      </c>
      <c r="K62" s="78"/>
    </row>
    <row r="63" spans="2:11" x14ac:dyDescent="0.25">
      <c r="B63" t="s">
        <v>208</v>
      </c>
      <c r="C63" t="s">
        <v>405</v>
      </c>
      <c r="D63" t="s">
        <v>1068</v>
      </c>
      <c r="E63" t="s">
        <v>208</v>
      </c>
      <c r="F63" t="s">
        <v>208</v>
      </c>
      <c r="G63" s="75">
        <v>155124</v>
      </c>
      <c r="H63">
        <v>1.9E-2</v>
      </c>
      <c r="I63" s="6">
        <v>5</v>
      </c>
      <c r="J63" s="78" t="s">
        <v>208</v>
      </c>
      <c r="K63" s="78"/>
    </row>
    <row r="64" spans="2:11" x14ac:dyDescent="0.25">
      <c r="B64" t="s">
        <v>208</v>
      </c>
      <c r="C64" t="s">
        <v>405</v>
      </c>
      <c r="D64" t="s">
        <v>1069</v>
      </c>
      <c r="E64" t="s">
        <v>208</v>
      </c>
      <c r="F64" t="s">
        <v>208</v>
      </c>
      <c r="G64" s="75">
        <v>155124</v>
      </c>
      <c r="H64">
        <v>1.9E-2</v>
      </c>
      <c r="I64" s="6">
        <v>5</v>
      </c>
      <c r="J64" s="78" t="s">
        <v>208</v>
      </c>
      <c r="K64" s="78"/>
    </row>
    <row r="65" spans="2:11" x14ac:dyDescent="0.25">
      <c r="B65" t="s">
        <v>208</v>
      </c>
      <c r="C65" t="s">
        <v>405</v>
      </c>
      <c r="D65" t="s">
        <v>1070</v>
      </c>
      <c r="E65" t="s">
        <v>208</v>
      </c>
      <c r="F65" t="s">
        <v>208</v>
      </c>
      <c r="G65" s="75">
        <v>155124</v>
      </c>
      <c r="H65">
        <v>1.9E-2</v>
      </c>
      <c r="I65" s="6">
        <v>5</v>
      </c>
      <c r="J65" s="78" t="s">
        <v>208</v>
      </c>
      <c r="K65" s="78"/>
    </row>
    <row r="66" spans="2:11" x14ac:dyDescent="0.25">
      <c r="B66" t="s">
        <v>208</v>
      </c>
      <c r="C66" t="s">
        <v>405</v>
      </c>
      <c r="D66" t="s">
        <v>1071</v>
      </c>
      <c r="E66" t="s">
        <v>1071</v>
      </c>
      <c r="F66" t="s">
        <v>1072</v>
      </c>
      <c r="G66" s="75">
        <v>155124</v>
      </c>
      <c r="H66">
        <v>1.9E-2</v>
      </c>
      <c r="I66" s="6">
        <v>5</v>
      </c>
      <c r="J66" s="78">
        <v>38246</v>
      </c>
      <c r="K66" s="78"/>
    </row>
    <row r="67" spans="2:11" x14ac:dyDescent="0.25">
      <c r="B67" t="s">
        <v>208</v>
      </c>
      <c r="C67" t="s">
        <v>1073</v>
      </c>
      <c r="D67" t="s">
        <v>1073</v>
      </c>
      <c r="E67" t="s">
        <v>1074</v>
      </c>
      <c r="F67" t="s">
        <v>1075</v>
      </c>
      <c r="G67" s="75">
        <v>992</v>
      </c>
      <c r="H67" t="s">
        <v>208</v>
      </c>
      <c r="I67" s="6">
        <v>0</v>
      </c>
      <c r="J67" s="78">
        <v>39017</v>
      </c>
      <c r="K67" s="78"/>
    </row>
    <row r="68" spans="2:11" x14ac:dyDescent="0.25">
      <c r="B68" t="s">
        <v>208</v>
      </c>
      <c r="C68" t="s">
        <v>1073</v>
      </c>
      <c r="D68" t="s">
        <v>1076</v>
      </c>
      <c r="E68" t="s">
        <v>208</v>
      </c>
      <c r="F68" t="s">
        <v>208</v>
      </c>
      <c r="G68" s="75">
        <v>992</v>
      </c>
      <c r="H68" t="s">
        <v>208</v>
      </c>
      <c r="I68" s="6">
        <v>0</v>
      </c>
      <c r="J68" s="78" t="s">
        <v>208</v>
      </c>
      <c r="K68" s="78"/>
    </row>
    <row r="69" spans="2:11" x14ac:dyDescent="0.25">
      <c r="B69" t="s">
        <v>208</v>
      </c>
      <c r="C69" t="s">
        <v>1073</v>
      </c>
      <c r="D69" t="s">
        <v>1077</v>
      </c>
      <c r="E69" t="s">
        <v>208</v>
      </c>
      <c r="F69" t="s">
        <v>208</v>
      </c>
      <c r="G69" s="75">
        <v>992</v>
      </c>
      <c r="H69" t="s">
        <v>208</v>
      </c>
      <c r="I69" s="6">
        <v>0</v>
      </c>
      <c r="J69" s="78" t="s">
        <v>208</v>
      </c>
      <c r="K69" s="78"/>
    </row>
    <row r="70" spans="2:11" x14ac:dyDescent="0.25">
      <c r="B70" t="s">
        <v>208</v>
      </c>
      <c r="C70" t="s">
        <v>1073</v>
      </c>
      <c r="D70" t="s">
        <v>1078</v>
      </c>
      <c r="E70" t="s">
        <v>208</v>
      </c>
      <c r="F70" t="s">
        <v>208</v>
      </c>
      <c r="G70" s="75">
        <v>992</v>
      </c>
      <c r="H70" t="s">
        <v>208</v>
      </c>
      <c r="I70" s="6">
        <v>0</v>
      </c>
      <c r="J70" s="78" t="s">
        <v>208</v>
      </c>
      <c r="K70" s="78"/>
    </row>
    <row r="71" spans="2:11" x14ac:dyDescent="0.25">
      <c r="B71" t="s">
        <v>208</v>
      </c>
      <c r="C71" t="s">
        <v>1079</v>
      </c>
      <c r="D71" t="s">
        <v>1079</v>
      </c>
      <c r="E71" t="s">
        <v>1080</v>
      </c>
      <c r="F71" t="s">
        <v>1081</v>
      </c>
      <c r="G71" s="75">
        <v>0</v>
      </c>
      <c r="H71" t="s">
        <v>208</v>
      </c>
      <c r="I71" s="6">
        <v>0</v>
      </c>
      <c r="J71" s="78" t="s">
        <v>208</v>
      </c>
      <c r="K71" s="78"/>
    </row>
    <row r="72" spans="2:11" x14ac:dyDescent="0.25">
      <c r="B72" t="s">
        <v>1082</v>
      </c>
      <c r="C72" t="s">
        <v>466</v>
      </c>
      <c r="D72" t="s">
        <v>466</v>
      </c>
      <c r="E72" t="s">
        <v>1083</v>
      </c>
      <c r="F72" t="s">
        <v>1083</v>
      </c>
      <c r="G72" s="75">
        <v>156383</v>
      </c>
      <c r="H72">
        <v>0.7</v>
      </c>
      <c r="I72" s="6">
        <v>4</v>
      </c>
      <c r="J72" s="78">
        <v>36948</v>
      </c>
      <c r="K72" s="78"/>
    </row>
    <row r="73" spans="2:11" x14ac:dyDescent="0.25">
      <c r="B73" t="s">
        <v>208</v>
      </c>
      <c r="C73" t="s">
        <v>466</v>
      </c>
      <c r="D73" t="s">
        <v>1083</v>
      </c>
      <c r="E73" t="s">
        <v>208</v>
      </c>
      <c r="F73" t="s">
        <v>208</v>
      </c>
      <c r="G73" s="75">
        <v>156383</v>
      </c>
      <c r="H73">
        <v>0.7</v>
      </c>
      <c r="I73" s="6">
        <v>4</v>
      </c>
      <c r="J73" s="78"/>
      <c r="K73" s="78"/>
    </row>
    <row r="74" spans="2:11" x14ac:dyDescent="0.25">
      <c r="B74" t="s">
        <v>208</v>
      </c>
      <c r="C74" t="s">
        <v>466</v>
      </c>
      <c r="D74" t="s">
        <v>1084</v>
      </c>
      <c r="E74" t="s">
        <v>1085</v>
      </c>
      <c r="F74" t="s">
        <v>1085</v>
      </c>
      <c r="G74" s="75">
        <v>156383</v>
      </c>
      <c r="H74">
        <v>0.7</v>
      </c>
      <c r="I74" s="6">
        <v>4</v>
      </c>
      <c r="J74" s="78">
        <v>36948</v>
      </c>
      <c r="K74" s="78"/>
    </row>
    <row r="75" spans="2:11" x14ac:dyDescent="0.25">
      <c r="B75" t="s">
        <v>208</v>
      </c>
      <c r="C75" t="s">
        <v>466</v>
      </c>
      <c r="D75" t="s">
        <v>1086</v>
      </c>
      <c r="E75" t="s">
        <v>1087</v>
      </c>
      <c r="F75" t="s">
        <v>1088</v>
      </c>
      <c r="G75" s="75">
        <v>156383</v>
      </c>
      <c r="H75">
        <v>0.7</v>
      </c>
      <c r="I75" s="6">
        <v>4</v>
      </c>
      <c r="J75" s="78">
        <v>36948</v>
      </c>
      <c r="K75" s="78"/>
    </row>
    <row r="76" spans="2:11" x14ac:dyDescent="0.25">
      <c r="B76" t="s">
        <v>208</v>
      </c>
      <c r="C76" t="s">
        <v>1089</v>
      </c>
      <c r="D76" t="s">
        <v>1089</v>
      </c>
      <c r="E76" t="s">
        <v>1090</v>
      </c>
      <c r="F76" t="s">
        <v>1091</v>
      </c>
      <c r="G76" s="75">
        <v>0</v>
      </c>
      <c r="H76" t="s">
        <v>208</v>
      </c>
      <c r="I76" s="6">
        <v>0</v>
      </c>
      <c r="J76" s="78">
        <v>44698</v>
      </c>
      <c r="K76" s="78"/>
    </row>
    <row r="77" spans="2:11" x14ac:dyDescent="0.25">
      <c r="B77" t="s">
        <v>208</v>
      </c>
      <c r="C77" t="s">
        <v>1092</v>
      </c>
      <c r="D77" t="s">
        <v>1092</v>
      </c>
      <c r="E77" t="s">
        <v>208</v>
      </c>
      <c r="F77" t="s">
        <v>208</v>
      </c>
      <c r="G77" s="75">
        <v>2353</v>
      </c>
      <c r="H77" t="s">
        <v>208</v>
      </c>
      <c r="I77" s="6">
        <v>0</v>
      </c>
      <c r="J77" s="78" t="s">
        <v>208</v>
      </c>
      <c r="K77" s="78"/>
    </row>
    <row r="78" spans="2:11" x14ac:dyDescent="0.25">
      <c r="B78" t="s">
        <v>208</v>
      </c>
      <c r="C78" t="s">
        <v>1093</v>
      </c>
      <c r="D78" t="s">
        <v>1093</v>
      </c>
      <c r="E78" t="s">
        <v>208</v>
      </c>
      <c r="F78" t="s">
        <v>208</v>
      </c>
      <c r="G78" s="75">
        <v>0</v>
      </c>
      <c r="H78" t="s">
        <v>208</v>
      </c>
      <c r="I78" s="6">
        <v>0</v>
      </c>
      <c r="J78" s="78"/>
      <c r="K78" s="78"/>
    </row>
    <row r="79" spans="2:11" x14ac:dyDescent="0.25">
      <c r="B79" t="s">
        <v>208</v>
      </c>
      <c r="C79" t="s">
        <v>1094</v>
      </c>
      <c r="D79" t="s">
        <v>1094</v>
      </c>
      <c r="E79" t="s">
        <v>208</v>
      </c>
      <c r="F79" t="s">
        <v>208</v>
      </c>
      <c r="G79" s="75">
        <v>0</v>
      </c>
      <c r="H79" t="s">
        <v>208</v>
      </c>
      <c r="I79" s="6">
        <v>0</v>
      </c>
      <c r="J79" s="78" t="s">
        <v>208</v>
      </c>
      <c r="K79" s="78"/>
    </row>
    <row r="80" spans="2:11" x14ac:dyDescent="0.25">
      <c r="B80" t="s">
        <v>208</v>
      </c>
      <c r="C80" t="s">
        <v>1094</v>
      </c>
      <c r="D80" t="s">
        <v>1095</v>
      </c>
      <c r="E80" t="s">
        <v>208</v>
      </c>
      <c r="F80" t="s">
        <v>208</v>
      </c>
      <c r="G80" s="75">
        <v>0</v>
      </c>
      <c r="H80" t="s">
        <v>208</v>
      </c>
      <c r="I80" s="6">
        <v>0</v>
      </c>
      <c r="J80" s="78" t="s">
        <v>208</v>
      </c>
      <c r="K80" s="78"/>
    </row>
    <row r="81" spans="2:11" x14ac:dyDescent="0.25">
      <c r="B81" t="s">
        <v>208</v>
      </c>
      <c r="C81" t="s">
        <v>1094</v>
      </c>
      <c r="D81" t="s">
        <v>1096</v>
      </c>
      <c r="E81" t="s">
        <v>208</v>
      </c>
      <c r="F81" t="s">
        <v>208</v>
      </c>
      <c r="G81" s="75">
        <v>0</v>
      </c>
      <c r="H81" t="s">
        <v>208</v>
      </c>
      <c r="I81" s="6">
        <v>0</v>
      </c>
      <c r="J81" s="78" t="s">
        <v>208</v>
      </c>
      <c r="K81" s="78"/>
    </row>
    <row r="82" spans="2:11" x14ac:dyDescent="0.25">
      <c r="B82" t="s">
        <v>208</v>
      </c>
      <c r="C82" t="s">
        <v>1094</v>
      </c>
      <c r="D82" t="s">
        <v>1097</v>
      </c>
      <c r="E82" t="s">
        <v>208</v>
      </c>
      <c r="F82" t="s">
        <v>208</v>
      </c>
      <c r="G82" s="75">
        <v>0</v>
      </c>
      <c r="H82" t="s">
        <v>208</v>
      </c>
      <c r="I82" s="6">
        <v>0</v>
      </c>
      <c r="J82" s="78"/>
      <c r="K82" s="78"/>
    </row>
    <row r="83" spans="2:11" x14ac:dyDescent="0.25">
      <c r="B83" t="s">
        <v>208</v>
      </c>
      <c r="C83" t="s">
        <v>1094</v>
      </c>
      <c r="D83" t="s">
        <v>1098</v>
      </c>
      <c r="E83" t="s">
        <v>208</v>
      </c>
      <c r="F83" t="s">
        <v>208</v>
      </c>
      <c r="G83" s="75">
        <v>0</v>
      </c>
      <c r="H83" t="s">
        <v>208</v>
      </c>
      <c r="I83" s="6">
        <v>0</v>
      </c>
      <c r="J83" s="78"/>
      <c r="K83" s="78"/>
    </row>
    <row r="84" spans="2:11" x14ac:dyDescent="0.25">
      <c r="B84" t="s">
        <v>208</v>
      </c>
      <c r="C84" t="s">
        <v>1094</v>
      </c>
      <c r="D84" t="s">
        <v>1099</v>
      </c>
      <c r="E84" t="s">
        <v>208</v>
      </c>
      <c r="F84" t="s">
        <v>208</v>
      </c>
      <c r="G84" s="75">
        <v>0</v>
      </c>
      <c r="H84" t="s">
        <v>208</v>
      </c>
      <c r="I84" s="6">
        <v>0</v>
      </c>
      <c r="J84" s="78" t="s">
        <v>208</v>
      </c>
      <c r="K84" s="78"/>
    </row>
    <row r="85" spans="2:11" x14ac:dyDescent="0.25">
      <c r="B85" t="s">
        <v>208</v>
      </c>
      <c r="C85" t="s">
        <v>1100</v>
      </c>
      <c r="D85" t="s">
        <v>1100</v>
      </c>
      <c r="E85" t="s">
        <v>208</v>
      </c>
      <c r="F85" t="s">
        <v>208</v>
      </c>
      <c r="G85" s="75">
        <v>508683</v>
      </c>
      <c r="H85">
        <v>1.0129999999999999</v>
      </c>
      <c r="I85" s="6">
        <v>4</v>
      </c>
      <c r="J85" s="78" t="s">
        <v>208</v>
      </c>
      <c r="K85" s="78"/>
    </row>
    <row r="86" spans="2:11" x14ac:dyDescent="0.25">
      <c r="B86" t="s">
        <v>1101</v>
      </c>
      <c r="C86" t="s">
        <v>1100</v>
      </c>
      <c r="D86" t="s">
        <v>467</v>
      </c>
      <c r="E86" t="s">
        <v>944</v>
      </c>
      <c r="F86" t="s">
        <v>1102</v>
      </c>
      <c r="G86" s="75">
        <v>508683</v>
      </c>
      <c r="H86">
        <v>1.0129999999999999</v>
      </c>
      <c r="I86" s="6">
        <v>4</v>
      </c>
      <c r="J86" s="78">
        <v>37229</v>
      </c>
      <c r="K86" s="78"/>
    </row>
    <row r="87" spans="2:11" x14ac:dyDescent="0.25">
      <c r="B87" t="s">
        <v>208</v>
      </c>
      <c r="C87" t="s">
        <v>1100</v>
      </c>
      <c r="D87" t="s">
        <v>1103</v>
      </c>
      <c r="E87" t="s">
        <v>208</v>
      </c>
      <c r="F87" t="s">
        <v>208</v>
      </c>
      <c r="G87" s="75">
        <v>508683</v>
      </c>
      <c r="H87">
        <v>1.0129999999999999</v>
      </c>
      <c r="I87" s="6">
        <v>4</v>
      </c>
      <c r="J87" s="78" t="s">
        <v>208</v>
      </c>
      <c r="K87" s="78"/>
    </row>
    <row r="88" spans="2:11" x14ac:dyDescent="0.25">
      <c r="B88" t="s">
        <v>208</v>
      </c>
      <c r="C88" t="s">
        <v>1100</v>
      </c>
      <c r="D88" t="s">
        <v>1104</v>
      </c>
      <c r="E88" t="s">
        <v>208</v>
      </c>
      <c r="F88" t="s">
        <v>208</v>
      </c>
      <c r="G88" s="75">
        <v>508683</v>
      </c>
      <c r="H88">
        <v>1.0129999999999999</v>
      </c>
      <c r="I88" s="6">
        <v>4</v>
      </c>
      <c r="J88" s="78" t="s">
        <v>208</v>
      </c>
      <c r="K88" s="78"/>
    </row>
    <row r="89" spans="2:11" x14ac:dyDescent="0.25">
      <c r="B89" t="s">
        <v>208</v>
      </c>
      <c r="C89" t="s">
        <v>1100</v>
      </c>
      <c r="D89" t="s">
        <v>1105</v>
      </c>
      <c r="E89" t="s">
        <v>208</v>
      </c>
      <c r="F89" t="s">
        <v>208</v>
      </c>
      <c r="G89" s="75">
        <v>508683</v>
      </c>
      <c r="H89">
        <v>1.0129999999999999</v>
      </c>
      <c r="I89" s="6">
        <v>4</v>
      </c>
      <c r="J89" s="78" t="s">
        <v>208</v>
      </c>
      <c r="K89" s="78"/>
    </row>
    <row r="90" spans="2:11" x14ac:dyDescent="0.25">
      <c r="B90" t="s">
        <v>208</v>
      </c>
      <c r="C90" t="s">
        <v>1106</v>
      </c>
      <c r="D90" t="s">
        <v>1106</v>
      </c>
      <c r="E90" t="s">
        <v>208</v>
      </c>
      <c r="F90" t="s">
        <v>208</v>
      </c>
      <c r="G90" s="75">
        <v>0</v>
      </c>
      <c r="H90" t="s">
        <v>208</v>
      </c>
      <c r="I90" s="6">
        <v>0</v>
      </c>
      <c r="J90" s="78"/>
      <c r="K90" s="78"/>
    </row>
    <row r="91" spans="2:11" x14ac:dyDescent="0.25">
      <c r="B91" t="s">
        <v>1107</v>
      </c>
      <c r="C91" t="s">
        <v>1106</v>
      </c>
      <c r="D91" t="s">
        <v>699</v>
      </c>
      <c r="E91" t="s">
        <v>699</v>
      </c>
      <c r="F91" t="s">
        <v>1108</v>
      </c>
      <c r="G91" s="75">
        <v>0</v>
      </c>
      <c r="H91" t="s">
        <v>208</v>
      </c>
      <c r="I91" s="6">
        <v>0</v>
      </c>
      <c r="J91" s="78">
        <v>44819</v>
      </c>
      <c r="K91" s="78"/>
    </row>
    <row r="92" spans="2:11" x14ac:dyDescent="0.25">
      <c r="B92" t="s">
        <v>208</v>
      </c>
      <c r="C92" t="s">
        <v>1109</v>
      </c>
      <c r="D92" t="s">
        <v>1109</v>
      </c>
      <c r="E92" t="s">
        <v>1110</v>
      </c>
      <c r="F92" t="s">
        <v>1111</v>
      </c>
      <c r="G92" s="75">
        <v>0</v>
      </c>
      <c r="H92" t="s">
        <v>208</v>
      </c>
      <c r="I92" s="6">
        <v>0</v>
      </c>
      <c r="J92" s="78">
        <v>45775</v>
      </c>
      <c r="K92" s="78"/>
    </row>
    <row r="93" spans="2:11" x14ac:dyDescent="0.25">
      <c r="B93" t="s">
        <v>208</v>
      </c>
      <c r="C93" t="s">
        <v>1109</v>
      </c>
      <c r="D93" t="s">
        <v>1107</v>
      </c>
      <c r="E93" t="s">
        <v>208</v>
      </c>
      <c r="F93" t="s">
        <v>208</v>
      </c>
      <c r="G93" s="75">
        <v>0</v>
      </c>
      <c r="H93" t="s">
        <v>208</v>
      </c>
      <c r="I93" s="6">
        <v>0</v>
      </c>
      <c r="J93" s="78">
        <v>45775</v>
      </c>
      <c r="K93" s="78"/>
    </row>
    <row r="94" spans="2:11" x14ac:dyDescent="0.25">
      <c r="B94" t="s">
        <v>1107</v>
      </c>
      <c r="C94" t="s">
        <v>1109</v>
      </c>
      <c r="D94" t="s">
        <v>1112</v>
      </c>
      <c r="E94" t="s">
        <v>945</v>
      </c>
      <c r="F94" t="s">
        <v>1113</v>
      </c>
      <c r="G94" s="75">
        <v>0</v>
      </c>
      <c r="H94" t="s">
        <v>208</v>
      </c>
      <c r="I94" s="6">
        <v>0</v>
      </c>
      <c r="J94" s="78">
        <v>45775</v>
      </c>
      <c r="K94" s="78"/>
    </row>
    <row r="95" spans="2:11" x14ac:dyDescent="0.25">
      <c r="B95" t="s">
        <v>208</v>
      </c>
      <c r="C95" t="s">
        <v>1114</v>
      </c>
      <c r="D95" t="s">
        <v>1114</v>
      </c>
      <c r="E95" t="s">
        <v>1115</v>
      </c>
      <c r="F95" t="s">
        <v>1116</v>
      </c>
      <c r="G95" s="75">
        <v>0</v>
      </c>
      <c r="H95">
        <v>0</v>
      </c>
      <c r="I95" s="6">
        <v>5</v>
      </c>
      <c r="J95" s="78" t="s">
        <v>208</v>
      </c>
      <c r="K95" s="78"/>
    </row>
    <row r="96" spans="2:11" x14ac:dyDescent="0.25">
      <c r="B96" t="s">
        <v>208</v>
      </c>
      <c r="C96" t="s">
        <v>1117</v>
      </c>
      <c r="D96" t="s">
        <v>1117</v>
      </c>
      <c r="E96" t="s">
        <v>1118</v>
      </c>
      <c r="F96" t="s">
        <v>1119</v>
      </c>
      <c r="G96" s="75">
        <v>0</v>
      </c>
      <c r="H96" t="s">
        <v>208</v>
      </c>
      <c r="I96" s="6">
        <v>0</v>
      </c>
      <c r="J96" s="78" t="s">
        <v>208</v>
      </c>
      <c r="K96" s="78"/>
    </row>
    <row r="97" spans="2:11" x14ac:dyDescent="0.25">
      <c r="B97" t="s">
        <v>208</v>
      </c>
      <c r="C97" t="s">
        <v>1120</v>
      </c>
      <c r="D97" t="s">
        <v>1120</v>
      </c>
      <c r="E97" t="s">
        <v>208</v>
      </c>
      <c r="F97" t="s">
        <v>208</v>
      </c>
      <c r="G97" s="75">
        <v>122634</v>
      </c>
      <c r="H97">
        <v>1.573</v>
      </c>
      <c r="I97" s="6">
        <v>2</v>
      </c>
      <c r="J97" s="78" t="s">
        <v>208</v>
      </c>
      <c r="K97" s="78"/>
    </row>
    <row r="98" spans="2:11" x14ac:dyDescent="0.25">
      <c r="B98" t="s">
        <v>1121</v>
      </c>
      <c r="C98" t="s">
        <v>1120</v>
      </c>
      <c r="D98" t="s">
        <v>304</v>
      </c>
      <c r="E98" t="s">
        <v>937</v>
      </c>
      <c r="F98" t="s">
        <v>1122</v>
      </c>
      <c r="G98" s="75">
        <v>122634</v>
      </c>
      <c r="H98">
        <v>1.573</v>
      </c>
      <c r="I98" s="6">
        <v>2</v>
      </c>
      <c r="J98" s="78">
        <v>38016</v>
      </c>
      <c r="K98" s="78"/>
    </row>
    <row r="99" spans="2:11" x14ac:dyDescent="0.25">
      <c r="B99" t="s">
        <v>208</v>
      </c>
      <c r="C99" t="s">
        <v>1120</v>
      </c>
      <c r="D99" t="s">
        <v>1123</v>
      </c>
      <c r="E99" t="s">
        <v>208</v>
      </c>
      <c r="F99" t="s">
        <v>208</v>
      </c>
      <c r="G99" s="75">
        <v>122634</v>
      </c>
      <c r="H99">
        <v>1.573</v>
      </c>
      <c r="I99" s="6">
        <v>2</v>
      </c>
      <c r="J99" s="78" t="s">
        <v>208</v>
      </c>
      <c r="K99" s="78"/>
    </row>
    <row r="100" spans="2:11" x14ac:dyDescent="0.25">
      <c r="B100" t="s">
        <v>208</v>
      </c>
      <c r="C100" t="s">
        <v>1120</v>
      </c>
      <c r="D100" t="s">
        <v>1124</v>
      </c>
      <c r="E100" t="s">
        <v>208</v>
      </c>
      <c r="F100" t="s">
        <v>208</v>
      </c>
      <c r="G100" s="75">
        <v>122634</v>
      </c>
      <c r="H100">
        <v>1.573</v>
      </c>
      <c r="I100" s="6">
        <v>2</v>
      </c>
      <c r="J100" s="78" t="s">
        <v>208</v>
      </c>
      <c r="K100" s="78"/>
    </row>
    <row r="101" spans="2:11" x14ac:dyDescent="0.25">
      <c r="B101" t="s">
        <v>208</v>
      </c>
      <c r="C101" s="5" t="s">
        <v>1125</v>
      </c>
      <c r="D101" s="5" t="s">
        <v>1125</v>
      </c>
      <c r="E101" s="5" t="s">
        <v>208</v>
      </c>
      <c r="F101" s="5" t="s">
        <v>208</v>
      </c>
      <c r="G101" s="75">
        <v>222969</v>
      </c>
      <c r="H101">
        <v>1.165</v>
      </c>
      <c r="I101" s="6">
        <v>4</v>
      </c>
      <c r="J101" s="78" t="s">
        <v>208</v>
      </c>
      <c r="K101" s="78"/>
    </row>
    <row r="102" spans="2:11" x14ac:dyDescent="0.25">
      <c r="B102" t="s">
        <v>1126</v>
      </c>
      <c r="C102" s="5" t="s">
        <v>1125</v>
      </c>
      <c r="D102" s="5" t="s">
        <v>507</v>
      </c>
      <c r="E102" s="5" t="s">
        <v>947</v>
      </c>
      <c r="F102" s="5" t="s">
        <v>1127</v>
      </c>
      <c r="G102" s="75">
        <v>222969</v>
      </c>
      <c r="H102">
        <v>1.165</v>
      </c>
      <c r="I102" s="6">
        <v>4</v>
      </c>
      <c r="J102" s="78">
        <v>37105</v>
      </c>
      <c r="K102" s="78"/>
    </row>
    <row r="103" spans="2:11" x14ac:dyDescent="0.25">
      <c r="B103" t="s">
        <v>208</v>
      </c>
      <c r="C103" s="5" t="s">
        <v>515</v>
      </c>
      <c r="D103" s="5" t="s">
        <v>515</v>
      </c>
      <c r="E103" s="5" t="s">
        <v>1128</v>
      </c>
      <c r="F103" s="5" t="s">
        <v>1129</v>
      </c>
      <c r="G103" s="75">
        <v>0</v>
      </c>
      <c r="H103" t="s">
        <v>208</v>
      </c>
      <c r="I103" s="6">
        <v>0</v>
      </c>
      <c r="J103" s="78">
        <v>44642</v>
      </c>
      <c r="K103" s="78"/>
    </row>
    <row r="104" spans="2:11" x14ac:dyDescent="0.25">
      <c r="B104" t="s">
        <v>208</v>
      </c>
      <c r="C104" t="s">
        <v>515</v>
      </c>
      <c r="D104" t="s">
        <v>1130</v>
      </c>
      <c r="E104" t="s">
        <v>208</v>
      </c>
      <c r="F104" t="s">
        <v>208</v>
      </c>
      <c r="G104" s="75">
        <v>0</v>
      </c>
      <c r="H104" t="s">
        <v>208</v>
      </c>
      <c r="I104" s="6">
        <v>0</v>
      </c>
      <c r="J104" s="78">
        <v>44642</v>
      </c>
      <c r="K104" s="78"/>
    </row>
    <row r="105" spans="2:11" x14ac:dyDescent="0.25">
      <c r="B105" t="s">
        <v>1097</v>
      </c>
      <c r="C105" s="5" t="s">
        <v>517</v>
      </c>
      <c r="D105" s="5" t="s">
        <v>517</v>
      </c>
      <c r="E105" s="5" t="s">
        <v>1131</v>
      </c>
      <c r="F105" s="5" t="s">
        <v>1132</v>
      </c>
      <c r="G105" s="75">
        <v>320578</v>
      </c>
      <c r="H105">
        <v>0.67800000000000005</v>
      </c>
      <c r="I105" s="6">
        <v>4</v>
      </c>
      <c r="J105" s="78">
        <v>36920</v>
      </c>
      <c r="K105" s="78"/>
    </row>
    <row r="106" spans="2:11" x14ac:dyDescent="0.25">
      <c r="B106" t="s">
        <v>208</v>
      </c>
      <c r="C106" t="s">
        <v>517</v>
      </c>
      <c r="D106" t="s">
        <v>1133</v>
      </c>
      <c r="E106" t="s">
        <v>208</v>
      </c>
      <c r="F106" t="s">
        <v>208</v>
      </c>
      <c r="G106" s="75">
        <v>320578</v>
      </c>
      <c r="H106">
        <v>0.67800000000000005</v>
      </c>
      <c r="I106" s="6">
        <v>4</v>
      </c>
      <c r="J106" s="78"/>
      <c r="K106" s="78"/>
    </row>
    <row r="107" spans="2:11" x14ac:dyDescent="0.25">
      <c r="B107" t="s">
        <v>208</v>
      </c>
      <c r="C107" s="5" t="s">
        <v>517</v>
      </c>
      <c r="D107" s="5" t="s">
        <v>1134</v>
      </c>
      <c r="E107" s="5" t="s">
        <v>208</v>
      </c>
      <c r="F107" s="5" t="s">
        <v>208</v>
      </c>
      <c r="G107" s="75">
        <v>320578</v>
      </c>
      <c r="H107">
        <v>0.67800000000000005</v>
      </c>
      <c r="I107" s="6">
        <v>4</v>
      </c>
      <c r="J107" s="78"/>
      <c r="K107" s="78"/>
    </row>
    <row r="108" spans="2:11" x14ac:dyDescent="0.25">
      <c r="B108" t="s">
        <v>208</v>
      </c>
      <c r="C108" t="s">
        <v>1135</v>
      </c>
      <c r="D108" t="s">
        <v>1135</v>
      </c>
      <c r="E108" t="s">
        <v>208</v>
      </c>
      <c r="F108" t="s">
        <v>208</v>
      </c>
      <c r="G108" s="75">
        <v>0</v>
      </c>
      <c r="H108" t="s">
        <v>208</v>
      </c>
      <c r="I108" s="6">
        <v>0</v>
      </c>
      <c r="J108" s="78"/>
      <c r="K108" s="78"/>
    </row>
    <row r="109" spans="2:11" x14ac:dyDescent="0.25">
      <c r="B109" t="s">
        <v>208</v>
      </c>
      <c r="C109" t="s">
        <v>1136</v>
      </c>
      <c r="D109" t="s">
        <v>1136</v>
      </c>
      <c r="E109" t="s">
        <v>208</v>
      </c>
      <c r="F109" t="s">
        <v>208</v>
      </c>
      <c r="G109" s="75">
        <v>0</v>
      </c>
      <c r="H109" t="s">
        <v>208</v>
      </c>
      <c r="I109" s="6">
        <v>0</v>
      </c>
      <c r="J109" s="78"/>
      <c r="K109" s="78"/>
    </row>
    <row r="110" spans="2:11" x14ac:dyDescent="0.25">
      <c r="B110" t="s">
        <v>208</v>
      </c>
      <c r="C110" t="s">
        <v>1136</v>
      </c>
      <c r="D110" t="s">
        <v>1137</v>
      </c>
      <c r="E110" t="s">
        <v>208</v>
      </c>
      <c r="F110" t="s">
        <v>208</v>
      </c>
      <c r="G110" s="75">
        <v>0</v>
      </c>
      <c r="H110" t="s">
        <v>208</v>
      </c>
      <c r="I110" s="6">
        <v>0</v>
      </c>
      <c r="J110" s="78"/>
      <c r="K110" s="78"/>
    </row>
    <row r="111" spans="2:11" x14ac:dyDescent="0.25">
      <c r="B111" t="s">
        <v>208</v>
      </c>
      <c r="C111" t="s">
        <v>1136</v>
      </c>
      <c r="D111" t="s">
        <v>1138</v>
      </c>
      <c r="E111" t="s">
        <v>208</v>
      </c>
      <c r="F111" t="s">
        <v>208</v>
      </c>
      <c r="G111" s="75">
        <v>0</v>
      </c>
      <c r="H111" t="s">
        <v>208</v>
      </c>
      <c r="I111" s="6">
        <v>0</v>
      </c>
      <c r="J111" s="78"/>
      <c r="K111" s="78"/>
    </row>
    <row r="112" spans="2:11" x14ac:dyDescent="0.25">
      <c r="B112" t="s">
        <v>208</v>
      </c>
      <c r="C112" t="s">
        <v>1139</v>
      </c>
      <c r="D112" t="s">
        <v>1139</v>
      </c>
      <c r="E112" t="s">
        <v>208</v>
      </c>
      <c r="F112" t="s">
        <v>208</v>
      </c>
      <c r="G112" s="75">
        <v>0</v>
      </c>
      <c r="H112" t="s">
        <v>208</v>
      </c>
      <c r="I112" s="6">
        <v>0</v>
      </c>
      <c r="J112" s="78"/>
      <c r="K112" s="78"/>
    </row>
    <row r="113" spans="2:11" x14ac:dyDescent="0.25">
      <c r="B113" t="s">
        <v>1140</v>
      </c>
      <c r="C113" t="s">
        <v>528</v>
      </c>
      <c r="D113" t="s">
        <v>528</v>
      </c>
      <c r="E113" t="s">
        <v>1141</v>
      </c>
      <c r="F113" t="s">
        <v>1142</v>
      </c>
      <c r="G113" s="75">
        <v>7244</v>
      </c>
      <c r="H113" t="s">
        <v>208</v>
      </c>
      <c r="I113" s="6">
        <v>0</v>
      </c>
      <c r="J113" s="78">
        <v>43003</v>
      </c>
      <c r="K113" s="78"/>
    </row>
    <row r="114" spans="2:11" x14ac:dyDescent="0.25">
      <c r="B114" t="s">
        <v>208</v>
      </c>
      <c r="C114" t="s">
        <v>1143</v>
      </c>
      <c r="D114" t="s">
        <v>1143</v>
      </c>
      <c r="E114" t="s">
        <v>1144</v>
      </c>
      <c r="F114" t="s">
        <v>1145</v>
      </c>
      <c r="G114" s="75">
        <v>5174</v>
      </c>
      <c r="H114" t="s">
        <v>208</v>
      </c>
      <c r="I114" s="6">
        <v>0</v>
      </c>
      <c r="J114" s="78">
        <v>38244</v>
      </c>
      <c r="K114" s="78"/>
    </row>
    <row r="115" spans="2:11" x14ac:dyDescent="0.25">
      <c r="B115" t="s">
        <v>208</v>
      </c>
      <c r="C115" t="s">
        <v>1143</v>
      </c>
      <c r="D115" t="s">
        <v>1146</v>
      </c>
      <c r="E115" t="s">
        <v>208</v>
      </c>
      <c r="F115" t="s">
        <v>208</v>
      </c>
      <c r="G115" s="75">
        <v>5174</v>
      </c>
      <c r="H115" t="s">
        <v>208</v>
      </c>
      <c r="I115" s="6">
        <v>0</v>
      </c>
      <c r="J115" s="78"/>
      <c r="K115" s="78"/>
    </row>
    <row r="116" spans="2:11" x14ac:dyDescent="0.25">
      <c r="B116" t="s">
        <v>208</v>
      </c>
      <c r="C116" t="s">
        <v>1143</v>
      </c>
      <c r="D116" t="s">
        <v>1147</v>
      </c>
      <c r="E116" t="s">
        <v>208</v>
      </c>
      <c r="F116" t="s">
        <v>208</v>
      </c>
      <c r="G116" s="75">
        <v>5174</v>
      </c>
      <c r="H116" t="s">
        <v>208</v>
      </c>
      <c r="I116" s="6">
        <v>0</v>
      </c>
      <c r="J116" s="78"/>
      <c r="K116" s="78"/>
    </row>
    <row r="117" spans="2:11" x14ac:dyDescent="0.25">
      <c r="B117" t="s">
        <v>208</v>
      </c>
      <c r="C117" t="s">
        <v>1143</v>
      </c>
      <c r="D117" t="s">
        <v>1148</v>
      </c>
      <c r="E117" t="s">
        <v>208</v>
      </c>
      <c r="F117" t="s">
        <v>208</v>
      </c>
      <c r="G117" s="75">
        <v>5174</v>
      </c>
      <c r="H117" t="s">
        <v>208</v>
      </c>
      <c r="I117" s="6">
        <v>0</v>
      </c>
      <c r="J117" s="78"/>
      <c r="K117" s="78"/>
    </row>
    <row r="118" spans="2:11" x14ac:dyDescent="0.25">
      <c r="B118" t="s">
        <v>208</v>
      </c>
      <c r="C118" t="s">
        <v>1149</v>
      </c>
      <c r="D118" t="s">
        <v>1149</v>
      </c>
      <c r="E118" t="s">
        <v>208</v>
      </c>
      <c r="F118" t="s">
        <v>208</v>
      </c>
      <c r="G118" s="75">
        <v>0</v>
      </c>
      <c r="H118" t="s">
        <v>208</v>
      </c>
      <c r="I118" s="6">
        <v>0</v>
      </c>
      <c r="J118" s="78"/>
      <c r="K118" s="78"/>
    </row>
    <row r="119" spans="2:11" x14ac:dyDescent="0.25">
      <c r="B119" t="s">
        <v>208</v>
      </c>
      <c r="C119" t="s">
        <v>1150</v>
      </c>
      <c r="D119" t="s">
        <v>1150</v>
      </c>
      <c r="E119" t="s">
        <v>1151</v>
      </c>
      <c r="F119" t="s">
        <v>1152</v>
      </c>
      <c r="G119" s="75">
        <v>891</v>
      </c>
      <c r="H119" t="s">
        <v>208</v>
      </c>
      <c r="I119" s="6">
        <v>0</v>
      </c>
      <c r="J119" s="78">
        <v>44372</v>
      </c>
      <c r="K119" s="78"/>
    </row>
    <row r="120" spans="2:11" x14ac:dyDescent="0.25">
      <c r="B120" t="s">
        <v>208</v>
      </c>
      <c r="C120" t="s">
        <v>1153</v>
      </c>
      <c r="D120" t="s">
        <v>1153</v>
      </c>
      <c r="E120" t="s">
        <v>208</v>
      </c>
      <c r="F120" t="s">
        <v>208</v>
      </c>
      <c r="G120" s="75">
        <v>39501</v>
      </c>
      <c r="H120" t="s">
        <v>208</v>
      </c>
      <c r="I120" s="6">
        <v>0</v>
      </c>
      <c r="J120" s="78">
        <v>44099</v>
      </c>
      <c r="K120" s="78"/>
    </row>
    <row r="121" spans="2:11" x14ac:dyDescent="0.25">
      <c r="B121" t="s">
        <v>208</v>
      </c>
      <c r="C121" t="s">
        <v>1153</v>
      </c>
      <c r="D121" t="s">
        <v>1154</v>
      </c>
      <c r="E121" t="s">
        <v>1155</v>
      </c>
      <c r="F121" t="s">
        <v>1156</v>
      </c>
      <c r="G121" s="75">
        <v>39501</v>
      </c>
      <c r="H121" t="s">
        <v>208</v>
      </c>
      <c r="I121" s="6">
        <v>0</v>
      </c>
      <c r="J121" s="78"/>
      <c r="K121" s="78"/>
    </row>
    <row r="122" spans="2:11" x14ac:dyDescent="0.25">
      <c r="B122" t="s">
        <v>208</v>
      </c>
      <c r="C122" t="s">
        <v>1153</v>
      </c>
      <c r="D122" t="s">
        <v>1157</v>
      </c>
      <c r="E122" t="s">
        <v>1157</v>
      </c>
      <c r="F122" t="s">
        <v>1158</v>
      </c>
      <c r="G122" s="75">
        <v>39501</v>
      </c>
      <c r="H122" t="s">
        <v>208</v>
      </c>
      <c r="I122" s="6">
        <v>0</v>
      </c>
      <c r="J122" s="78">
        <v>44099</v>
      </c>
      <c r="K122" s="78"/>
    </row>
    <row r="123" spans="2:11" x14ac:dyDescent="0.25">
      <c r="B123" t="s">
        <v>208</v>
      </c>
      <c r="C123" t="s">
        <v>1153</v>
      </c>
      <c r="D123" t="s">
        <v>1159</v>
      </c>
      <c r="E123" t="s">
        <v>1159</v>
      </c>
      <c r="F123" t="s">
        <v>1160</v>
      </c>
      <c r="G123" s="75">
        <v>39501</v>
      </c>
      <c r="H123" t="s">
        <v>208</v>
      </c>
      <c r="I123" s="6">
        <v>0</v>
      </c>
      <c r="J123" s="78">
        <v>44099</v>
      </c>
      <c r="K123" s="78"/>
    </row>
    <row r="124" spans="2:11" x14ac:dyDescent="0.25">
      <c r="B124" t="s">
        <v>208</v>
      </c>
      <c r="C124" t="s">
        <v>1153</v>
      </c>
      <c r="D124" t="s">
        <v>1161</v>
      </c>
      <c r="E124" t="s">
        <v>1161</v>
      </c>
      <c r="F124" t="s">
        <v>1162</v>
      </c>
      <c r="G124" s="75">
        <v>39501</v>
      </c>
      <c r="H124" t="s">
        <v>208</v>
      </c>
      <c r="I124" s="6">
        <v>0</v>
      </c>
      <c r="J124" s="78">
        <v>44099</v>
      </c>
      <c r="K124" s="78"/>
    </row>
    <row r="125" spans="2:11" x14ac:dyDescent="0.25">
      <c r="B125" t="s">
        <v>208</v>
      </c>
      <c r="C125" t="s">
        <v>1153</v>
      </c>
      <c r="D125" t="s">
        <v>1163</v>
      </c>
      <c r="E125" t="s">
        <v>1163</v>
      </c>
      <c r="F125" t="s">
        <v>1164</v>
      </c>
      <c r="G125" s="75">
        <v>39501</v>
      </c>
      <c r="H125" t="s">
        <v>208</v>
      </c>
      <c r="I125" s="6">
        <v>0</v>
      </c>
      <c r="J125" s="78">
        <v>44099</v>
      </c>
      <c r="K125" s="78"/>
    </row>
    <row r="126" spans="2:11" x14ac:dyDescent="0.25">
      <c r="B126" t="s">
        <v>208</v>
      </c>
      <c r="C126" t="s">
        <v>1165</v>
      </c>
      <c r="D126" t="s">
        <v>1165</v>
      </c>
      <c r="E126" t="s">
        <v>208</v>
      </c>
      <c r="F126" t="s">
        <v>208</v>
      </c>
      <c r="G126" s="75">
        <v>214531</v>
      </c>
      <c r="H126">
        <v>1.8620000000000001</v>
      </c>
      <c r="I126" s="6">
        <v>2</v>
      </c>
      <c r="J126" s="78" t="s">
        <v>208</v>
      </c>
      <c r="K126" s="78"/>
    </row>
    <row r="127" spans="2:11" x14ac:dyDescent="0.25">
      <c r="B127" t="s">
        <v>1121</v>
      </c>
      <c r="C127" t="s">
        <v>1165</v>
      </c>
      <c r="D127" t="s">
        <v>545</v>
      </c>
      <c r="E127" t="s">
        <v>953</v>
      </c>
      <c r="F127" t="s">
        <v>1121</v>
      </c>
      <c r="G127" s="75">
        <v>214531</v>
      </c>
      <c r="H127">
        <v>1.8620000000000001</v>
      </c>
      <c r="I127" s="6">
        <v>2</v>
      </c>
      <c r="J127" s="78">
        <v>37482</v>
      </c>
      <c r="K127" s="78"/>
    </row>
    <row r="128" spans="2:11" x14ac:dyDescent="0.25">
      <c r="B128" t="s">
        <v>208</v>
      </c>
      <c r="C128" t="s">
        <v>1165</v>
      </c>
      <c r="D128" t="s">
        <v>1166</v>
      </c>
      <c r="E128" t="s">
        <v>208</v>
      </c>
      <c r="F128" t="s">
        <v>208</v>
      </c>
      <c r="G128" s="75">
        <v>214531</v>
      </c>
      <c r="H128">
        <v>1.8620000000000001</v>
      </c>
      <c r="I128" s="6">
        <v>2</v>
      </c>
      <c r="J128" s="78" t="s">
        <v>208</v>
      </c>
      <c r="K128" s="78"/>
    </row>
    <row r="129" spans="2:11" x14ac:dyDescent="0.25">
      <c r="B129" t="s">
        <v>208</v>
      </c>
      <c r="C129" t="s">
        <v>1165</v>
      </c>
      <c r="D129" t="s">
        <v>1167</v>
      </c>
      <c r="E129" t="s">
        <v>208</v>
      </c>
      <c r="F129" t="s">
        <v>208</v>
      </c>
      <c r="G129" s="75">
        <v>214531</v>
      </c>
      <c r="H129">
        <v>1.8620000000000001</v>
      </c>
      <c r="I129" s="6">
        <v>2</v>
      </c>
      <c r="J129" s="78" t="s">
        <v>208</v>
      </c>
      <c r="K129" s="78"/>
    </row>
    <row r="130" spans="2:11" x14ac:dyDescent="0.25">
      <c r="B130" t="s">
        <v>208</v>
      </c>
      <c r="C130" t="s">
        <v>1168</v>
      </c>
      <c r="D130" t="s">
        <v>1168</v>
      </c>
      <c r="E130" t="s">
        <v>208</v>
      </c>
      <c r="F130" t="s">
        <v>208</v>
      </c>
      <c r="G130" s="75">
        <v>0</v>
      </c>
      <c r="H130" t="s">
        <v>208</v>
      </c>
      <c r="I130" s="6">
        <v>0</v>
      </c>
      <c r="J130" s="78">
        <v>45394</v>
      </c>
      <c r="K130" s="78"/>
    </row>
    <row r="131" spans="2:11" x14ac:dyDescent="0.25">
      <c r="B131" t="s">
        <v>954</v>
      </c>
      <c r="C131" t="s">
        <v>1168</v>
      </c>
      <c r="D131" t="s">
        <v>1169</v>
      </c>
      <c r="E131" t="s">
        <v>954</v>
      </c>
      <c r="F131" t="s">
        <v>954</v>
      </c>
      <c r="G131" s="75">
        <v>0</v>
      </c>
      <c r="H131" t="s">
        <v>208</v>
      </c>
      <c r="I131" s="6">
        <v>0</v>
      </c>
      <c r="J131" s="78">
        <v>45394</v>
      </c>
      <c r="K131" s="78"/>
    </row>
    <row r="132" spans="2:11" x14ac:dyDescent="0.25">
      <c r="B132" t="s">
        <v>208</v>
      </c>
      <c r="C132" t="s">
        <v>1168</v>
      </c>
      <c r="D132" t="s">
        <v>1170</v>
      </c>
      <c r="E132" t="s">
        <v>208</v>
      </c>
      <c r="F132" t="s">
        <v>208</v>
      </c>
      <c r="G132" s="75">
        <v>0</v>
      </c>
      <c r="H132" t="s">
        <v>208</v>
      </c>
      <c r="I132" s="6">
        <v>0</v>
      </c>
      <c r="J132" s="78">
        <v>45394</v>
      </c>
      <c r="K132" s="78"/>
    </row>
    <row r="133" spans="2:11" x14ac:dyDescent="0.25">
      <c r="B133" t="s">
        <v>208</v>
      </c>
      <c r="C133" t="s">
        <v>1171</v>
      </c>
      <c r="D133" t="s">
        <v>1171</v>
      </c>
      <c r="E133" t="s">
        <v>208</v>
      </c>
      <c r="F133" t="s">
        <v>208</v>
      </c>
      <c r="G133" s="75">
        <v>0</v>
      </c>
      <c r="H133" t="s">
        <v>208</v>
      </c>
      <c r="I133" s="6">
        <v>0</v>
      </c>
      <c r="J133" s="78"/>
      <c r="K133" s="78"/>
    </row>
    <row r="134" spans="2:11" x14ac:dyDescent="0.25">
      <c r="B134" t="s">
        <v>208</v>
      </c>
      <c r="C134" t="s">
        <v>1172</v>
      </c>
      <c r="D134" t="s">
        <v>1172</v>
      </c>
      <c r="E134" t="s">
        <v>208</v>
      </c>
      <c r="F134" t="s">
        <v>208</v>
      </c>
      <c r="G134" s="75">
        <v>0</v>
      </c>
      <c r="H134" t="s">
        <v>208</v>
      </c>
      <c r="I134" s="6">
        <v>0</v>
      </c>
      <c r="J134" s="78"/>
      <c r="K134" s="78"/>
    </row>
    <row r="135" spans="2:11" x14ac:dyDescent="0.25">
      <c r="B135" t="s">
        <v>208</v>
      </c>
      <c r="C135" t="s">
        <v>1173</v>
      </c>
      <c r="D135" t="s">
        <v>1173</v>
      </c>
      <c r="E135" t="s">
        <v>208</v>
      </c>
      <c r="F135" t="s">
        <v>208</v>
      </c>
      <c r="G135" s="75">
        <v>0</v>
      </c>
      <c r="H135" t="s">
        <v>208</v>
      </c>
      <c r="I135" s="6">
        <v>0</v>
      </c>
      <c r="J135" s="78"/>
      <c r="K135" s="78"/>
    </row>
    <row r="136" spans="2:11" x14ac:dyDescent="0.25">
      <c r="B136" t="s">
        <v>208</v>
      </c>
      <c r="C136" t="s">
        <v>1173</v>
      </c>
      <c r="D136" t="s">
        <v>1174</v>
      </c>
      <c r="E136" t="s">
        <v>208</v>
      </c>
      <c r="F136" t="s">
        <v>208</v>
      </c>
      <c r="G136" s="75">
        <v>0</v>
      </c>
      <c r="H136" t="s">
        <v>208</v>
      </c>
      <c r="I136" s="6">
        <v>0</v>
      </c>
      <c r="J136" s="78"/>
      <c r="K136" s="78"/>
    </row>
    <row r="137" spans="2:11" x14ac:dyDescent="0.25">
      <c r="B137" t="s">
        <v>208</v>
      </c>
      <c r="C137" t="s">
        <v>1173</v>
      </c>
      <c r="D137" t="s">
        <v>1175</v>
      </c>
      <c r="E137" t="s">
        <v>208</v>
      </c>
      <c r="F137" t="s">
        <v>208</v>
      </c>
      <c r="G137" s="75">
        <v>0</v>
      </c>
      <c r="H137" t="s">
        <v>208</v>
      </c>
      <c r="I137" s="6">
        <v>0</v>
      </c>
      <c r="J137" s="78"/>
      <c r="K137" s="78"/>
    </row>
    <row r="138" spans="2:11" x14ac:dyDescent="0.25">
      <c r="B138" t="s">
        <v>208</v>
      </c>
      <c r="C138" t="s">
        <v>1173</v>
      </c>
      <c r="D138" t="s">
        <v>1176</v>
      </c>
      <c r="E138" t="s">
        <v>208</v>
      </c>
      <c r="F138" t="s">
        <v>208</v>
      </c>
      <c r="G138" s="75">
        <v>0</v>
      </c>
      <c r="H138" t="s">
        <v>208</v>
      </c>
      <c r="I138" s="6">
        <v>0</v>
      </c>
      <c r="J138" s="78"/>
      <c r="K138" s="78"/>
    </row>
    <row r="139" spans="2:11" x14ac:dyDescent="0.25">
      <c r="B139" t="s">
        <v>208</v>
      </c>
      <c r="C139" t="s">
        <v>1173</v>
      </c>
      <c r="D139" t="s">
        <v>1177</v>
      </c>
      <c r="E139" t="s">
        <v>208</v>
      </c>
      <c r="F139" t="s">
        <v>208</v>
      </c>
      <c r="G139" s="75">
        <v>0</v>
      </c>
      <c r="H139" t="s">
        <v>208</v>
      </c>
      <c r="I139" s="6">
        <v>0</v>
      </c>
      <c r="J139" s="78"/>
      <c r="K139" s="78"/>
    </row>
    <row r="140" spans="2:11" x14ac:dyDescent="0.25">
      <c r="B140" t="s">
        <v>208</v>
      </c>
      <c r="C140" t="s">
        <v>1178</v>
      </c>
      <c r="D140" t="s">
        <v>1178</v>
      </c>
      <c r="E140" t="s">
        <v>208</v>
      </c>
      <c r="F140" t="s">
        <v>208</v>
      </c>
      <c r="G140" s="75">
        <v>0</v>
      </c>
      <c r="H140">
        <v>1.242</v>
      </c>
      <c r="I140" s="6">
        <v>3</v>
      </c>
      <c r="J140" s="78">
        <v>44529</v>
      </c>
      <c r="K140" s="78"/>
    </row>
    <row r="141" spans="2:11" x14ac:dyDescent="0.25">
      <c r="B141" t="s">
        <v>208</v>
      </c>
      <c r="C141" t="s">
        <v>1178</v>
      </c>
      <c r="D141" t="s">
        <v>1179</v>
      </c>
      <c r="E141" t="s">
        <v>1179</v>
      </c>
      <c r="F141" t="s">
        <v>1179</v>
      </c>
      <c r="G141" s="75">
        <v>0</v>
      </c>
      <c r="H141">
        <v>1.242</v>
      </c>
      <c r="I141" s="6">
        <v>3</v>
      </c>
      <c r="J141" s="78">
        <v>44529</v>
      </c>
      <c r="K141" s="78"/>
    </row>
    <row r="142" spans="2:11" x14ac:dyDescent="0.25">
      <c r="B142" t="s">
        <v>208</v>
      </c>
      <c r="C142" t="s">
        <v>1180</v>
      </c>
      <c r="D142" t="s">
        <v>1180</v>
      </c>
      <c r="E142" t="s">
        <v>208</v>
      </c>
      <c r="F142" t="s">
        <v>208</v>
      </c>
      <c r="G142" s="75">
        <v>0</v>
      </c>
      <c r="H142" t="s">
        <v>208</v>
      </c>
      <c r="I142" s="6">
        <v>0</v>
      </c>
      <c r="J142" s="78"/>
      <c r="K142" s="78"/>
    </row>
    <row r="143" spans="2:11" x14ac:dyDescent="0.25">
      <c r="B143" t="s">
        <v>208</v>
      </c>
      <c r="C143" t="s">
        <v>1181</v>
      </c>
      <c r="D143" t="s">
        <v>1181</v>
      </c>
      <c r="E143" t="s">
        <v>1182</v>
      </c>
      <c r="F143" t="s">
        <v>1183</v>
      </c>
      <c r="G143" s="75">
        <v>5739</v>
      </c>
      <c r="H143" t="s">
        <v>208</v>
      </c>
      <c r="I143" s="6">
        <v>0</v>
      </c>
      <c r="J143" s="78">
        <v>39506</v>
      </c>
      <c r="K143" s="78"/>
    </row>
    <row r="144" spans="2:11" x14ac:dyDescent="0.25">
      <c r="B144" t="s">
        <v>208</v>
      </c>
      <c r="C144" t="s">
        <v>1184</v>
      </c>
      <c r="D144" t="s">
        <v>1184</v>
      </c>
      <c r="E144" t="s">
        <v>1185</v>
      </c>
      <c r="F144" t="s">
        <v>1186</v>
      </c>
      <c r="G144" s="75">
        <v>24160</v>
      </c>
      <c r="H144">
        <v>1.325</v>
      </c>
      <c r="I144" s="6">
        <v>3</v>
      </c>
      <c r="J144" s="78">
        <v>39731</v>
      </c>
      <c r="K144" s="78"/>
    </row>
    <row r="145" spans="2:11" x14ac:dyDescent="0.25">
      <c r="B145" t="s">
        <v>208</v>
      </c>
      <c r="C145" t="s">
        <v>1184</v>
      </c>
      <c r="D145" t="s">
        <v>1187</v>
      </c>
      <c r="E145" t="s">
        <v>208</v>
      </c>
      <c r="F145" t="s">
        <v>208</v>
      </c>
      <c r="G145" s="75">
        <v>24160</v>
      </c>
      <c r="H145">
        <v>1.325</v>
      </c>
      <c r="I145" s="6">
        <v>3</v>
      </c>
      <c r="J145" s="78" t="s">
        <v>208</v>
      </c>
      <c r="K145" s="78"/>
    </row>
    <row r="146" spans="2:11" x14ac:dyDescent="0.25">
      <c r="B146" t="s">
        <v>208</v>
      </c>
      <c r="C146" t="s">
        <v>1184</v>
      </c>
      <c r="D146" t="s">
        <v>1188</v>
      </c>
      <c r="E146" t="s">
        <v>1189</v>
      </c>
      <c r="F146" t="s">
        <v>1190</v>
      </c>
      <c r="G146" s="75">
        <v>24160</v>
      </c>
      <c r="H146">
        <v>1.325</v>
      </c>
      <c r="I146" s="6">
        <v>3</v>
      </c>
      <c r="J146" s="78">
        <v>39731</v>
      </c>
      <c r="K146" s="78"/>
    </row>
    <row r="147" spans="2:11" x14ac:dyDescent="0.25">
      <c r="B147" t="s">
        <v>1191</v>
      </c>
      <c r="C147" t="s">
        <v>1192</v>
      </c>
      <c r="D147" t="s">
        <v>1192</v>
      </c>
      <c r="E147" t="s">
        <v>1193</v>
      </c>
      <c r="F147" t="s">
        <v>1194</v>
      </c>
      <c r="G147" s="75">
        <v>0</v>
      </c>
      <c r="H147" t="s">
        <v>208</v>
      </c>
      <c r="I147" s="6">
        <v>0</v>
      </c>
      <c r="J147" s="78">
        <v>45671</v>
      </c>
      <c r="K147" s="78"/>
    </row>
    <row r="148" spans="2:11" x14ac:dyDescent="0.25">
      <c r="B148" t="s">
        <v>208</v>
      </c>
      <c r="C148" t="s">
        <v>590</v>
      </c>
      <c r="D148" t="s">
        <v>590</v>
      </c>
      <c r="E148" t="s">
        <v>578</v>
      </c>
      <c r="F148" t="s">
        <v>1195</v>
      </c>
      <c r="G148" s="75">
        <v>6420</v>
      </c>
      <c r="H148">
        <v>4.5250000000000004</v>
      </c>
      <c r="I148" s="6">
        <v>1</v>
      </c>
      <c r="J148" s="78">
        <v>43585</v>
      </c>
      <c r="K148" s="78"/>
    </row>
    <row r="149" spans="2:11" x14ac:dyDescent="0.25">
      <c r="B149" t="s">
        <v>208</v>
      </c>
      <c r="C149" t="s">
        <v>590</v>
      </c>
      <c r="D149" t="s">
        <v>1196</v>
      </c>
      <c r="E149" t="s">
        <v>208</v>
      </c>
      <c r="F149" t="s">
        <v>208</v>
      </c>
      <c r="G149" s="75">
        <v>6420</v>
      </c>
      <c r="H149">
        <v>4.5250000000000004</v>
      </c>
      <c r="I149" s="6">
        <v>1</v>
      </c>
      <c r="J149" s="78"/>
      <c r="K149" s="78"/>
    </row>
    <row r="150" spans="2:11" x14ac:dyDescent="0.25">
      <c r="B150" t="s">
        <v>208</v>
      </c>
      <c r="C150" t="s">
        <v>590</v>
      </c>
      <c r="D150" t="s">
        <v>1197</v>
      </c>
      <c r="E150" t="s">
        <v>208</v>
      </c>
      <c r="F150" t="s">
        <v>208</v>
      </c>
      <c r="G150" s="75">
        <v>6420</v>
      </c>
      <c r="H150">
        <v>4.5250000000000004</v>
      </c>
      <c r="I150" s="6">
        <v>1</v>
      </c>
      <c r="J150" s="78"/>
      <c r="K150" s="78"/>
    </row>
    <row r="151" spans="2:11" x14ac:dyDescent="0.25">
      <c r="B151" t="s">
        <v>208</v>
      </c>
      <c r="C151" t="s">
        <v>590</v>
      </c>
      <c r="D151" t="s">
        <v>1195</v>
      </c>
      <c r="E151" t="s">
        <v>208</v>
      </c>
      <c r="F151" t="s">
        <v>208</v>
      </c>
      <c r="G151" s="75">
        <v>6420</v>
      </c>
      <c r="H151">
        <v>4.5250000000000004</v>
      </c>
      <c r="I151" s="6">
        <v>1</v>
      </c>
      <c r="J151" s="78"/>
      <c r="K151" s="78"/>
    </row>
    <row r="152" spans="2:11" x14ac:dyDescent="0.25">
      <c r="B152" t="s">
        <v>208</v>
      </c>
      <c r="C152" t="s">
        <v>590</v>
      </c>
      <c r="D152" t="s">
        <v>578</v>
      </c>
      <c r="E152" t="s">
        <v>578</v>
      </c>
      <c r="F152" t="s">
        <v>1195</v>
      </c>
      <c r="G152" s="75">
        <v>6420</v>
      </c>
      <c r="H152">
        <v>4.5250000000000004</v>
      </c>
      <c r="I152" s="6">
        <v>1</v>
      </c>
      <c r="J152" s="78">
        <v>43585</v>
      </c>
      <c r="K152" s="78"/>
    </row>
    <row r="153" spans="2:11" x14ac:dyDescent="0.25">
      <c r="B153" t="s">
        <v>208</v>
      </c>
      <c r="C153" t="s">
        <v>1198</v>
      </c>
      <c r="D153" t="s">
        <v>1198</v>
      </c>
      <c r="E153" t="s">
        <v>1199</v>
      </c>
      <c r="F153" t="s">
        <v>1199</v>
      </c>
      <c r="G153" s="75">
        <v>35</v>
      </c>
      <c r="H153" t="s">
        <v>208</v>
      </c>
      <c r="I153" s="6">
        <v>0</v>
      </c>
      <c r="J153" s="78">
        <v>44123</v>
      </c>
      <c r="K153" s="78"/>
    </row>
    <row r="154" spans="2:11" x14ac:dyDescent="0.25">
      <c r="B154" t="s">
        <v>208</v>
      </c>
      <c r="C154" t="s">
        <v>1198</v>
      </c>
      <c r="D154" t="s">
        <v>957</v>
      </c>
      <c r="E154" t="s">
        <v>1199</v>
      </c>
      <c r="F154" t="s">
        <v>1199</v>
      </c>
      <c r="G154" s="75">
        <v>35</v>
      </c>
      <c r="H154" t="s">
        <v>208</v>
      </c>
      <c r="I154" s="6">
        <v>0</v>
      </c>
      <c r="J154" s="78">
        <v>44123</v>
      </c>
      <c r="K154" s="78"/>
    </row>
    <row r="155" spans="2:11" x14ac:dyDescent="0.25">
      <c r="B155" t="s">
        <v>208</v>
      </c>
      <c r="C155" t="s">
        <v>1198</v>
      </c>
      <c r="D155" t="s">
        <v>1200</v>
      </c>
      <c r="E155" t="s">
        <v>208</v>
      </c>
      <c r="F155" t="s">
        <v>208</v>
      </c>
      <c r="G155" s="75">
        <v>35</v>
      </c>
      <c r="H155" t="s">
        <v>208</v>
      </c>
      <c r="I155" s="6">
        <v>0</v>
      </c>
      <c r="J155" s="78">
        <v>44123</v>
      </c>
      <c r="K155" s="78"/>
    </row>
    <row r="156" spans="2:11" x14ac:dyDescent="0.25">
      <c r="B156" t="s">
        <v>208</v>
      </c>
      <c r="C156" t="s">
        <v>1201</v>
      </c>
      <c r="D156" t="s">
        <v>1201</v>
      </c>
      <c r="E156" t="s">
        <v>1202</v>
      </c>
      <c r="F156" t="s">
        <v>1203</v>
      </c>
      <c r="G156" s="75">
        <v>0</v>
      </c>
      <c r="H156" t="s">
        <v>208</v>
      </c>
      <c r="I156" s="6">
        <v>0</v>
      </c>
      <c r="J156" s="78">
        <v>44862</v>
      </c>
      <c r="K156" s="78"/>
    </row>
    <row r="157" spans="2:11" x14ac:dyDescent="0.25">
      <c r="B157" t="s">
        <v>208</v>
      </c>
      <c r="C157" t="s">
        <v>1204</v>
      </c>
      <c r="D157" t="s">
        <v>1204</v>
      </c>
      <c r="E157" t="s">
        <v>208</v>
      </c>
      <c r="F157" t="s">
        <v>208</v>
      </c>
      <c r="G157" s="75">
        <v>0</v>
      </c>
      <c r="H157" t="s">
        <v>208</v>
      </c>
      <c r="I157" s="6">
        <v>0</v>
      </c>
      <c r="J157" s="78"/>
      <c r="K157" s="78"/>
    </row>
    <row r="158" spans="2:11" x14ac:dyDescent="0.25">
      <c r="B158" t="s">
        <v>208</v>
      </c>
      <c r="C158" t="s">
        <v>1205</v>
      </c>
      <c r="D158" t="s">
        <v>1205</v>
      </c>
      <c r="E158" t="s">
        <v>208</v>
      </c>
      <c r="F158" t="s">
        <v>208</v>
      </c>
      <c r="G158" s="75">
        <v>0</v>
      </c>
      <c r="H158" t="s">
        <v>208</v>
      </c>
      <c r="I158" s="6">
        <v>0</v>
      </c>
      <c r="J158" s="78"/>
      <c r="K158" s="78"/>
    </row>
    <row r="159" spans="2:11" x14ac:dyDescent="0.25">
      <c r="B159" t="s">
        <v>208</v>
      </c>
      <c r="C159" t="s">
        <v>1206</v>
      </c>
      <c r="D159" t="s">
        <v>1206</v>
      </c>
      <c r="E159" t="s">
        <v>1207</v>
      </c>
      <c r="F159" t="s">
        <v>1208</v>
      </c>
      <c r="G159" s="75">
        <v>15428</v>
      </c>
      <c r="H159" t="s">
        <v>208</v>
      </c>
      <c r="I159" s="6">
        <v>0</v>
      </c>
      <c r="J159" s="78" t="s">
        <v>208</v>
      </c>
      <c r="K159" s="78"/>
    </row>
    <row r="160" spans="2:11" x14ac:dyDescent="0.25">
      <c r="B160" t="s">
        <v>208</v>
      </c>
      <c r="C160" t="s">
        <v>1206</v>
      </c>
      <c r="D160" t="s">
        <v>1209</v>
      </c>
      <c r="E160" t="s">
        <v>1209</v>
      </c>
      <c r="F160" t="s">
        <v>1208</v>
      </c>
      <c r="G160" s="75">
        <v>15428</v>
      </c>
      <c r="H160" t="s">
        <v>208</v>
      </c>
      <c r="I160" s="6">
        <v>0</v>
      </c>
      <c r="J160" s="78">
        <v>42807</v>
      </c>
      <c r="K160" s="78"/>
    </row>
    <row r="161" spans="2:11" x14ac:dyDescent="0.25">
      <c r="B161" t="s">
        <v>208</v>
      </c>
      <c r="C161" t="s">
        <v>1210</v>
      </c>
      <c r="D161" t="s">
        <v>1210</v>
      </c>
      <c r="E161" t="s">
        <v>1211</v>
      </c>
      <c r="F161" t="s">
        <v>1212</v>
      </c>
      <c r="G161" s="75">
        <v>116912</v>
      </c>
      <c r="H161">
        <v>4.335</v>
      </c>
      <c r="I161" s="6">
        <v>1</v>
      </c>
      <c r="J161" s="78">
        <v>43434</v>
      </c>
      <c r="K161" s="78"/>
    </row>
    <row r="162" spans="2:11" x14ac:dyDescent="0.25">
      <c r="B162" t="s">
        <v>208</v>
      </c>
      <c r="C162" t="s">
        <v>1210</v>
      </c>
      <c r="D162" t="s">
        <v>1213</v>
      </c>
      <c r="E162" t="s">
        <v>1214</v>
      </c>
      <c r="F162" t="s">
        <v>1214</v>
      </c>
      <c r="G162" s="75">
        <v>116912</v>
      </c>
      <c r="H162">
        <v>4.335</v>
      </c>
      <c r="I162" s="6">
        <v>1</v>
      </c>
      <c r="J162" s="78">
        <v>43434</v>
      </c>
      <c r="K162" s="78"/>
    </row>
    <row r="163" spans="2:11" x14ac:dyDescent="0.25">
      <c r="B163" t="s">
        <v>208</v>
      </c>
      <c r="C163" t="s">
        <v>1210</v>
      </c>
      <c r="D163" t="s">
        <v>1215</v>
      </c>
      <c r="E163" t="s">
        <v>1215</v>
      </c>
      <c r="F163" t="s">
        <v>1216</v>
      </c>
      <c r="G163" s="75">
        <v>116912</v>
      </c>
      <c r="H163">
        <v>4.335</v>
      </c>
      <c r="I163" s="6">
        <v>1</v>
      </c>
      <c r="J163" s="78">
        <v>43434</v>
      </c>
      <c r="K163" s="78"/>
    </row>
    <row r="164" spans="2:11" x14ac:dyDescent="0.25">
      <c r="B164" t="s">
        <v>208</v>
      </c>
      <c r="C164" t="s">
        <v>1210</v>
      </c>
      <c r="D164" t="s">
        <v>1217</v>
      </c>
      <c r="E164" t="s">
        <v>1217</v>
      </c>
      <c r="F164" t="s">
        <v>1218</v>
      </c>
      <c r="G164" s="75">
        <v>116912</v>
      </c>
      <c r="H164">
        <v>4.335</v>
      </c>
      <c r="I164" s="6">
        <v>1</v>
      </c>
      <c r="J164" s="78">
        <v>43434</v>
      </c>
      <c r="K164" s="78"/>
    </row>
    <row r="165" spans="2:11" x14ac:dyDescent="0.25">
      <c r="B165" t="s">
        <v>208</v>
      </c>
      <c r="C165" t="s">
        <v>1210</v>
      </c>
      <c r="D165" t="s">
        <v>1219</v>
      </c>
      <c r="E165" t="s">
        <v>1219</v>
      </c>
      <c r="F165" t="s">
        <v>1219</v>
      </c>
      <c r="G165" s="75">
        <v>116912</v>
      </c>
      <c r="H165">
        <v>4.335</v>
      </c>
      <c r="I165" s="6">
        <v>1</v>
      </c>
      <c r="J165" s="78">
        <v>43434</v>
      </c>
      <c r="K165" s="78"/>
    </row>
    <row r="166" spans="2:11" x14ac:dyDescent="0.25">
      <c r="B166" t="s">
        <v>208</v>
      </c>
      <c r="C166" t="s">
        <v>1220</v>
      </c>
      <c r="D166" t="s">
        <v>1220</v>
      </c>
      <c r="E166" t="s">
        <v>208</v>
      </c>
      <c r="F166" t="s">
        <v>208</v>
      </c>
      <c r="G166" s="75">
        <v>0</v>
      </c>
      <c r="H166">
        <v>2.7330000000000001</v>
      </c>
      <c r="I166" s="6">
        <v>1</v>
      </c>
      <c r="J166" s="78">
        <v>44782</v>
      </c>
      <c r="K166" s="78"/>
    </row>
    <row r="167" spans="2:11" x14ac:dyDescent="0.25">
      <c r="B167" t="s">
        <v>208</v>
      </c>
      <c r="C167" t="s">
        <v>1220</v>
      </c>
      <c r="D167" t="s">
        <v>934</v>
      </c>
      <c r="E167" t="s">
        <v>934</v>
      </c>
      <c r="F167" t="s">
        <v>1221</v>
      </c>
      <c r="G167" s="75">
        <v>0</v>
      </c>
      <c r="H167">
        <v>2.7330000000000001</v>
      </c>
      <c r="I167" s="6">
        <v>1</v>
      </c>
      <c r="J167" s="78">
        <v>44782</v>
      </c>
      <c r="K167" s="78"/>
    </row>
    <row r="168" spans="2:11" x14ac:dyDescent="0.25">
      <c r="B168" t="s">
        <v>208</v>
      </c>
      <c r="C168" t="s">
        <v>1222</v>
      </c>
      <c r="D168" t="s">
        <v>1222</v>
      </c>
      <c r="E168" t="s">
        <v>208</v>
      </c>
      <c r="F168" t="s">
        <v>208</v>
      </c>
      <c r="G168" s="75">
        <v>1342806</v>
      </c>
      <c r="H168">
        <v>0.53900000000000003</v>
      </c>
      <c r="I168" s="6">
        <v>5</v>
      </c>
      <c r="J168" s="78" t="s">
        <v>208</v>
      </c>
      <c r="K168" s="78"/>
    </row>
    <row r="169" spans="2:11" x14ac:dyDescent="0.25">
      <c r="B169" t="s">
        <v>1097</v>
      </c>
      <c r="C169" t="s">
        <v>1222</v>
      </c>
      <c r="D169" t="s">
        <v>603</v>
      </c>
      <c r="E169" t="s">
        <v>959</v>
      </c>
      <c r="F169" t="s">
        <v>959</v>
      </c>
      <c r="G169" s="75">
        <v>1342806</v>
      </c>
      <c r="H169">
        <v>0.53900000000000003</v>
      </c>
      <c r="I169" s="6">
        <v>5</v>
      </c>
      <c r="J169" s="78">
        <v>36896</v>
      </c>
      <c r="K169" s="78"/>
    </row>
    <row r="170" spans="2:11" x14ac:dyDescent="0.25">
      <c r="B170" t="s">
        <v>208</v>
      </c>
      <c r="C170" t="s">
        <v>1222</v>
      </c>
      <c r="D170" t="s">
        <v>1223</v>
      </c>
      <c r="E170" t="s">
        <v>208</v>
      </c>
      <c r="F170" t="s">
        <v>208</v>
      </c>
      <c r="G170" s="75">
        <v>1342806</v>
      </c>
      <c r="H170">
        <v>0.53900000000000003</v>
      </c>
      <c r="I170" s="6">
        <v>5</v>
      </c>
      <c r="J170" s="78" t="s">
        <v>208</v>
      </c>
      <c r="K170" s="78"/>
    </row>
    <row r="171" spans="2:11" x14ac:dyDescent="0.25">
      <c r="B171" t="s">
        <v>208</v>
      </c>
      <c r="C171" t="s">
        <v>1222</v>
      </c>
      <c r="D171" t="s">
        <v>1224</v>
      </c>
      <c r="E171" t="s">
        <v>208</v>
      </c>
      <c r="F171" t="s">
        <v>208</v>
      </c>
      <c r="G171" s="75">
        <v>1342806</v>
      </c>
      <c r="H171">
        <v>0.53900000000000003</v>
      </c>
      <c r="I171" s="6">
        <v>5</v>
      </c>
      <c r="J171" s="78" t="s">
        <v>208</v>
      </c>
      <c r="K171" s="78"/>
    </row>
    <row r="172" spans="2:11" x14ac:dyDescent="0.25">
      <c r="B172" t="s">
        <v>208</v>
      </c>
      <c r="C172" t="s">
        <v>1225</v>
      </c>
      <c r="D172" t="s">
        <v>1225</v>
      </c>
      <c r="E172" t="s">
        <v>208</v>
      </c>
      <c r="F172" t="s">
        <v>208</v>
      </c>
      <c r="G172" s="75">
        <v>0</v>
      </c>
      <c r="H172" t="s">
        <v>208</v>
      </c>
      <c r="I172" s="6">
        <v>0</v>
      </c>
      <c r="J172" s="78" t="s">
        <v>208</v>
      </c>
      <c r="K172" s="78"/>
    </row>
    <row r="173" spans="2:11" x14ac:dyDescent="0.25">
      <c r="B173" t="s">
        <v>208</v>
      </c>
      <c r="C173" t="s">
        <v>1225</v>
      </c>
      <c r="D173" t="s">
        <v>1226</v>
      </c>
      <c r="E173" t="s">
        <v>208</v>
      </c>
      <c r="F173" t="s">
        <v>208</v>
      </c>
      <c r="G173" s="75">
        <v>0</v>
      </c>
      <c r="H173" t="s">
        <v>208</v>
      </c>
      <c r="I173" s="6">
        <v>0</v>
      </c>
      <c r="J173" s="78"/>
      <c r="K173" s="78"/>
    </row>
    <row r="174" spans="2:11" x14ac:dyDescent="0.25">
      <c r="B174" t="s">
        <v>208</v>
      </c>
      <c r="C174" t="s">
        <v>1227</v>
      </c>
      <c r="D174" t="s">
        <v>1227</v>
      </c>
      <c r="E174" t="s">
        <v>208</v>
      </c>
      <c r="F174" t="s">
        <v>208</v>
      </c>
      <c r="G174" s="75">
        <v>0</v>
      </c>
      <c r="H174" t="s">
        <v>208</v>
      </c>
      <c r="I174" s="6">
        <v>0</v>
      </c>
      <c r="J174" s="78">
        <v>39729</v>
      </c>
      <c r="K174" s="78"/>
    </row>
    <row r="175" spans="2:11" x14ac:dyDescent="0.25">
      <c r="B175" t="s">
        <v>1126</v>
      </c>
      <c r="C175" t="s">
        <v>1227</v>
      </c>
      <c r="D175" t="s">
        <v>456</v>
      </c>
      <c r="E175" t="s">
        <v>456</v>
      </c>
      <c r="F175" t="s">
        <v>1228</v>
      </c>
      <c r="G175" s="75">
        <v>0</v>
      </c>
      <c r="H175" t="s">
        <v>208</v>
      </c>
      <c r="I175" s="6">
        <v>0</v>
      </c>
      <c r="J175" s="78">
        <v>39729</v>
      </c>
      <c r="K175" s="78"/>
    </row>
    <row r="176" spans="2:11" x14ac:dyDescent="0.25">
      <c r="B176" t="s">
        <v>1126</v>
      </c>
      <c r="C176" t="s">
        <v>1227</v>
      </c>
      <c r="D176" t="s">
        <v>498</v>
      </c>
      <c r="E176" t="s">
        <v>946</v>
      </c>
      <c r="F176" t="s">
        <v>1229</v>
      </c>
      <c r="G176" s="75">
        <v>0</v>
      </c>
      <c r="H176" t="s">
        <v>208</v>
      </c>
      <c r="I176" s="6">
        <v>0</v>
      </c>
      <c r="J176" s="78">
        <v>39729</v>
      </c>
      <c r="K176" s="78"/>
    </row>
    <row r="177" spans="2:11" x14ac:dyDescent="0.25">
      <c r="B177" t="s">
        <v>208</v>
      </c>
      <c r="C177" t="s">
        <v>614</v>
      </c>
      <c r="D177" t="s">
        <v>614</v>
      </c>
      <c r="E177" t="s">
        <v>1230</v>
      </c>
      <c r="F177" t="s">
        <v>1231</v>
      </c>
      <c r="G177" s="75">
        <v>0</v>
      </c>
      <c r="H177">
        <v>0.123</v>
      </c>
      <c r="I177" s="6">
        <v>5</v>
      </c>
      <c r="J177" s="78">
        <v>44560</v>
      </c>
      <c r="K177" s="78"/>
    </row>
    <row r="178" spans="2:11" x14ac:dyDescent="0.25">
      <c r="B178" t="s">
        <v>208</v>
      </c>
      <c r="C178" t="s">
        <v>614</v>
      </c>
      <c r="D178" t="s">
        <v>529</v>
      </c>
      <c r="E178" t="s">
        <v>951</v>
      </c>
      <c r="F178" t="s">
        <v>1232</v>
      </c>
      <c r="G178" s="75">
        <v>0</v>
      </c>
      <c r="H178">
        <v>0.123</v>
      </c>
      <c r="I178" s="6">
        <v>5</v>
      </c>
      <c r="J178" s="78">
        <v>44560</v>
      </c>
      <c r="K178" s="78"/>
    </row>
    <row r="179" spans="2:11" x14ac:dyDescent="0.25">
      <c r="B179" t="s">
        <v>208</v>
      </c>
      <c r="C179" t="s">
        <v>614</v>
      </c>
      <c r="D179" t="s">
        <v>1233</v>
      </c>
      <c r="E179" t="s">
        <v>208</v>
      </c>
      <c r="F179" t="s">
        <v>208</v>
      </c>
      <c r="G179" s="75">
        <v>0</v>
      </c>
      <c r="H179">
        <v>0.123</v>
      </c>
      <c r="I179" s="6">
        <v>5</v>
      </c>
      <c r="J179" s="78">
        <v>44560</v>
      </c>
      <c r="K179" s="78"/>
    </row>
    <row r="180" spans="2:11" x14ac:dyDescent="0.25">
      <c r="B180" t="s">
        <v>208</v>
      </c>
      <c r="C180" t="s">
        <v>1234</v>
      </c>
      <c r="D180" t="s">
        <v>1234</v>
      </c>
      <c r="E180" t="s">
        <v>208</v>
      </c>
      <c r="F180" t="s">
        <v>208</v>
      </c>
      <c r="G180" s="75">
        <v>36702</v>
      </c>
      <c r="H180">
        <v>1.5649999999999999</v>
      </c>
      <c r="I180" s="6">
        <v>3</v>
      </c>
      <c r="J180" s="78">
        <v>44125</v>
      </c>
      <c r="K180" s="78"/>
    </row>
    <row r="181" spans="2:11" x14ac:dyDescent="0.25">
      <c r="B181" t="s">
        <v>208</v>
      </c>
      <c r="C181" t="s">
        <v>1234</v>
      </c>
      <c r="D181" t="s">
        <v>483</v>
      </c>
      <c r="E181" t="s">
        <v>483</v>
      </c>
      <c r="F181" t="s">
        <v>483</v>
      </c>
      <c r="G181" s="75">
        <v>36702</v>
      </c>
      <c r="H181">
        <v>1.5649999999999999</v>
      </c>
      <c r="I181" s="6">
        <v>3</v>
      </c>
      <c r="J181" s="78">
        <v>44125</v>
      </c>
      <c r="K181" s="78"/>
    </row>
    <row r="182" spans="2:11" x14ac:dyDescent="0.25">
      <c r="B182" t="s">
        <v>208</v>
      </c>
      <c r="C182" t="s">
        <v>1234</v>
      </c>
      <c r="D182" t="s">
        <v>961</v>
      </c>
      <c r="E182" t="s">
        <v>961</v>
      </c>
      <c r="F182" t="s">
        <v>961</v>
      </c>
      <c r="G182" s="75">
        <v>36702</v>
      </c>
      <c r="H182">
        <v>1.5649999999999999</v>
      </c>
      <c r="I182" s="6">
        <v>3</v>
      </c>
      <c r="J182" s="78">
        <v>44125</v>
      </c>
      <c r="K182" s="78"/>
    </row>
    <row r="183" spans="2:11" x14ac:dyDescent="0.25">
      <c r="B183" t="s">
        <v>208</v>
      </c>
      <c r="C183" t="s">
        <v>1234</v>
      </c>
      <c r="D183" t="s">
        <v>1235</v>
      </c>
      <c r="E183" t="s">
        <v>208</v>
      </c>
      <c r="F183" t="s">
        <v>208</v>
      </c>
      <c r="G183" s="75">
        <v>36702</v>
      </c>
      <c r="H183">
        <v>1.5649999999999999</v>
      </c>
      <c r="I183" s="6">
        <v>3</v>
      </c>
      <c r="J183" s="78"/>
      <c r="K183" s="78"/>
    </row>
    <row r="184" spans="2:11" x14ac:dyDescent="0.25">
      <c r="B184" t="s">
        <v>208</v>
      </c>
      <c r="C184" t="s">
        <v>644</v>
      </c>
      <c r="D184" t="s">
        <v>644</v>
      </c>
      <c r="E184" t="s">
        <v>1236</v>
      </c>
      <c r="F184" t="s">
        <v>1237</v>
      </c>
      <c r="G184" s="75">
        <v>0</v>
      </c>
      <c r="H184" t="s">
        <v>208</v>
      </c>
      <c r="I184" s="6">
        <v>0</v>
      </c>
      <c r="J184" s="78">
        <v>42921</v>
      </c>
      <c r="K184" s="78"/>
    </row>
    <row r="185" spans="2:11" x14ac:dyDescent="0.25">
      <c r="B185" t="s">
        <v>208</v>
      </c>
      <c r="C185" t="s">
        <v>1238</v>
      </c>
      <c r="D185" t="s">
        <v>1238</v>
      </c>
      <c r="E185" t="s">
        <v>1239</v>
      </c>
      <c r="F185" t="s">
        <v>1240</v>
      </c>
      <c r="G185" s="75">
        <v>8</v>
      </c>
      <c r="H185" t="s">
        <v>208</v>
      </c>
      <c r="I185" s="6">
        <v>0</v>
      </c>
      <c r="J185" s="78">
        <v>43108</v>
      </c>
      <c r="K185" s="78"/>
    </row>
    <row r="186" spans="2:11" x14ac:dyDescent="0.25">
      <c r="B186" t="s">
        <v>208</v>
      </c>
      <c r="C186" t="s">
        <v>1241</v>
      </c>
      <c r="D186" t="s">
        <v>1241</v>
      </c>
      <c r="E186" t="s">
        <v>208</v>
      </c>
      <c r="F186" t="s">
        <v>208</v>
      </c>
      <c r="G186" s="75">
        <v>0</v>
      </c>
      <c r="H186" t="s">
        <v>208</v>
      </c>
      <c r="I186" s="6">
        <v>0</v>
      </c>
      <c r="J186" s="78"/>
      <c r="K186" s="78"/>
    </row>
    <row r="187" spans="2:11" x14ac:dyDescent="0.25">
      <c r="B187" t="s">
        <v>1242</v>
      </c>
      <c r="C187" t="s">
        <v>650</v>
      </c>
      <c r="D187" t="s">
        <v>650</v>
      </c>
      <c r="E187" t="s">
        <v>1243</v>
      </c>
      <c r="F187" t="s">
        <v>1244</v>
      </c>
      <c r="G187" s="75">
        <v>11110</v>
      </c>
      <c r="H187">
        <v>1.694</v>
      </c>
      <c r="I187" s="6">
        <v>2</v>
      </c>
      <c r="J187" s="78">
        <v>43607</v>
      </c>
      <c r="K187" s="78"/>
    </row>
    <row r="188" spans="2:11" x14ac:dyDescent="0.25">
      <c r="B188" t="s">
        <v>1242</v>
      </c>
      <c r="C188" t="s">
        <v>650</v>
      </c>
      <c r="D188" t="s">
        <v>602</v>
      </c>
      <c r="E188" t="s">
        <v>602</v>
      </c>
      <c r="F188" t="s">
        <v>1245</v>
      </c>
      <c r="G188" s="75">
        <v>11110</v>
      </c>
      <c r="H188">
        <v>1.694</v>
      </c>
      <c r="I188" s="6">
        <v>2</v>
      </c>
      <c r="J188" s="78">
        <v>43607</v>
      </c>
      <c r="K188" s="78"/>
    </row>
    <row r="189" spans="2:11" x14ac:dyDescent="0.25">
      <c r="B189" t="s">
        <v>208</v>
      </c>
      <c r="C189" t="s">
        <v>650</v>
      </c>
      <c r="D189" t="s">
        <v>1246</v>
      </c>
      <c r="E189" t="s">
        <v>208</v>
      </c>
      <c r="F189" t="s">
        <v>208</v>
      </c>
      <c r="G189" s="75">
        <v>11110</v>
      </c>
      <c r="H189">
        <v>1.694</v>
      </c>
      <c r="I189" s="6">
        <v>2</v>
      </c>
      <c r="J189" s="78">
        <v>43607</v>
      </c>
      <c r="K189" s="78"/>
    </row>
    <row r="190" spans="2:11" x14ac:dyDescent="0.25">
      <c r="B190" t="s">
        <v>1247</v>
      </c>
      <c r="C190" t="s">
        <v>651</v>
      </c>
      <c r="D190" t="s">
        <v>651</v>
      </c>
      <c r="E190" t="s">
        <v>1248</v>
      </c>
      <c r="F190" t="s">
        <v>1249</v>
      </c>
      <c r="G190" s="75">
        <v>46192</v>
      </c>
      <c r="H190">
        <v>1.159</v>
      </c>
      <c r="I190" s="6">
        <v>4</v>
      </c>
      <c r="J190" s="78">
        <v>37368</v>
      </c>
      <c r="K190" s="78"/>
    </row>
    <row r="191" spans="2:11" x14ac:dyDescent="0.25">
      <c r="B191" t="s">
        <v>208</v>
      </c>
      <c r="C191" t="s">
        <v>1250</v>
      </c>
      <c r="D191" t="s">
        <v>1250</v>
      </c>
      <c r="E191" t="s">
        <v>1251</v>
      </c>
      <c r="F191" t="s">
        <v>1252</v>
      </c>
      <c r="G191" s="75">
        <v>107</v>
      </c>
      <c r="H191" t="s">
        <v>208</v>
      </c>
      <c r="I191" s="6">
        <v>0</v>
      </c>
      <c r="J191" s="78">
        <v>40722</v>
      </c>
      <c r="K191" s="78"/>
    </row>
    <row r="192" spans="2:11" x14ac:dyDescent="0.25">
      <c r="B192" t="s">
        <v>208</v>
      </c>
      <c r="C192" t="s">
        <v>1253</v>
      </c>
      <c r="D192" t="s">
        <v>1253</v>
      </c>
      <c r="E192" t="s">
        <v>208</v>
      </c>
      <c r="F192" t="s">
        <v>208</v>
      </c>
      <c r="G192" s="75">
        <v>223744</v>
      </c>
      <c r="H192" t="s">
        <v>208</v>
      </c>
      <c r="I192" s="6">
        <v>0</v>
      </c>
      <c r="J192" s="78" t="s">
        <v>208</v>
      </c>
      <c r="K192" s="78"/>
    </row>
    <row r="193" spans="2:11" x14ac:dyDescent="0.25">
      <c r="B193" t="s">
        <v>208</v>
      </c>
      <c r="C193" t="s">
        <v>1253</v>
      </c>
      <c r="D193" t="s">
        <v>1254</v>
      </c>
      <c r="E193" t="s">
        <v>208</v>
      </c>
      <c r="F193" t="s">
        <v>208</v>
      </c>
      <c r="G193" s="75">
        <v>223744</v>
      </c>
      <c r="H193" t="s">
        <v>208</v>
      </c>
      <c r="I193" s="6">
        <v>0</v>
      </c>
      <c r="J193" s="78" t="s">
        <v>208</v>
      </c>
      <c r="K193" s="78"/>
    </row>
    <row r="194" spans="2:11" x14ac:dyDescent="0.25">
      <c r="B194" t="s">
        <v>208</v>
      </c>
      <c r="C194" t="s">
        <v>1253</v>
      </c>
      <c r="D194" t="s">
        <v>1255</v>
      </c>
      <c r="E194" t="s">
        <v>1256</v>
      </c>
      <c r="F194" t="s">
        <v>1257</v>
      </c>
      <c r="G194" s="75">
        <v>223744</v>
      </c>
      <c r="H194" t="s">
        <v>208</v>
      </c>
      <c r="I194" s="6">
        <v>0</v>
      </c>
      <c r="J194" s="78">
        <v>38373</v>
      </c>
      <c r="K194" s="78"/>
    </row>
    <row r="195" spans="2:11" x14ac:dyDescent="0.25">
      <c r="B195" t="s">
        <v>208</v>
      </c>
      <c r="C195" t="s">
        <v>1258</v>
      </c>
      <c r="D195" t="s">
        <v>1258</v>
      </c>
      <c r="E195" t="s">
        <v>1259</v>
      </c>
      <c r="F195" t="s">
        <v>1260</v>
      </c>
      <c r="G195" s="75">
        <v>24055</v>
      </c>
      <c r="H195">
        <v>0.78800000000000003</v>
      </c>
      <c r="I195" s="6">
        <v>4</v>
      </c>
      <c r="J195" s="78">
        <v>40815</v>
      </c>
      <c r="K195" s="78"/>
    </row>
    <row r="196" spans="2:11" x14ac:dyDescent="0.25">
      <c r="B196" t="s">
        <v>208</v>
      </c>
      <c r="C196" t="s">
        <v>1258</v>
      </c>
      <c r="D196" t="s">
        <v>1261</v>
      </c>
      <c r="E196" t="s">
        <v>208</v>
      </c>
      <c r="F196" t="s">
        <v>208</v>
      </c>
      <c r="G196" s="75">
        <v>24055</v>
      </c>
      <c r="H196">
        <v>0.78800000000000003</v>
      </c>
      <c r="I196" s="6">
        <v>4</v>
      </c>
      <c r="J196" s="78" t="s">
        <v>208</v>
      </c>
      <c r="K196" s="78"/>
    </row>
    <row r="197" spans="2:11" x14ac:dyDescent="0.25">
      <c r="B197" t="s">
        <v>208</v>
      </c>
      <c r="C197" t="s">
        <v>1258</v>
      </c>
      <c r="D197" t="s">
        <v>1262</v>
      </c>
      <c r="E197" t="s">
        <v>1263</v>
      </c>
      <c r="F197" t="s">
        <v>1264</v>
      </c>
      <c r="G197" s="75">
        <v>24055</v>
      </c>
      <c r="H197">
        <v>0.78800000000000003</v>
      </c>
      <c r="I197" s="6">
        <v>4</v>
      </c>
      <c r="J197" s="78">
        <v>40815</v>
      </c>
      <c r="K197" s="78"/>
    </row>
    <row r="198" spans="2:11" x14ac:dyDescent="0.25">
      <c r="B198" t="s">
        <v>208</v>
      </c>
      <c r="C198" t="s">
        <v>1265</v>
      </c>
      <c r="D198" t="s">
        <v>1265</v>
      </c>
      <c r="E198" t="s">
        <v>208</v>
      </c>
      <c r="F198" t="s">
        <v>208</v>
      </c>
      <c r="G198" s="75">
        <v>215</v>
      </c>
      <c r="H198">
        <v>1.806</v>
      </c>
      <c r="I198" s="6">
        <v>2</v>
      </c>
      <c r="J198" s="78" t="s">
        <v>208</v>
      </c>
      <c r="K198" s="78"/>
    </row>
    <row r="199" spans="2:11" x14ac:dyDescent="0.25">
      <c r="B199" t="s">
        <v>208</v>
      </c>
      <c r="C199" t="s">
        <v>1265</v>
      </c>
      <c r="D199" t="s">
        <v>1266</v>
      </c>
      <c r="E199" t="s">
        <v>1267</v>
      </c>
      <c r="F199" t="s">
        <v>1268</v>
      </c>
      <c r="G199" s="75">
        <v>215</v>
      </c>
      <c r="H199">
        <v>1.806</v>
      </c>
      <c r="I199" s="6">
        <v>2</v>
      </c>
      <c r="J199" s="78">
        <v>37327</v>
      </c>
      <c r="K199" s="78"/>
    </row>
    <row r="200" spans="2:11" x14ac:dyDescent="0.25">
      <c r="B200" t="s">
        <v>1121</v>
      </c>
      <c r="C200" t="s">
        <v>1265</v>
      </c>
      <c r="D200" t="s">
        <v>673</v>
      </c>
      <c r="E200" t="s">
        <v>965</v>
      </c>
      <c r="F200" t="s">
        <v>1269</v>
      </c>
      <c r="G200" s="75">
        <v>215</v>
      </c>
      <c r="H200">
        <v>1.806</v>
      </c>
      <c r="I200" s="6">
        <v>2</v>
      </c>
      <c r="J200" s="78">
        <v>37327</v>
      </c>
      <c r="K200" s="78"/>
    </row>
    <row r="201" spans="2:11" x14ac:dyDescent="0.25">
      <c r="B201" t="s">
        <v>208</v>
      </c>
      <c r="C201" t="s">
        <v>1270</v>
      </c>
      <c r="D201" t="s">
        <v>1270</v>
      </c>
      <c r="E201" t="s">
        <v>208</v>
      </c>
      <c r="F201" t="s">
        <v>208</v>
      </c>
      <c r="G201" s="75">
        <v>0</v>
      </c>
      <c r="H201" t="s">
        <v>208</v>
      </c>
      <c r="I201" s="6">
        <v>0</v>
      </c>
      <c r="J201" s="78"/>
      <c r="K201" s="78"/>
    </row>
    <row r="202" spans="2:11" x14ac:dyDescent="0.25">
      <c r="B202" t="s">
        <v>208</v>
      </c>
      <c r="C202" t="s">
        <v>1270</v>
      </c>
      <c r="D202" t="s">
        <v>1271</v>
      </c>
      <c r="E202" t="s">
        <v>1272</v>
      </c>
      <c r="F202" t="s">
        <v>1272</v>
      </c>
      <c r="G202" s="75">
        <v>0</v>
      </c>
      <c r="H202" t="s">
        <v>208</v>
      </c>
      <c r="I202" s="6">
        <v>0</v>
      </c>
      <c r="J202" s="78"/>
      <c r="K202" s="78"/>
    </row>
    <row r="203" spans="2:11" x14ac:dyDescent="0.25">
      <c r="B203" t="s">
        <v>208</v>
      </c>
      <c r="C203" t="s">
        <v>1273</v>
      </c>
      <c r="D203" t="s">
        <v>1273</v>
      </c>
      <c r="E203" t="s">
        <v>208</v>
      </c>
      <c r="F203" t="s">
        <v>208</v>
      </c>
      <c r="G203" s="75">
        <v>0</v>
      </c>
      <c r="H203" t="s">
        <v>208</v>
      </c>
      <c r="I203" s="6">
        <v>0</v>
      </c>
      <c r="J203" s="78"/>
      <c r="K203" s="78"/>
    </row>
    <row r="204" spans="2:11" x14ac:dyDescent="0.25">
      <c r="B204" t="s">
        <v>1247</v>
      </c>
      <c r="C204" t="s">
        <v>697</v>
      </c>
      <c r="D204" t="s">
        <v>697</v>
      </c>
      <c r="E204" t="s">
        <v>1274</v>
      </c>
      <c r="F204" t="s">
        <v>1275</v>
      </c>
      <c r="G204" s="75">
        <v>0</v>
      </c>
      <c r="H204" t="s">
        <v>208</v>
      </c>
      <c r="I204" s="6">
        <v>0</v>
      </c>
      <c r="J204" s="78">
        <v>44140</v>
      </c>
      <c r="K204" s="78"/>
    </row>
    <row r="205" spans="2:11" x14ac:dyDescent="0.25">
      <c r="B205" t="s">
        <v>208</v>
      </c>
      <c r="C205" t="s">
        <v>1276</v>
      </c>
      <c r="D205" t="s">
        <v>1276</v>
      </c>
      <c r="E205" t="s">
        <v>1277</v>
      </c>
      <c r="F205" t="s">
        <v>1278</v>
      </c>
      <c r="G205" s="75">
        <v>0</v>
      </c>
      <c r="H205" t="s">
        <v>208</v>
      </c>
      <c r="I205" s="6">
        <v>0</v>
      </c>
      <c r="J205" s="78" t="s">
        <v>208</v>
      </c>
      <c r="K205" s="78"/>
    </row>
    <row r="206" spans="2:11" x14ac:dyDescent="0.25">
      <c r="B206" t="s">
        <v>208</v>
      </c>
      <c r="C206" t="s">
        <v>1279</v>
      </c>
      <c r="D206" t="s">
        <v>1279</v>
      </c>
      <c r="E206" t="s">
        <v>208</v>
      </c>
      <c r="F206" t="s">
        <v>208</v>
      </c>
      <c r="G206" s="75">
        <v>58681</v>
      </c>
      <c r="H206" t="s">
        <v>208</v>
      </c>
      <c r="I206" s="6">
        <v>0</v>
      </c>
      <c r="J206" s="78" t="s">
        <v>208</v>
      </c>
      <c r="K206" s="78"/>
    </row>
    <row r="207" spans="2:11" x14ac:dyDescent="0.25">
      <c r="B207" t="s">
        <v>208</v>
      </c>
      <c r="C207" t="s">
        <v>1279</v>
      </c>
      <c r="D207" t="s">
        <v>1280</v>
      </c>
      <c r="E207" t="s">
        <v>208</v>
      </c>
      <c r="F207" t="s">
        <v>208</v>
      </c>
      <c r="G207" s="75">
        <v>58681</v>
      </c>
      <c r="H207" t="s">
        <v>208</v>
      </c>
      <c r="I207" s="6">
        <v>0</v>
      </c>
      <c r="J207" s="78" t="s">
        <v>208</v>
      </c>
      <c r="K207" s="78"/>
    </row>
    <row r="208" spans="2:11" x14ac:dyDescent="0.25">
      <c r="B208" t="s">
        <v>208</v>
      </c>
      <c r="C208" t="s">
        <v>1279</v>
      </c>
      <c r="D208" t="s">
        <v>1281</v>
      </c>
      <c r="E208" t="s">
        <v>1282</v>
      </c>
      <c r="F208" t="s">
        <v>1283</v>
      </c>
      <c r="G208" s="75">
        <v>58681</v>
      </c>
      <c r="H208" t="s">
        <v>208</v>
      </c>
      <c r="I208" s="6">
        <v>0</v>
      </c>
      <c r="J208" s="78">
        <v>38881</v>
      </c>
      <c r="K208" s="78"/>
    </row>
    <row r="209" spans="2:11" x14ac:dyDescent="0.25">
      <c r="B209" t="s">
        <v>208</v>
      </c>
      <c r="C209" t="s">
        <v>1279</v>
      </c>
      <c r="D209" t="s">
        <v>1284</v>
      </c>
      <c r="E209" t="s">
        <v>1285</v>
      </c>
      <c r="F209" t="s">
        <v>1286</v>
      </c>
      <c r="G209" s="75">
        <v>58681</v>
      </c>
      <c r="H209" t="s">
        <v>208</v>
      </c>
      <c r="I209" s="6">
        <v>0</v>
      </c>
      <c r="J209" s="78">
        <v>38881</v>
      </c>
      <c r="K209" s="78"/>
    </row>
    <row r="210" spans="2:11" x14ac:dyDescent="0.25">
      <c r="B210" t="s">
        <v>208</v>
      </c>
      <c r="C210" t="s">
        <v>1279</v>
      </c>
      <c r="D210" t="s">
        <v>1287</v>
      </c>
      <c r="E210" t="s">
        <v>1288</v>
      </c>
      <c r="F210" t="s">
        <v>1289</v>
      </c>
      <c r="G210" s="75">
        <v>58681</v>
      </c>
      <c r="H210" t="s">
        <v>208</v>
      </c>
      <c r="I210" s="6">
        <v>0</v>
      </c>
      <c r="J210" s="78">
        <v>38881</v>
      </c>
      <c r="K210" s="78"/>
    </row>
    <row r="211" spans="2:11" x14ac:dyDescent="0.25">
      <c r="B211" t="s">
        <v>208</v>
      </c>
      <c r="C211" t="s">
        <v>1279</v>
      </c>
      <c r="D211" t="s">
        <v>1290</v>
      </c>
      <c r="E211" t="s">
        <v>1290</v>
      </c>
      <c r="F211" t="s">
        <v>1290</v>
      </c>
      <c r="G211" s="75">
        <v>58681</v>
      </c>
      <c r="H211" t="s">
        <v>208</v>
      </c>
      <c r="I211" s="6">
        <v>0</v>
      </c>
      <c r="J211" s="78">
        <v>38881</v>
      </c>
      <c r="K211" s="78"/>
    </row>
    <row r="212" spans="2:11" x14ac:dyDescent="0.25">
      <c r="B212" t="s">
        <v>208</v>
      </c>
      <c r="C212" t="s">
        <v>1291</v>
      </c>
      <c r="D212" t="s">
        <v>1291</v>
      </c>
      <c r="E212" t="s">
        <v>1292</v>
      </c>
      <c r="F212" t="s">
        <v>1293</v>
      </c>
      <c r="G212" s="75">
        <v>0</v>
      </c>
      <c r="H212">
        <v>0.73699999999999999</v>
      </c>
      <c r="I212" s="6">
        <v>4</v>
      </c>
      <c r="J212" s="78">
        <v>43776</v>
      </c>
      <c r="K212" s="78"/>
    </row>
    <row r="213" spans="2:11" x14ac:dyDescent="0.25">
      <c r="B213" t="s">
        <v>208</v>
      </c>
      <c r="C213" t="s">
        <v>1291</v>
      </c>
      <c r="D213" t="s">
        <v>449</v>
      </c>
      <c r="E213" t="s">
        <v>449</v>
      </c>
      <c r="F213" t="s">
        <v>1294</v>
      </c>
      <c r="G213" s="75">
        <v>0</v>
      </c>
      <c r="H213">
        <v>0.73699999999999999</v>
      </c>
      <c r="I213" s="6">
        <v>4</v>
      </c>
      <c r="J213" s="78">
        <v>43776</v>
      </c>
      <c r="K213" s="78"/>
    </row>
    <row r="214" spans="2:11" x14ac:dyDescent="0.25">
      <c r="B214" t="s">
        <v>208</v>
      </c>
      <c r="C214" t="s">
        <v>1291</v>
      </c>
      <c r="D214" t="s">
        <v>1295</v>
      </c>
      <c r="E214" t="s">
        <v>208</v>
      </c>
      <c r="F214" t="s">
        <v>208</v>
      </c>
      <c r="G214" s="75">
        <v>0</v>
      </c>
      <c r="H214">
        <v>0.73699999999999999</v>
      </c>
      <c r="I214" s="6">
        <v>4</v>
      </c>
      <c r="J214" s="78">
        <v>43776</v>
      </c>
      <c r="K214" s="78"/>
    </row>
    <row r="215" spans="2:11" x14ac:dyDescent="0.25">
      <c r="B215" t="s">
        <v>208</v>
      </c>
      <c r="C215" t="s">
        <v>1296</v>
      </c>
      <c r="D215" t="s">
        <v>1296</v>
      </c>
      <c r="E215" t="s">
        <v>1297</v>
      </c>
      <c r="F215" t="s">
        <v>1298</v>
      </c>
      <c r="G215" s="75">
        <v>1641</v>
      </c>
      <c r="H215" t="s">
        <v>208</v>
      </c>
      <c r="I215" s="6">
        <v>0</v>
      </c>
      <c r="J215" s="78">
        <v>43776</v>
      </c>
      <c r="K215" s="78"/>
    </row>
    <row r="216" spans="2:11" x14ac:dyDescent="0.25">
      <c r="B216" t="s">
        <v>208</v>
      </c>
      <c r="C216" t="s">
        <v>1299</v>
      </c>
      <c r="D216" t="s">
        <v>1299</v>
      </c>
      <c r="E216" t="s">
        <v>208</v>
      </c>
      <c r="F216" t="s">
        <v>208</v>
      </c>
      <c r="G216" s="75">
        <v>0</v>
      </c>
      <c r="H216" t="s">
        <v>208</v>
      </c>
      <c r="I216" s="6">
        <v>0</v>
      </c>
      <c r="J216" s="78"/>
      <c r="K216" s="78"/>
    </row>
    <row r="217" spans="2:11" x14ac:dyDescent="0.25">
      <c r="B217" t="s">
        <v>208</v>
      </c>
      <c r="C217" t="s">
        <v>1300</v>
      </c>
      <c r="D217" t="s">
        <v>1300</v>
      </c>
      <c r="E217" t="s">
        <v>1301</v>
      </c>
      <c r="F217" t="s">
        <v>1302</v>
      </c>
      <c r="G217" s="75">
        <v>0</v>
      </c>
      <c r="H217" t="s">
        <v>208</v>
      </c>
      <c r="I217" s="6">
        <v>0</v>
      </c>
      <c r="J217" s="78">
        <v>43437</v>
      </c>
      <c r="K217" s="78"/>
    </row>
    <row r="218" spans="2:11" x14ac:dyDescent="0.25">
      <c r="B218" t="s">
        <v>1005</v>
      </c>
      <c r="C218" t="s">
        <v>720</v>
      </c>
      <c r="D218" t="s">
        <v>720</v>
      </c>
      <c r="E218" t="s">
        <v>1303</v>
      </c>
      <c r="F218" t="s">
        <v>1304</v>
      </c>
      <c r="G218" s="75">
        <v>128280</v>
      </c>
      <c r="H218">
        <v>1.272</v>
      </c>
      <c r="I218" s="6">
        <v>3</v>
      </c>
      <c r="J218" s="78">
        <v>37648</v>
      </c>
      <c r="K218" s="78"/>
    </row>
    <row r="219" spans="2:11" x14ac:dyDescent="0.25">
      <c r="B219" t="s">
        <v>208</v>
      </c>
      <c r="C219" t="s">
        <v>720</v>
      </c>
      <c r="D219" t="s">
        <v>1305</v>
      </c>
      <c r="E219" t="s">
        <v>208</v>
      </c>
      <c r="F219" t="s">
        <v>208</v>
      </c>
      <c r="G219" s="75">
        <v>128280</v>
      </c>
      <c r="H219">
        <v>1.272</v>
      </c>
      <c r="I219" s="6">
        <v>3</v>
      </c>
      <c r="J219" s="78" t="s">
        <v>208</v>
      </c>
      <c r="K219" s="78"/>
    </row>
    <row r="220" spans="2:11" x14ac:dyDescent="0.25">
      <c r="B220" t="s">
        <v>208</v>
      </c>
      <c r="C220" t="s">
        <v>720</v>
      </c>
      <c r="D220" t="s">
        <v>1306</v>
      </c>
      <c r="E220" t="s">
        <v>1306</v>
      </c>
      <c r="F220" t="s">
        <v>1307</v>
      </c>
      <c r="G220" s="75">
        <v>128280</v>
      </c>
      <c r="H220">
        <v>1.272</v>
      </c>
      <c r="I220" s="6">
        <v>3</v>
      </c>
      <c r="J220" s="78">
        <v>37648</v>
      </c>
      <c r="K220" s="78"/>
    </row>
    <row r="221" spans="2:11" x14ac:dyDescent="0.25">
      <c r="B221" t="s">
        <v>208</v>
      </c>
      <c r="C221" t="s">
        <v>720</v>
      </c>
      <c r="D221" t="s">
        <v>1308</v>
      </c>
      <c r="E221" t="s">
        <v>1309</v>
      </c>
      <c r="F221" t="s">
        <v>1310</v>
      </c>
      <c r="G221" s="75">
        <v>128280</v>
      </c>
      <c r="H221">
        <v>1.272</v>
      </c>
      <c r="I221" s="6">
        <v>3</v>
      </c>
      <c r="J221" s="78">
        <v>37648</v>
      </c>
      <c r="K221" s="78"/>
    </row>
    <row r="222" spans="2:11" x14ac:dyDescent="0.25">
      <c r="B222" t="s">
        <v>208</v>
      </c>
      <c r="C222" t="s">
        <v>720</v>
      </c>
      <c r="D222" t="s">
        <v>1311</v>
      </c>
      <c r="E222" t="s">
        <v>1312</v>
      </c>
      <c r="F222" t="s">
        <v>1313</v>
      </c>
      <c r="G222" s="75">
        <v>128280</v>
      </c>
      <c r="H222">
        <v>1.272</v>
      </c>
      <c r="I222" s="6">
        <v>3</v>
      </c>
      <c r="J222" s="78">
        <v>37648</v>
      </c>
      <c r="K222" s="78"/>
    </row>
    <row r="223" spans="2:11" x14ac:dyDescent="0.25">
      <c r="B223" t="s">
        <v>208</v>
      </c>
      <c r="C223" t="s">
        <v>720</v>
      </c>
      <c r="D223" t="s">
        <v>1314</v>
      </c>
      <c r="E223" t="s">
        <v>1314</v>
      </c>
      <c r="F223" t="s">
        <v>1315</v>
      </c>
      <c r="G223" s="75">
        <v>128280</v>
      </c>
      <c r="H223">
        <v>1.272</v>
      </c>
      <c r="I223" s="6">
        <v>3</v>
      </c>
      <c r="J223" s="78">
        <v>37648</v>
      </c>
      <c r="K223" s="78"/>
    </row>
    <row r="224" spans="2:11" x14ac:dyDescent="0.25">
      <c r="B224" t="s">
        <v>208</v>
      </c>
      <c r="C224" t="s">
        <v>1316</v>
      </c>
      <c r="D224" t="s">
        <v>1316</v>
      </c>
      <c r="E224" t="s">
        <v>208</v>
      </c>
      <c r="F224" t="s">
        <v>208</v>
      </c>
      <c r="G224" s="75">
        <v>0</v>
      </c>
      <c r="H224">
        <v>8.1270000000000007</v>
      </c>
      <c r="I224" s="6">
        <v>1</v>
      </c>
      <c r="J224" s="78" t="s">
        <v>208</v>
      </c>
      <c r="K224" s="78"/>
    </row>
    <row r="225" spans="2:11" x14ac:dyDescent="0.25">
      <c r="B225" t="s">
        <v>208</v>
      </c>
      <c r="C225" t="s">
        <v>1316</v>
      </c>
      <c r="D225" t="s">
        <v>756</v>
      </c>
      <c r="E225" t="s">
        <v>967</v>
      </c>
      <c r="F225" t="s">
        <v>1317</v>
      </c>
      <c r="G225" s="75">
        <v>0</v>
      </c>
      <c r="H225">
        <v>8.1270000000000007</v>
      </c>
      <c r="I225" s="6">
        <v>1</v>
      </c>
      <c r="J225" s="78">
        <v>44279</v>
      </c>
      <c r="K225" s="78"/>
    </row>
    <row r="226" spans="2:11" x14ac:dyDescent="0.25">
      <c r="B226" t="s">
        <v>208</v>
      </c>
      <c r="C226" t="s">
        <v>1316</v>
      </c>
      <c r="D226" t="s">
        <v>1318</v>
      </c>
      <c r="E226" t="s">
        <v>208</v>
      </c>
      <c r="F226" t="s">
        <v>208</v>
      </c>
      <c r="G226" s="75">
        <v>0</v>
      </c>
      <c r="H226">
        <v>8.1270000000000007</v>
      </c>
      <c r="I226" s="6">
        <v>1</v>
      </c>
      <c r="J226" s="78" t="s">
        <v>208</v>
      </c>
      <c r="K226" s="78"/>
    </row>
    <row r="227" spans="2:11" x14ac:dyDescent="0.25">
      <c r="B227" t="s">
        <v>208</v>
      </c>
      <c r="C227" t="s">
        <v>1319</v>
      </c>
      <c r="D227" t="s">
        <v>1319</v>
      </c>
      <c r="E227" t="s">
        <v>208</v>
      </c>
      <c r="F227" t="s">
        <v>208</v>
      </c>
      <c r="G227" s="75">
        <v>1372023</v>
      </c>
      <c r="H227">
        <v>0.48199999999999998</v>
      </c>
      <c r="I227" s="6">
        <v>5</v>
      </c>
      <c r="J227" s="78" t="s">
        <v>208</v>
      </c>
      <c r="K227" s="78"/>
    </row>
    <row r="228" spans="2:11" x14ac:dyDescent="0.25">
      <c r="B228" t="s">
        <v>208</v>
      </c>
      <c r="C228" t="s">
        <v>1319</v>
      </c>
      <c r="D228" t="s">
        <v>1320</v>
      </c>
      <c r="E228" t="s">
        <v>208</v>
      </c>
      <c r="F228" t="s">
        <v>208</v>
      </c>
      <c r="G228" s="75">
        <v>1372023</v>
      </c>
      <c r="H228">
        <v>0.48199999999999998</v>
      </c>
      <c r="I228" s="6">
        <v>5</v>
      </c>
      <c r="J228" s="78" t="s">
        <v>208</v>
      </c>
      <c r="K228" s="78"/>
    </row>
    <row r="229" spans="2:11" x14ac:dyDescent="0.25">
      <c r="B229" t="s">
        <v>1005</v>
      </c>
      <c r="C229" t="s">
        <v>1319</v>
      </c>
      <c r="D229" t="s">
        <v>757</v>
      </c>
      <c r="E229" t="s">
        <v>968</v>
      </c>
      <c r="F229" t="s">
        <v>1321</v>
      </c>
      <c r="G229" s="75">
        <v>1372023</v>
      </c>
      <c r="H229">
        <v>0.48199999999999998</v>
      </c>
      <c r="I229" s="6">
        <v>5</v>
      </c>
      <c r="J229" s="78">
        <v>36893</v>
      </c>
      <c r="K229" s="78"/>
    </row>
    <row r="230" spans="2:11" x14ac:dyDescent="0.25">
      <c r="B230" t="s">
        <v>208</v>
      </c>
      <c r="C230" t="s">
        <v>1322</v>
      </c>
      <c r="D230" t="s">
        <v>1322</v>
      </c>
      <c r="E230" t="s">
        <v>208</v>
      </c>
      <c r="F230" t="s">
        <v>208</v>
      </c>
      <c r="G230" s="75">
        <v>304853</v>
      </c>
      <c r="H230">
        <v>1.8160000000000001</v>
      </c>
      <c r="I230" s="6">
        <v>2</v>
      </c>
      <c r="J230" s="78" t="s">
        <v>208</v>
      </c>
      <c r="K230" s="78"/>
    </row>
    <row r="231" spans="2:11" x14ac:dyDescent="0.25">
      <c r="B231" t="s">
        <v>1097</v>
      </c>
      <c r="C231" t="s">
        <v>1322</v>
      </c>
      <c r="D231" t="s">
        <v>444</v>
      </c>
      <c r="E231" t="s">
        <v>942</v>
      </c>
      <c r="F231" t="s">
        <v>1323</v>
      </c>
      <c r="G231" s="75">
        <v>304853</v>
      </c>
      <c r="H231">
        <v>1.8160000000000001</v>
      </c>
      <c r="I231" s="6">
        <v>2</v>
      </c>
      <c r="J231" s="78">
        <v>39748</v>
      </c>
      <c r="K231" s="78"/>
    </row>
    <row r="232" spans="2:11" x14ac:dyDescent="0.25">
      <c r="B232" t="s">
        <v>208</v>
      </c>
      <c r="C232" t="s">
        <v>1322</v>
      </c>
      <c r="D232" t="s">
        <v>1324</v>
      </c>
      <c r="E232" t="s">
        <v>208</v>
      </c>
      <c r="F232" t="s">
        <v>208</v>
      </c>
      <c r="G232" s="75">
        <v>304853</v>
      </c>
      <c r="H232">
        <v>1.8160000000000001</v>
      </c>
      <c r="I232" s="6">
        <v>2</v>
      </c>
      <c r="J232" s="78" t="s">
        <v>208</v>
      </c>
      <c r="K232" s="78"/>
    </row>
    <row r="233" spans="2:11" x14ac:dyDescent="0.25">
      <c r="B233" t="s">
        <v>1097</v>
      </c>
      <c r="C233" t="s">
        <v>1322</v>
      </c>
      <c r="D233" t="s">
        <v>1325</v>
      </c>
      <c r="E233" t="s">
        <v>478</v>
      </c>
      <c r="F233" t="s">
        <v>1326</v>
      </c>
      <c r="G233" s="75">
        <v>304853</v>
      </c>
      <c r="H233">
        <v>1.8160000000000001</v>
      </c>
      <c r="I233" s="6">
        <v>2</v>
      </c>
      <c r="J233" s="78">
        <v>39748</v>
      </c>
      <c r="K233" s="78"/>
    </row>
    <row r="234" spans="2:11" x14ac:dyDescent="0.25">
      <c r="B234" t="s">
        <v>208</v>
      </c>
      <c r="C234" t="s">
        <v>1322</v>
      </c>
      <c r="D234" t="s">
        <v>1327</v>
      </c>
      <c r="E234" t="s">
        <v>208</v>
      </c>
      <c r="F234" t="s">
        <v>208</v>
      </c>
      <c r="G234" s="75">
        <v>304853</v>
      </c>
      <c r="H234">
        <v>1.8160000000000001</v>
      </c>
      <c r="I234" s="6">
        <v>2</v>
      </c>
      <c r="J234" s="78" t="s">
        <v>208</v>
      </c>
      <c r="K234" s="78"/>
    </row>
    <row r="235" spans="2:11" x14ac:dyDescent="0.25">
      <c r="B235" t="s">
        <v>208</v>
      </c>
      <c r="C235" t="s">
        <v>1322</v>
      </c>
      <c r="D235" t="s">
        <v>1328</v>
      </c>
      <c r="E235" t="s">
        <v>1329</v>
      </c>
      <c r="F235" t="s">
        <v>1330</v>
      </c>
      <c r="G235" s="75">
        <v>304853</v>
      </c>
      <c r="H235">
        <v>1.8160000000000001</v>
      </c>
      <c r="I235" s="6">
        <v>2</v>
      </c>
      <c r="J235" s="78">
        <v>39748</v>
      </c>
      <c r="K235" s="78"/>
    </row>
    <row r="236" spans="2:11" x14ac:dyDescent="0.25">
      <c r="B236" t="s">
        <v>208</v>
      </c>
      <c r="C236" t="s">
        <v>1331</v>
      </c>
      <c r="D236" t="s">
        <v>1331</v>
      </c>
      <c r="E236" t="s">
        <v>208</v>
      </c>
      <c r="F236" t="s">
        <v>208</v>
      </c>
      <c r="G236" s="75">
        <v>166810</v>
      </c>
      <c r="H236" t="s">
        <v>208</v>
      </c>
      <c r="I236" s="6">
        <v>0</v>
      </c>
      <c r="J236" s="78" t="s">
        <v>208</v>
      </c>
      <c r="K236" s="78"/>
    </row>
    <row r="237" spans="2:11" x14ac:dyDescent="0.25">
      <c r="B237" t="s">
        <v>208</v>
      </c>
      <c r="C237" t="s">
        <v>1331</v>
      </c>
      <c r="D237" t="s">
        <v>1332</v>
      </c>
      <c r="E237" t="s">
        <v>208</v>
      </c>
      <c r="F237" t="s">
        <v>208</v>
      </c>
      <c r="G237" s="75">
        <v>166810</v>
      </c>
      <c r="H237" t="s">
        <v>208</v>
      </c>
      <c r="I237" s="6">
        <v>0</v>
      </c>
      <c r="J237" s="78" t="s">
        <v>208</v>
      </c>
      <c r="K237" s="78"/>
    </row>
    <row r="238" spans="2:11" x14ac:dyDescent="0.25">
      <c r="B238" t="s">
        <v>208</v>
      </c>
      <c r="C238" t="s">
        <v>1331</v>
      </c>
      <c r="D238" t="s">
        <v>1333</v>
      </c>
      <c r="E238" t="s">
        <v>1334</v>
      </c>
      <c r="F238" t="s">
        <v>1335</v>
      </c>
      <c r="G238" s="75">
        <v>166810</v>
      </c>
      <c r="H238" t="s">
        <v>208</v>
      </c>
      <c r="I238" s="6">
        <v>0</v>
      </c>
      <c r="J238" s="78">
        <v>37230</v>
      </c>
      <c r="K238" s="78"/>
    </row>
    <row r="239" spans="2:11" x14ac:dyDescent="0.25">
      <c r="B239" t="s">
        <v>208</v>
      </c>
      <c r="C239" t="s">
        <v>1331</v>
      </c>
      <c r="D239" t="s">
        <v>1336</v>
      </c>
      <c r="E239" t="s">
        <v>1336</v>
      </c>
      <c r="F239" t="s">
        <v>1337</v>
      </c>
      <c r="G239" s="75">
        <v>166810</v>
      </c>
      <c r="H239" t="s">
        <v>208</v>
      </c>
      <c r="I239" s="6">
        <v>0</v>
      </c>
      <c r="J239" s="78">
        <v>37230</v>
      </c>
      <c r="K239" s="78"/>
    </row>
    <row r="240" spans="2:11" x14ac:dyDescent="0.25">
      <c r="B240" t="s">
        <v>208</v>
      </c>
      <c r="C240" t="s">
        <v>1331</v>
      </c>
      <c r="D240" t="s">
        <v>1338</v>
      </c>
      <c r="E240" t="s">
        <v>1338</v>
      </c>
      <c r="F240" t="s">
        <v>1339</v>
      </c>
      <c r="G240" s="75">
        <v>166810</v>
      </c>
      <c r="H240" t="s">
        <v>208</v>
      </c>
      <c r="I240" s="6">
        <v>0</v>
      </c>
      <c r="J240" s="78">
        <v>37230</v>
      </c>
      <c r="K240" s="78"/>
    </row>
    <row r="241" spans="2:11" x14ac:dyDescent="0.25">
      <c r="B241" t="s">
        <v>208</v>
      </c>
      <c r="C241" t="s">
        <v>761</v>
      </c>
      <c r="D241" t="s">
        <v>761</v>
      </c>
      <c r="E241" t="s">
        <v>1340</v>
      </c>
      <c r="F241" t="s">
        <v>1341</v>
      </c>
      <c r="G241" s="75">
        <v>2857</v>
      </c>
      <c r="H241">
        <v>1.198</v>
      </c>
      <c r="I241" s="6">
        <v>3</v>
      </c>
      <c r="J241" s="78">
        <v>43776</v>
      </c>
      <c r="K241" s="78"/>
    </row>
    <row r="242" spans="2:11" x14ac:dyDescent="0.25">
      <c r="B242" t="s">
        <v>208</v>
      </c>
      <c r="C242" t="s">
        <v>1342</v>
      </c>
      <c r="D242" t="s">
        <v>1342</v>
      </c>
      <c r="E242" t="s">
        <v>1343</v>
      </c>
      <c r="F242" t="s">
        <v>1344</v>
      </c>
      <c r="G242" s="75">
        <v>38011</v>
      </c>
      <c r="H242" t="s">
        <v>208</v>
      </c>
      <c r="I242" s="6">
        <v>0</v>
      </c>
      <c r="J242" s="78">
        <v>40749</v>
      </c>
      <c r="K242" s="78"/>
    </row>
    <row r="243" spans="2:11" x14ac:dyDescent="0.25">
      <c r="B243" t="s">
        <v>208</v>
      </c>
      <c r="C243" t="s">
        <v>1345</v>
      </c>
      <c r="D243" t="s">
        <v>1345</v>
      </c>
      <c r="E243" t="s">
        <v>208</v>
      </c>
      <c r="F243" t="s">
        <v>208</v>
      </c>
      <c r="G243" s="75">
        <v>0</v>
      </c>
      <c r="H243" t="s">
        <v>208</v>
      </c>
      <c r="I243" s="6">
        <v>0</v>
      </c>
      <c r="J243" s="78"/>
      <c r="K243" s="78"/>
    </row>
    <row r="244" spans="2:11" x14ac:dyDescent="0.25">
      <c r="B244" t="s">
        <v>208</v>
      </c>
      <c r="C244" t="s">
        <v>1345</v>
      </c>
      <c r="D244" t="s">
        <v>1346</v>
      </c>
      <c r="E244" t="s">
        <v>208</v>
      </c>
      <c r="F244" t="s">
        <v>208</v>
      </c>
      <c r="G244" s="75">
        <v>0</v>
      </c>
      <c r="H244" t="s">
        <v>208</v>
      </c>
      <c r="I244" s="6">
        <v>0</v>
      </c>
      <c r="J244" s="78"/>
      <c r="K244" s="78"/>
    </row>
    <row r="245" spans="2:11" x14ac:dyDescent="0.25">
      <c r="B245" t="s">
        <v>208</v>
      </c>
      <c r="C245" t="s">
        <v>1347</v>
      </c>
      <c r="D245" t="s">
        <v>1347</v>
      </c>
      <c r="E245" t="s">
        <v>208</v>
      </c>
      <c r="F245" t="s">
        <v>208</v>
      </c>
      <c r="G245" s="75">
        <v>33627</v>
      </c>
      <c r="H245">
        <v>2.665</v>
      </c>
      <c r="I245" s="6">
        <v>1</v>
      </c>
      <c r="J245" s="78" t="s">
        <v>208</v>
      </c>
      <c r="K245" s="78"/>
    </row>
    <row r="246" spans="2:11" x14ac:dyDescent="0.25">
      <c r="B246" t="s">
        <v>208</v>
      </c>
      <c r="C246" t="s">
        <v>1347</v>
      </c>
      <c r="D246" t="s">
        <v>1348</v>
      </c>
      <c r="E246" t="s">
        <v>208</v>
      </c>
      <c r="F246" t="s">
        <v>208</v>
      </c>
      <c r="G246" s="75">
        <v>33627</v>
      </c>
      <c r="H246">
        <v>2.665</v>
      </c>
      <c r="I246" s="6">
        <v>1</v>
      </c>
      <c r="J246" s="78"/>
      <c r="K246" s="78"/>
    </row>
    <row r="247" spans="2:11" x14ac:dyDescent="0.25">
      <c r="B247" t="s">
        <v>208</v>
      </c>
      <c r="C247" t="s">
        <v>1347</v>
      </c>
      <c r="D247" t="s">
        <v>1349</v>
      </c>
      <c r="E247" t="s">
        <v>208</v>
      </c>
      <c r="F247" t="s">
        <v>208</v>
      </c>
      <c r="G247" s="75">
        <v>33627</v>
      </c>
      <c r="H247">
        <v>2.665</v>
      </c>
      <c r="I247" s="6">
        <v>1</v>
      </c>
      <c r="J247" s="78"/>
      <c r="K247" s="78"/>
    </row>
    <row r="248" spans="2:11" x14ac:dyDescent="0.25">
      <c r="B248" t="s">
        <v>208</v>
      </c>
      <c r="C248" t="s">
        <v>1347</v>
      </c>
      <c r="D248" t="s">
        <v>593</v>
      </c>
      <c r="E248" t="s">
        <v>958</v>
      </c>
      <c r="F248" t="s">
        <v>1350</v>
      </c>
      <c r="G248" s="75">
        <v>33627</v>
      </c>
      <c r="H248">
        <v>2.665</v>
      </c>
      <c r="I248" s="6">
        <v>1</v>
      </c>
      <c r="J248" s="78">
        <v>38467</v>
      </c>
      <c r="K248" s="78"/>
    </row>
    <row r="249" spans="2:11" x14ac:dyDescent="0.25">
      <c r="B249" t="s">
        <v>208</v>
      </c>
      <c r="C249" t="s">
        <v>1347</v>
      </c>
      <c r="D249" t="s">
        <v>1351</v>
      </c>
      <c r="E249" t="s">
        <v>208</v>
      </c>
      <c r="F249" t="s">
        <v>208</v>
      </c>
      <c r="G249" s="75">
        <v>33627</v>
      </c>
      <c r="H249">
        <v>2.665</v>
      </c>
      <c r="I249" s="6">
        <v>1</v>
      </c>
      <c r="J249" s="78"/>
      <c r="K249" s="78"/>
    </row>
    <row r="250" spans="2:11" x14ac:dyDescent="0.25">
      <c r="B250" t="s">
        <v>208</v>
      </c>
      <c r="C250" t="s">
        <v>1347</v>
      </c>
      <c r="D250" t="s">
        <v>1352</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10"/>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1353</v>
      </c>
      <c r="E1" s="4"/>
    </row>
    <row r="2" spans="1:6" x14ac:dyDescent="0.25">
      <c r="A2" s="34" t="s">
        <v>227</v>
      </c>
    </row>
    <row r="3" spans="1:6" s="9" customFormat="1" x14ac:dyDescent="0.25"/>
    <row r="4" spans="1:6" s="2" customFormat="1" ht="30" x14ac:dyDescent="0.25">
      <c r="B4" s="1" t="s">
        <v>1354</v>
      </c>
      <c r="C4" s="2" t="s">
        <v>1355</v>
      </c>
      <c r="D4" s="2" t="s">
        <v>1356</v>
      </c>
      <c r="E4" s="2" t="s">
        <v>185</v>
      </c>
      <c r="F4" s="50" t="s">
        <v>186</v>
      </c>
    </row>
    <row r="5" spans="1:6" x14ac:dyDescent="0.25">
      <c r="B5" s="52">
        <v>46249</v>
      </c>
      <c r="C5" s="263" t="s">
        <v>235</v>
      </c>
      <c r="E5">
        <v>4.9000000000000004</v>
      </c>
      <c r="F5">
        <v>4.9811000000000001E-2</v>
      </c>
    </row>
    <row r="6" spans="1:6" x14ac:dyDescent="0.25">
      <c r="B6" s="3">
        <v>46174</v>
      </c>
      <c r="C6" t="s">
        <v>235</v>
      </c>
      <c r="E6">
        <v>4.9000000000000004</v>
      </c>
      <c r="F6">
        <v>5.1461E-2</v>
      </c>
    </row>
    <row r="7" spans="1:6" x14ac:dyDescent="0.25">
      <c r="B7" s="3">
        <v>46160</v>
      </c>
      <c r="C7" t="s">
        <v>235</v>
      </c>
      <c r="E7">
        <v>4.9000000000000004</v>
      </c>
      <c r="F7">
        <v>4.9715000000000002E-2</v>
      </c>
    </row>
    <row r="8" spans="1:6" x14ac:dyDescent="0.25">
      <c r="B8" s="3">
        <v>46082</v>
      </c>
      <c r="C8" t="s">
        <v>235</v>
      </c>
      <c r="E8">
        <v>4.9000000000000004</v>
      </c>
      <c r="F8">
        <v>4.9993000000000003E-2</v>
      </c>
    </row>
    <row r="9" spans="1:6" x14ac:dyDescent="0.25">
      <c r="B9" s="3">
        <v>46079</v>
      </c>
      <c r="C9" t="s">
        <v>235</v>
      </c>
      <c r="E9">
        <v>4.9000000000000004</v>
      </c>
      <c r="F9">
        <v>6.2438999999999988E-2</v>
      </c>
    </row>
    <row r="10" spans="1:6" x14ac:dyDescent="0.25">
      <c r="B10" s="3">
        <v>46021</v>
      </c>
      <c r="C10" t="s">
        <v>235</v>
      </c>
      <c r="E10">
        <v>4.9000000000000004</v>
      </c>
      <c r="F10">
        <v>6.0008999999999993E-2</v>
      </c>
    </row>
    <row r="11" spans="1:6" x14ac:dyDescent="0.25">
      <c r="B11" s="3">
        <v>46006</v>
      </c>
      <c r="C11" t="s">
        <v>235</v>
      </c>
      <c r="E11">
        <v>4.9000000000000004</v>
      </c>
      <c r="F11">
        <v>5.9793999999999993E-2</v>
      </c>
    </row>
    <row r="12" spans="1:6" x14ac:dyDescent="0.25">
      <c r="B12" s="3">
        <v>45998</v>
      </c>
      <c r="C12" t="s">
        <v>235</v>
      </c>
      <c r="E12">
        <v>4.9000000000000004</v>
      </c>
      <c r="F12">
        <v>6.0008999999999993E-2</v>
      </c>
    </row>
    <row r="13" spans="1:6" x14ac:dyDescent="0.25">
      <c r="B13" s="3">
        <v>45917</v>
      </c>
      <c r="C13" t="s">
        <v>235</v>
      </c>
      <c r="E13">
        <v>4.9000000000000004</v>
      </c>
      <c r="F13">
        <v>5.9026999999999996E-2</v>
      </c>
    </row>
    <row r="14" spans="1:6" x14ac:dyDescent="0.25">
      <c r="B14" s="3">
        <v>45901</v>
      </c>
      <c r="C14" t="s">
        <v>235</v>
      </c>
      <c r="E14">
        <v>4.9000000000000004</v>
      </c>
      <c r="F14">
        <v>5.8103999999999996E-2</v>
      </c>
    </row>
    <row r="15" spans="1:6" x14ac:dyDescent="0.25">
      <c r="B15" s="3">
        <v>45859</v>
      </c>
      <c r="C15" t="s">
        <v>235</v>
      </c>
      <c r="E15">
        <v>4.9000000000000004</v>
      </c>
      <c r="F15">
        <v>4.4608000000000002E-2</v>
      </c>
    </row>
    <row r="16" spans="1:6" x14ac:dyDescent="0.25">
      <c r="B16" s="3">
        <v>45775</v>
      </c>
      <c r="C16" t="s">
        <v>235</v>
      </c>
      <c r="E16">
        <v>4.9000000000000004</v>
      </c>
      <c r="F16">
        <v>4.2391999999999999E-2</v>
      </c>
    </row>
    <row r="17" spans="2:6" x14ac:dyDescent="0.25">
      <c r="B17" s="3">
        <v>45717</v>
      </c>
      <c r="C17" t="s">
        <v>235</v>
      </c>
      <c r="E17">
        <v>4.3899999999999997</v>
      </c>
      <c r="F17">
        <v>4.3380000000000002E-2</v>
      </c>
    </row>
    <row r="18" spans="2:6" x14ac:dyDescent="0.25">
      <c r="B18" s="3">
        <v>45714</v>
      </c>
      <c r="C18" t="s">
        <v>235</v>
      </c>
      <c r="E18">
        <v>4.3899999999999997</v>
      </c>
      <c r="F18">
        <v>5.3739000000000002E-2</v>
      </c>
    </row>
    <row r="19" spans="2:6" x14ac:dyDescent="0.25">
      <c r="B19" s="3">
        <v>45543</v>
      </c>
      <c r="C19" t="s">
        <v>235</v>
      </c>
      <c r="E19">
        <v>4.3899999999999997</v>
      </c>
      <c r="F19">
        <v>5.3509000000000001E-2</v>
      </c>
    </row>
    <row r="20" spans="2:6" x14ac:dyDescent="0.25">
      <c r="B20" s="3">
        <v>45536</v>
      </c>
      <c r="C20" t="s">
        <v>235</v>
      </c>
      <c r="E20">
        <v>4.3899999999999997</v>
      </c>
      <c r="F20">
        <v>5.3499999999999992E-2</v>
      </c>
    </row>
    <row r="21" spans="2:6" x14ac:dyDescent="0.25">
      <c r="B21" s="3">
        <v>45515</v>
      </c>
      <c r="C21" t="s">
        <v>235</v>
      </c>
      <c r="E21">
        <v>4.3899999999999997</v>
      </c>
      <c r="F21">
        <v>3.8263999999999992E-2</v>
      </c>
    </row>
    <row r="22" spans="2:6" x14ac:dyDescent="0.25">
      <c r="B22" s="3">
        <v>45505</v>
      </c>
      <c r="C22" t="s">
        <v>235</v>
      </c>
      <c r="E22">
        <v>4.3899999999999997</v>
      </c>
      <c r="F22">
        <v>3.8494E-2</v>
      </c>
    </row>
    <row r="23" spans="2:6" x14ac:dyDescent="0.25">
      <c r="B23" s="3">
        <v>45383</v>
      </c>
      <c r="C23" t="s">
        <v>235</v>
      </c>
      <c r="E23">
        <v>4.3899999999999997</v>
      </c>
      <c r="F23">
        <v>4.0409999999999995E-2</v>
      </c>
    </row>
    <row r="24" spans="2:6" x14ac:dyDescent="0.25">
      <c r="B24" s="3">
        <v>45352</v>
      </c>
      <c r="C24" t="s">
        <v>235</v>
      </c>
      <c r="E24">
        <v>4.3899999999999997</v>
      </c>
      <c r="F24">
        <v>3.8956999999999999E-2</v>
      </c>
    </row>
    <row r="25" spans="2:6" x14ac:dyDescent="0.25">
      <c r="B25" s="3">
        <v>45275</v>
      </c>
      <c r="C25" t="s">
        <v>235</v>
      </c>
      <c r="E25">
        <v>4.3899999999999997</v>
      </c>
      <c r="F25">
        <v>5.3769999999999998E-2</v>
      </c>
    </row>
    <row r="26" spans="2:6" x14ac:dyDescent="0.25">
      <c r="B26" s="3">
        <v>45170</v>
      </c>
      <c r="C26" t="s">
        <v>235</v>
      </c>
      <c r="E26">
        <v>4.3899999999999997</v>
      </c>
      <c r="F26">
        <v>5.4694E-2</v>
      </c>
    </row>
    <row r="27" spans="2:6" x14ac:dyDescent="0.25">
      <c r="B27" s="3">
        <v>45031</v>
      </c>
      <c r="C27" t="s">
        <v>235</v>
      </c>
      <c r="E27">
        <v>4.3899999999999997</v>
      </c>
      <c r="F27">
        <v>3.7331999999999997E-2</v>
      </c>
    </row>
    <row r="28" spans="2:6" x14ac:dyDescent="0.25">
      <c r="B28" s="3">
        <v>44986</v>
      </c>
      <c r="C28" t="s">
        <v>235</v>
      </c>
      <c r="E28">
        <v>4.3899999999999997</v>
      </c>
      <c r="F28">
        <v>3.5619999999999999E-2</v>
      </c>
    </row>
    <row r="29" spans="2:6" x14ac:dyDescent="0.25">
      <c r="B29" s="3">
        <v>44910</v>
      </c>
      <c r="C29" t="s">
        <v>235</v>
      </c>
      <c r="E29">
        <v>4.3899999999999997</v>
      </c>
      <c r="F29">
        <v>4.9166999999999995E-2</v>
      </c>
    </row>
    <row r="30" spans="2:6" x14ac:dyDescent="0.25">
      <c r="B30" s="3">
        <v>44805</v>
      </c>
      <c r="C30" t="s">
        <v>235</v>
      </c>
      <c r="E30">
        <v>4.3899999999999997</v>
      </c>
      <c r="F30">
        <v>4.9453999999999998E-2</v>
      </c>
    </row>
    <row r="31" spans="2:6" x14ac:dyDescent="0.25">
      <c r="B31" s="3">
        <v>44718</v>
      </c>
      <c r="C31" t="s">
        <v>235</v>
      </c>
      <c r="E31">
        <v>4.3899999999999997</v>
      </c>
      <c r="F31">
        <v>3.7999999999999999E-2</v>
      </c>
    </row>
    <row r="32" spans="2:6" x14ac:dyDescent="0.25">
      <c r="B32" s="3">
        <v>44657</v>
      </c>
      <c r="C32" t="s">
        <v>235</v>
      </c>
      <c r="E32">
        <v>4.3899999999999997</v>
      </c>
      <c r="F32">
        <v>3.9416E-2</v>
      </c>
    </row>
    <row r="33" spans="2:6" x14ac:dyDescent="0.25">
      <c r="B33" s="3">
        <v>44621</v>
      </c>
      <c r="C33" t="s">
        <v>235</v>
      </c>
      <c r="E33">
        <v>4.3899999999999997</v>
      </c>
      <c r="F33">
        <v>3.8523000000000002E-2</v>
      </c>
    </row>
    <row r="34" spans="2:6" x14ac:dyDescent="0.25">
      <c r="B34" s="3">
        <v>44545</v>
      </c>
      <c r="C34" t="s">
        <v>235</v>
      </c>
      <c r="E34">
        <v>4.3899999999999997</v>
      </c>
      <c r="F34">
        <v>4.6397000000000001E-2</v>
      </c>
    </row>
    <row r="35" spans="2:6" x14ac:dyDescent="0.25">
      <c r="B35" s="3">
        <v>44512</v>
      </c>
      <c r="C35" t="s">
        <v>235</v>
      </c>
      <c r="E35">
        <v>4.3899999999999997</v>
      </c>
      <c r="F35">
        <v>4.6356000000000001E-2</v>
      </c>
    </row>
    <row r="36" spans="2:6" x14ac:dyDescent="0.25">
      <c r="B36" s="3">
        <v>44484</v>
      </c>
      <c r="C36" t="s">
        <v>235</v>
      </c>
      <c r="E36">
        <v>4.3899999999999997</v>
      </c>
      <c r="F36">
        <v>4.5727000000000004E-2</v>
      </c>
    </row>
    <row r="37" spans="2:6" x14ac:dyDescent="0.25">
      <c r="B37" s="3">
        <v>44440</v>
      </c>
      <c r="C37" t="s">
        <v>235</v>
      </c>
      <c r="E37">
        <v>4.3899999999999997</v>
      </c>
      <c r="F37">
        <v>4.6029E-2</v>
      </c>
    </row>
    <row r="38" spans="2:6" x14ac:dyDescent="0.25">
      <c r="B38" s="3">
        <v>44331</v>
      </c>
      <c r="C38" t="s">
        <v>235</v>
      </c>
      <c r="E38">
        <v>4.3899999999999997</v>
      </c>
      <c r="F38">
        <v>3.3547E-2</v>
      </c>
    </row>
    <row r="39" spans="2:6" x14ac:dyDescent="0.25">
      <c r="B39" s="3">
        <v>44285</v>
      </c>
      <c r="C39" t="s">
        <v>235</v>
      </c>
      <c r="E39">
        <v>4.3899999999999997</v>
      </c>
      <c r="F39">
        <v>3.2668999999999997E-2</v>
      </c>
    </row>
    <row r="40" spans="2:6" x14ac:dyDescent="0.25">
      <c r="B40" s="3">
        <v>44256</v>
      </c>
      <c r="C40" t="s">
        <v>235</v>
      </c>
      <c r="E40">
        <v>4.3899999999999997</v>
      </c>
      <c r="F40">
        <v>3.2999000000000001E-2</v>
      </c>
    </row>
    <row r="41" spans="2:6" x14ac:dyDescent="0.25">
      <c r="B41" s="3">
        <v>44180</v>
      </c>
      <c r="C41" t="s">
        <v>235</v>
      </c>
      <c r="E41">
        <v>4.3899999999999997</v>
      </c>
      <c r="F41">
        <v>4.2722999999999997E-2</v>
      </c>
    </row>
    <row r="42" spans="2:6" x14ac:dyDescent="0.25">
      <c r="B42" s="3">
        <v>44119</v>
      </c>
      <c r="C42" t="s">
        <v>235</v>
      </c>
      <c r="E42">
        <v>4.3899999999999997</v>
      </c>
      <c r="F42">
        <v>4.2358999999999994E-2</v>
      </c>
    </row>
    <row r="43" spans="2:6" x14ac:dyDescent="0.25">
      <c r="B43" s="3">
        <v>44075</v>
      </c>
      <c r="C43" t="s">
        <v>235</v>
      </c>
      <c r="E43">
        <v>4.3899999999999997</v>
      </c>
      <c r="F43">
        <v>4.2307999999999991E-2</v>
      </c>
    </row>
    <row r="44" spans="2:6" x14ac:dyDescent="0.25">
      <c r="B44" s="92">
        <v>43944</v>
      </c>
      <c r="C44" s="5" t="s">
        <v>235</v>
      </c>
      <c r="E44">
        <v>4.3899999999999997</v>
      </c>
      <c r="F44" s="5">
        <v>3.7434999999999996E-2</v>
      </c>
    </row>
    <row r="45" spans="2:6" x14ac:dyDescent="0.25">
      <c r="B45" s="92">
        <v>43921</v>
      </c>
      <c r="C45" s="5" t="s">
        <v>235</v>
      </c>
      <c r="E45">
        <v>5.4700000000000006</v>
      </c>
      <c r="F45" s="5">
        <v>3.4814999999999992E-2</v>
      </c>
    </row>
    <row r="46" spans="2:6" x14ac:dyDescent="0.25">
      <c r="B46" s="92">
        <v>43891</v>
      </c>
      <c r="C46" s="5" t="s">
        <v>235</v>
      </c>
      <c r="E46">
        <v>5.4700000000000006</v>
      </c>
      <c r="F46" s="5">
        <v>3.4484999999999995E-2</v>
      </c>
    </row>
    <row r="47" spans="2:6" x14ac:dyDescent="0.25">
      <c r="B47" s="92">
        <v>43814</v>
      </c>
      <c r="C47" s="5" t="s">
        <v>235</v>
      </c>
      <c r="E47">
        <v>5.4700000000000006</v>
      </c>
      <c r="F47" s="5">
        <v>3.9892999999999991E-2</v>
      </c>
    </row>
    <row r="48" spans="2:6" x14ac:dyDescent="0.25">
      <c r="B48" s="92">
        <v>43806</v>
      </c>
      <c r="C48" s="5" t="s">
        <v>235</v>
      </c>
      <c r="E48">
        <v>5.4700000000000006</v>
      </c>
      <c r="F48" s="5">
        <v>3.9965999999999995E-2</v>
      </c>
    </row>
    <row r="49" spans="2:6" x14ac:dyDescent="0.25">
      <c r="B49" s="92">
        <v>43753</v>
      </c>
      <c r="C49" s="5" t="s">
        <v>235</v>
      </c>
      <c r="E49">
        <v>5.4700000000000006</v>
      </c>
      <c r="F49" s="5">
        <v>4.0311999999999994E-2</v>
      </c>
    </row>
    <row r="50" spans="2:6" x14ac:dyDescent="0.25">
      <c r="B50" s="92">
        <v>43709</v>
      </c>
      <c r="C50" s="5" t="s">
        <v>235</v>
      </c>
      <c r="E50">
        <v>5.4700000000000006</v>
      </c>
      <c r="F50" s="5">
        <v>4.0511999999999999E-2</v>
      </c>
    </row>
    <row r="51" spans="2:6" x14ac:dyDescent="0.25">
      <c r="B51" s="92">
        <v>43657</v>
      </c>
      <c r="C51" s="5" t="s">
        <v>235</v>
      </c>
      <c r="E51">
        <v>5.4700000000000006</v>
      </c>
      <c r="F51" s="5">
        <v>3.4167999999999997E-2</v>
      </c>
    </row>
    <row r="52" spans="2:6" x14ac:dyDescent="0.25">
      <c r="B52" s="92">
        <v>43525</v>
      </c>
      <c r="C52" s="5" t="s">
        <v>235</v>
      </c>
      <c r="E52">
        <v>5.4700000000000006</v>
      </c>
      <c r="F52" s="5">
        <v>3.6875999999999999E-2</v>
      </c>
    </row>
    <row r="53" spans="2:6" x14ac:dyDescent="0.25">
      <c r="B53" s="92">
        <v>43511</v>
      </c>
      <c r="C53" s="5" t="s">
        <v>235</v>
      </c>
      <c r="E53">
        <v>5.4700000000000006</v>
      </c>
      <c r="F53" s="5">
        <v>4.1168000000000003E-2</v>
      </c>
    </row>
    <row r="54" spans="2:6" x14ac:dyDescent="0.25">
      <c r="B54" s="92">
        <v>43497</v>
      </c>
      <c r="C54" s="5" t="s">
        <v>235</v>
      </c>
      <c r="E54">
        <v>5.4700000000000006</v>
      </c>
      <c r="F54" s="5">
        <v>4.1175000000000003E-2</v>
      </c>
    </row>
    <row r="55" spans="2:6" x14ac:dyDescent="0.25">
      <c r="B55" s="92">
        <v>43449</v>
      </c>
      <c r="C55" s="5" t="s">
        <v>235</v>
      </c>
      <c r="E55">
        <v>5.4700000000000006</v>
      </c>
      <c r="F55" s="5">
        <v>4.1165000000000007E-2</v>
      </c>
    </row>
    <row r="56" spans="2:6" x14ac:dyDescent="0.25">
      <c r="B56" s="92">
        <v>43435</v>
      </c>
      <c r="C56" s="5" t="s">
        <v>235</v>
      </c>
      <c r="E56">
        <v>5.4700000000000006</v>
      </c>
      <c r="F56" s="5">
        <v>4.0873000000000007E-2</v>
      </c>
    </row>
    <row r="57" spans="2:6" x14ac:dyDescent="0.25">
      <c r="B57" s="92">
        <v>43388</v>
      </c>
      <c r="C57" s="5" t="s">
        <v>235</v>
      </c>
      <c r="E57">
        <v>5.4700000000000006</v>
      </c>
      <c r="F57" s="5">
        <v>4.0716000000000002E-2</v>
      </c>
    </row>
    <row r="58" spans="2:6" x14ac:dyDescent="0.25">
      <c r="B58" s="92">
        <v>43344</v>
      </c>
      <c r="C58" s="5" t="s">
        <v>235</v>
      </c>
      <c r="E58">
        <v>5.4700000000000006</v>
      </c>
      <c r="F58" s="5">
        <v>4.2535999999999997E-2</v>
      </c>
    </row>
    <row r="59" spans="2:6" x14ac:dyDescent="0.25">
      <c r="B59" s="92">
        <v>43266</v>
      </c>
      <c r="C59" s="5" t="s">
        <v>235</v>
      </c>
      <c r="E59">
        <v>5.4700000000000006</v>
      </c>
      <c r="F59" s="5">
        <v>3.8738999999999996E-2</v>
      </c>
    </row>
    <row r="60" spans="2:6" x14ac:dyDescent="0.25">
      <c r="B60" s="92">
        <v>43160</v>
      </c>
      <c r="C60" s="5" t="s">
        <v>235</v>
      </c>
      <c r="E60">
        <v>5.4700000000000006</v>
      </c>
      <c r="F60" s="5">
        <v>4.1111999999999996E-2</v>
      </c>
    </row>
    <row r="61" spans="2:6" x14ac:dyDescent="0.25">
      <c r="B61" s="92">
        <v>43132</v>
      </c>
      <c r="C61" s="5" t="s">
        <v>235</v>
      </c>
      <c r="E61">
        <v>5.4700000000000006</v>
      </c>
      <c r="F61" s="5">
        <v>4.5854000000000006E-2</v>
      </c>
    </row>
    <row r="62" spans="2:6" x14ac:dyDescent="0.25">
      <c r="B62" s="92">
        <v>43084</v>
      </c>
      <c r="C62" s="5" t="s">
        <v>235</v>
      </c>
      <c r="E62">
        <v>5.4700000000000006</v>
      </c>
      <c r="F62" s="5">
        <v>4.5913000000000002E-2</v>
      </c>
    </row>
    <row r="63" spans="2:6" x14ac:dyDescent="0.25">
      <c r="B63" s="92">
        <v>43070</v>
      </c>
      <c r="C63" s="5" t="s">
        <v>235</v>
      </c>
      <c r="E63">
        <v>5.4700000000000006</v>
      </c>
      <c r="F63" s="5">
        <v>4.2972999999999997E-2</v>
      </c>
    </row>
    <row r="64" spans="2:6" x14ac:dyDescent="0.25">
      <c r="B64" s="92">
        <v>43023</v>
      </c>
      <c r="C64" s="5" t="s">
        <v>235</v>
      </c>
      <c r="E64">
        <v>5.4700000000000006</v>
      </c>
      <c r="F64" s="5">
        <v>4.3270999999999997E-2</v>
      </c>
    </row>
    <row r="65" spans="2:6" x14ac:dyDescent="0.25">
      <c r="B65" s="3">
        <v>42979</v>
      </c>
      <c r="C65" t="s">
        <v>235</v>
      </c>
      <c r="E65">
        <v>5.4700000000000006</v>
      </c>
      <c r="F65" s="5">
        <v>4.0313000000000002E-2</v>
      </c>
    </row>
    <row r="66" spans="2:6" x14ac:dyDescent="0.25">
      <c r="B66" s="3">
        <v>42795</v>
      </c>
      <c r="C66" t="s">
        <v>235</v>
      </c>
      <c r="E66">
        <v>5.4700000000000006</v>
      </c>
      <c r="F66" s="5">
        <v>3.5675999999999992E-2</v>
      </c>
    </row>
    <row r="67" spans="2:6" x14ac:dyDescent="0.25">
      <c r="B67" s="3">
        <v>42767</v>
      </c>
      <c r="C67" t="s">
        <v>235</v>
      </c>
      <c r="E67">
        <v>5.4700000000000006</v>
      </c>
      <c r="F67" s="5">
        <v>3.8963999999999992E-2</v>
      </c>
    </row>
    <row r="68" spans="2:6" x14ac:dyDescent="0.25">
      <c r="B68" s="3">
        <v>42719</v>
      </c>
      <c r="C68" t="s">
        <v>235</v>
      </c>
      <c r="E68">
        <v>5.4700000000000006</v>
      </c>
      <c r="F68" s="5">
        <v>3.8773999999999989E-2</v>
      </c>
    </row>
    <row r="69" spans="2:6" x14ac:dyDescent="0.25">
      <c r="B69" s="3">
        <v>42705</v>
      </c>
      <c r="C69" t="s">
        <v>235</v>
      </c>
      <c r="E69">
        <v>5.4700000000000006</v>
      </c>
      <c r="F69" s="5">
        <v>4.0611999999999988E-2</v>
      </c>
    </row>
    <row r="70" spans="2:6" x14ac:dyDescent="0.25">
      <c r="B70" s="3">
        <v>42658</v>
      </c>
      <c r="C70" t="s">
        <v>235</v>
      </c>
      <c r="E70">
        <v>5.4700000000000006</v>
      </c>
      <c r="F70" s="5">
        <v>4.0511999999999992E-2</v>
      </c>
    </row>
    <row r="71" spans="2:6" x14ac:dyDescent="0.25">
      <c r="B71" s="3">
        <v>42614</v>
      </c>
      <c r="C71" t="s">
        <v>235</v>
      </c>
      <c r="E71">
        <v>5.4700000000000006</v>
      </c>
      <c r="F71" s="5">
        <v>4.322199999999999E-2</v>
      </c>
    </row>
    <row r="72" spans="2:6" x14ac:dyDescent="0.25">
      <c r="B72" s="3">
        <v>42430</v>
      </c>
      <c r="C72" t="s">
        <v>235</v>
      </c>
      <c r="E72">
        <v>5.4700000000000006</v>
      </c>
      <c r="F72" s="5">
        <v>3.8778999999999994E-2</v>
      </c>
    </row>
    <row r="73" spans="2:6" x14ac:dyDescent="0.25">
      <c r="B73" s="3">
        <v>42401</v>
      </c>
      <c r="C73" t="s">
        <v>235</v>
      </c>
      <c r="E73">
        <v>5.4700000000000006</v>
      </c>
      <c r="F73" s="5">
        <v>4.1839999999999995E-2</v>
      </c>
    </row>
    <row r="74" spans="2:6" x14ac:dyDescent="0.25">
      <c r="B74" s="262">
        <v>46235</v>
      </c>
      <c r="C74" s="263" t="s">
        <v>237</v>
      </c>
      <c r="E74">
        <v>4.0600000000000005</v>
      </c>
      <c r="F74" s="5">
        <v>6.0295000000000001E-2</v>
      </c>
    </row>
    <row r="75" spans="2:6" x14ac:dyDescent="0.25">
      <c r="B75" s="3">
        <v>46174</v>
      </c>
      <c r="C75" t="s">
        <v>237</v>
      </c>
      <c r="E75">
        <v>4.0600000000000005</v>
      </c>
      <c r="F75" s="5">
        <v>6.1196E-2</v>
      </c>
    </row>
    <row r="76" spans="2:6" x14ac:dyDescent="0.25">
      <c r="B76" s="3">
        <v>46082</v>
      </c>
      <c r="C76" t="s">
        <v>237</v>
      </c>
      <c r="E76">
        <v>4.2299999999999995</v>
      </c>
      <c r="F76" s="5">
        <v>5.6182999999999997E-2</v>
      </c>
    </row>
    <row r="77" spans="2:6" x14ac:dyDescent="0.25">
      <c r="B77" s="3">
        <v>46006</v>
      </c>
      <c r="C77" t="s">
        <v>237</v>
      </c>
      <c r="E77">
        <v>4.2299999999999995</v>
      </c>
      <c r="F77" s="5">
        <v>5.5832999999999994E-2</v>
      </c>
    </row>
    <row r="78" spans="2:6" x14ac:dyDescent="0.25">
      <c r="B78" s="3">
        <v>45901</v>
      </c>
      <c r="C78" t="s">
        <v>237</v>
      </c>
      <c r="E78">
        <v>4.2299999999999995</v>
      </c>
      <c r="F78" s="5">
        <v>5.6031999999999998E-2</v>
      </c>
    </row>
    <row r="79" spans="2:6" x14ac:dyDescent="0.25">
      <c r="B79" s="3">
        <v>45787</v>
      </c>
      <c r="C79" t="s">
        <v>237</v>
      </c>
      <c r="E79">
        <v>4.2299999999999995</v>
      </c>
      <c r="F79" s="5">
        <v>5.1248000000000002E-2</v>
      </c>
    </row>
    <row r="80" spans="2:6" x14ac:dyDescent="0.25">
      <c r="B80" s="3">
        <v>45717</v>
      </c>
      <c r="C80" t="s">
        <v>237</v>
      </c>
      <c r="E80">
        <v>4.2299999999999995</v>
      </c>
      <c r="F80" s="5">
        <v>5.0029000000000004E-2</v>
      </c>
    </row>
    <row r="81" spans="2:6" x14ac:dyDescent="0.25">
      <c r="B81" s="3">
        <v>45712</v>
      </c>
      <c r="C81" t="s">
        <v>237</v>
      </c>
      <c r="E81">
        <v>4.2299999999999995</v>
      </c>
      <c r="F81" s="5">
        <v>5.2919999999999995E-2</v>
      </c>
    </row>
    <row r="82" spans="2:6" x14ac:dyDescent="0.25">
      <c r="B82" s="3">
        <v>45634</v>
      </c>
      <c r="C82" t="s">
        <v>237</v>
      </c>
      <c r="E82">
        <v>4.2299999999999995</v>
      </c>
      <c r="F82" s="5">
        <v>5.2973999999999993E-2</v>
      </c>
    </row>
    <row r="83" spans="2:6" x14ac:dyDescent="0.25">
      <c r="B83" s="3">
        <v>45536</v>
      </c>
      <c r="C83" t="s">
        <v>237</v>
      </c>
      <c r="E83">
        <v>4.2299999999999995</v>
      </c>
      <c r="F83" s="5">
        <v>5.1892999999999995E-2</v>
      </c>
    </row>
    <row r="84" spans="2:6" x14ac:dyDescent="0.25">
      <c r="B84" s="3">
        <v>45474</v>
      </c>
      <c r="C84" t="s">
        <v>237</v>
      </c>
      <c r="E84">
        <v>4.2299999999999995</v>
      </c>
      <c r="F84" s="5">
        <v>4.6383999999999995E-2</v>
      </c>
    </row>
    <row r="85" spans="2:6" x14ac:dyDescent="0.25">
      <c r="B85" s="3">
        <v>45352</v>
      </c>
      <c r="C85" t="s">
        <v>237</v>
      </c>
      <c r="E85">
        <v>4.2299999999999995</v>
      </c>
      <c r="F85" s="5">
        <v>4.5402999999999992E-2</v>
      </c>
    </row>
    <row r="86" spans="2:6" x14ac:dyDescent="0.25">
      <c r="B86" s="3">
        <v>45288</v>
      </c>
      <c r="C86" t="s">
        <v>237</v>
      </c>
      <c r="E86">
        <v>4.2299999999999995</v>
      </c>
      <c r="F86" s="5">
        <v>5.0978999999999997E-2</v>
      </c>
    </row>
    <row r="87" spans="2:6" x14ac:dyDescent="0.25">
      <c r="B87" s="3">
        <v>45170</v>
      </c>
      <c r="C87" t="s">
        <v>237</v>
      </c>
      <c r="E87">
        <v>4.2299999999999995</v>
      </c>
      <c r="F87" s="5">
        <v>5.0339000000000002E-2</v>
      </c>
    </row>
    <row r="88" spans="2:6" x14ac:dyDescent="0.25">
      <c r="B88" s="3">
        <v>45047</v>
      </c>
      <c r="C88" t="s">
        <v>237</v>
      </c>
      <c r="E88">
        <v>4.2299999999999995</v>
      </c>
      <c r="F88" s="5">
        <v>3.8497999999999998E-2</v>
      </c>
    </row>
    <row r="89" spans="2:6" x14ac:dyDescent="0.25">
      <c r="B89" s="3">
        <v>44986</v>
      </c>
      <c r="C89" t="s">
        <v>237</v>
      </c>
      <c r="E89">
        <v>3.42</v>
      </c>
      <c r="F89" s="5">
        <v>3.5899E-2</v>
      </c>
    </row>
    <row r="90" spans="2:6" x14ac:dyDescent="0.25">
      <c r="B90" s="3">
        <v>44805</v>
      </c>
      <c r="C90" t="s">
        <v>237</v>
      </c>
      <c r="E90">
        <v>3.42</v>
      </c>
      <c r="F90" s="5">
        <v>4.4076000000000004E-2</v>
      </c>
    </row>
    <row r="91" spans="2:6" x14ac:dyDescent="0.25">
      <c r="B91" s="3">
        <v>44621</v>
      </c>
      <c r="C91" t="s">
        <v>237</v>
      </c>
      <c r="E91">
        <v>3.42</v>
      </c>
      <c r="F91" s="5">
        <v>3.8906999999999997E-2</v>
      </c>
    </row>
    <row r="92" spans="2:6" x14ac:dyDescent="0.25">
      <c r="B92" s="3">
        <v>44440</v>
      </c>
      <c r="C92" t="s">
        <v>237</v>
      </c>
      <c r="E92">
        <v>3.42</v>
      </c>
      <c r="F92" s="5">
        <v>4.1543000000000004E-2</v>
      </c>
    </row>
    <row r="93" spans="2:6" x14ac:dyDescent="0.25">
      <c r="B93" s="3">
        <v>44256</v>
      </c>
      <c r="C93" t="s">
        <v>237</v>
      </c>
      <c r="E93">
        <v>3.42</v>
      </c>
      <c r="F93" s="5">
        <v>3.4928000000000001E-2</v>
      </c>
    </row>
    <row r="94" spans="2:6" x14ac:dyDescent="0.25">
      <c r="B94" s="3">
        <v>44236</v>
      </c>
      <c r="C94" t="s">
        <v>237</v>
      </c>
      <c r="E94">
        <v>3.42</v>
      </c>
      <c r="F94" s="5">
        <v>3.8889999999999994E-2</v>
      </c>
    </row>
    <row r="95" spans="2:6" x14ac:dyDescent="0.25">
      <c r="B95" s="3">
        <v>44075</v>
      </c>
      <c r="C95" t="s">
        <v>237</v>
      </c>
      <c r="E95">
        <v>3.42</v>
      </c>
      <c r="F95" s="5">
        <v>3.9219999999999991E-2</v>
      </c>
    </row>
    <row r="96" spans="2:6" x14ac:dyDescent="0.25">
      <c r="B96" s="3">
        <v>43922</v>
      </c>
      <c r="C96" t="s">
        <v>237</v>
      </c>
      <c r="E96">
        <v>3.42</v>
      </c>
      <c r="F96" s="5">
        <v>3.5777999999999997E-2</v>
      </c>
    </row>
    <row r="97" spans="2:6" x14ac:dyDescent="0.25">
      <c r="B97" s="3">
        <v>43891</v>
      </c>
      <c r="C97" t="s">
        <v>237</v>
      </c>
      <c r="E97">
        <v>3.42</v>
      </c>
      <c r="F97" s="5">
        <v>3.5448E-2</v>
      </c>
    </row>
    <row r="98" spans="2:6" x14ac:dyDescent="0.25">
      <c r="B98" s="3">
        <v>43709</v>
      </c>
      <c r="C98" t="s">
        <v>237</v>
      </c>
      <c r="E98">
        <v>3.42</v>
      </c>
      <c r="F98" s="5">
        <v>3.8447000000000002E-2</v>
      </c>
    </row>
    <row r="99" spans="2:6" x14ac:dyDescent="0.25">
      <c r="B99" s="3">
        <v>43525</v>
      </c>
      <c r="C99" t="s">
        <v>237</v>
      </c>
      <c r="E99">
        <v>3.42</v>
      </c>
      <c r="F99" s="5">
        <v>3.1350000000000003E-2</v>
      </c>
    </row>
    <row r="100" spans="2:6" x14ac:dyDescent="0.25">
      <c r="B100" s="3">
        <v>43432</v>
      </c>
      <c r="C100" t="s">
        <v>237</v>
      </c>
      <c r="E100">
        <v>3.42</v>
      </c>
      <c r="F100" s="5">
        <v>3.6921999999999996E-2</v>
      </c>
    </row>
    <row r="101" spans="2:6" x14ac:dyDescent="0.25">
      <c r="B101" s="3">
        <v>43381</v>
      </c>
      <c r="C101" t="s">
        <v>237</v>
      </c>
      <c r="E101">
        <v>3.42</v>
      </c>
      <c r="F101" s="5">
        <v>3.6970999999999997E-2</v>
      </c>
    </row>
    <row r="102" spans="2:6" x14ac:dyDescent="0.25">
      <c r="B102" s="3">
        <v>43344</v>
      </c>
      <c r="C102" t="s">
        <v>237</v>
      </c>
      <c r="E102">
        <v>3.49</v>
      </c>
      <c r="F102" s="5">
        <v>3.8270999999999999E-2</v>
      </c>
    </row>
    <row r="103" spans="2:6" x14ac:dyDescent="0.25">
      <c r="B103" s="3">
        <v>43160</v>
      </c>
      <c r="C103" t="s">
        <v>237</v>
      </c>
      <c r="E103">
        <v>3.49</v>
      </c>
      <c r="F103" s="5">
        <v>3.4555999999999996E-2</v>
      </c>
    </row>
    <row r="104" spans="2:6" x14ac:dyDescent="0.25">
      <c r="B104" s="3">
        <v>43066</v>
      </c>
      <c r="C104" t="s">
        <v>237</v>
      </c>
      <c r="E104">
        <v>3.49</v>
      </c>
      <c r="F104" s="5">
        <v>3.6971000000000004E-2</v>
      </c>
    </row>
    <row r="105" spans="2:6" x14ac:dyDescent="0.25">
      <c r="B105" s="3">
        <v>42979</v>
      </c>
      <c r="C105" t="s">
        <v>237</v>
      </c>
      <c r="E105">
        <v>5.25</v>
      </c>
      <c r="F105" s="5">
        <v>3.6513000000000004E-2</v>
      </c>
    </row>
    <row r="106" spans="2:6" x14ac:dyDescent="0.25">
      <c r="B106" s="3">
        <v>42795</v>
      </c>
      <c r="C106" t="s">
        <v>237</v>
      </c>
      <c r="E106">
        <v>5.25</v>
      </c>
      <c r="F106" s="5">
        <v>3.286E-2</v>
      </c>
    </row>
    <row r="107" spans="2:6" x14ac:dyDescent="0.25">
      <c r="B107" s="3">
        <v>42670</v>
      </c>
      <c r="C107" t="s">
        <v>237</v>
      </c>
      <c r="E107">
        <v>5.25</v>
      </c>
      <c r="F107" s="5">
        <v>3.6895000000000004E-2</v>
      </c>
    </row>
    <row r="108" spans="2:6" x14ac:dyDescent="0.25">
      <c r="B108" s="3">
        <v>42614</v>
      </c>
      <c r="C108" t="s">
        <v>237</v>
      </c>
      <c r="E108">
        <v>5.25</v>
      </c>
      <c r="F108" s="5">
        <v>3.6384000000000007E-2</v>
      </c>
    </row>
    <row r="109" spans="2:6" x14ac:dyDescent="0.25">
      <c r="B109" s="3">
        <v>42486</v>
      </c>
      <c r="C109" t="s">
        <v>237</v>
      </c>
      <c r="E109">
        <v>5.25</v>
      </c>
      <c r="F109" s="5">
        <v>3.0673999999999996E-2</v>
      </c>
    </row>
    <row r="110" spans="2:6" x14ac:dyDescent="0.25">
      <c r="B110" s="52">
        <v>42614</v>
      </c>
      <c r="C110" s="8" t="s">
        <v>890</v>
      </c>
      <c r="E110">
        <v>9</v>
      </c>
      <c r="F110" s="5">
        <v>4.02E-2</v>
      </c>
    </row>
  </sheetData>
  <sortState xmlns:xlrd2="http://schemas.microsoft.com/office/spreadsheetml/2017/richdata2" ref="B128:F269">
    <sortCondition descending="1" ref="B128:B269"/>
    <sortCondition ref="C128:C269"/>
    <sortCondition ref="D128:D269"/>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1357</v>
      </c>
    </row>
    <row r="2" spans="1:10" x14ac:dyDescent="0.25">
      <c r="A2" s="34" t="s">
        <v>227</v>
      </c>
    </row>
    <row r="4" spans="1:10" ht="23.25" x14ac:dyDescent="0.25">
      <c r="B4" s="113" t="s">
        <v>1358</v>
      </c>
      <c r="C4" s="113" t="s">
        <v>1359</v>
      </c>
      <c r="D4" s="113" t="s">
        <v>1360</v>
      </c>
      <c r="E4" s="113" t="s">
        <v>1361</v>
      </c>
      <c r="F4" s="113" t="s">
        <v>1985</v>
      </c>
      <c r="G4" s="113" t="s">
        <v>1363</v>
      </c>
      <c r="H4" s="113" t="s">
        <v>1362</v>
      </c>
      <c r="I4" s="113" t="s">
        <v>1364</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1365</v>
      </c>
      <c r="F7" s="6">
        <v>1</v>
      </c>
      <c r="G7" s="6" t="s">
        <v>1366</v>
      </c>
      <c r="H7" s="6">
        <v>1</v>
      </c>
      <c r="I7" s="6">
        <v>1</v>
      </c>
      <c r="J7" s="111" t="e">
        <f>SUMPRODUCT(--($B$6:$I$6&gt;0),$B$7:$I$7)</f>
        <v>#N/A</v>
      </c>
    </row>
    <row r="9" spans="1:10" s="2" customFormat="1" ht="45.75" x14ac:dyDescent="0.25">
      <c r="A9" s="63" t="s">
        <v>1367</v>
      </c>
      <c r="B9" s="112" t="s">
        <v>890</v>
      </c>
      <c r="C9" s="112" t="s">
        <v>892</v>
      </c>
      <c r="D9" s="112" t="s">
        <v>235</v>
      </c>
      <c r="E9" s="112" t="s">
        <v>1368</v>
      </c>
      <c r="F9" s="112" t="s">
        <v>1986</v>
      </c>
      <c r="G9" s="112" t="s">
        <v>1369</v>
      </c>
      <c r="H9" s="112" t="s">
        <v>237</v>
      </c>
      <c r="I9" s="112" t="s">
        <v>893</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1370</v>
      </c>
    </row>
    <row r="2" spans="1:8" x14ac:dyDescent="0.25">
      <c r="A2" s="34" t="s">
        <v>227</v>
      </c>
    </row>
    <row r="4" spans="1:8" x14ac:dyDescent="0.25">
      <c r="B4" t="s">
        <v>1371</v>
      </c>
    </row>
    <row r="5" spans="1:8" x14ac:dyDescent="0.25">
      <c r="B5" t="s">
        <v>1372</v>
      </c>
    </row>
    <row r="7" spans="1:8" x14ac:dyDescent="0.25">
      <c r="C7" s="321" t="s">
        <v>1373</v>
      </c>
      <c r="D7" s="321"/>
      <c r="E7" s="321"/>
      <c r="F7" s="322" t="s">
        <v>1374</v>
      </c>
      <c r="G7" s="322"/>
      <c r="H7" s="322"/>
    </row>
    <row r="8" spans="1:8" s="2" customFormat="1" ht="30" x14ac:dyDescent="0.25">
      <c r="B8" s="2" t="s">
        <v>1375</v>
      </c>
      <c r="C8" s="103" t="s">
        <v>1376</v>
      </c>
      <c r="D8" s="105" t="s">
        <v>1377</v>
      </c>
      <c r="E8" s="105" t="s">
        <v>1378</v>
      </c>
      <c r="F8" s="104" t="s">
        <v>1376</v>
      </c>
      <c r="G8" s="2" t="s">
        <v>1377</v>
      </c>
      <c r="H8" s="105" t="s">
        <v>1378</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AD847-1C7A-4C3C-A99C-99145B588394}">
  <ds:schemaRefs>
    <ds:schemaRef ds:uri="http://schemas.microsoft.com/sharepoint/v3/contenttype/forms"/>
  </ds:schemaRefs>
</ds:datastoreItem>
</file>

<file path=customXml/itemProps2.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Frederick Anders</cp:lastModifiedBy>
  <cp:revision/>
  <dcterms:created xsi:type="dcterms:W3CDTF">2016-11-10T20:33:59Z</dcterms:created>
  <dcterms:modified xsi:type="dcterms:W3CDTF">2026-08-22T10:36:32Z</dcterms:modified>
  <cp:category>Electricity shopping</cp:category>
  <cp:contentStatus>Released</cp:contentStatus>
</cp:coreProperties>
</file>